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64" documentId="8_{38761AC2-6FCA-40AE-BCAB-277093E10DFC}" xr6:coauthVersionLast="47" xr6:coauthVersionMax="47" xr10:uidLastSave="{6EFC5426-930A-4A02-A9B3-01DD0F0D51FE}"/>
  <bookViews>
    <workbookView xWindow="28680" yWindow="-120" windowWidth="38640" windowHeight="21120" xr2:uid="{75850896-2BBC-4344-A6CE-C43349D3E239}"/>
  </bookViews>
  <sheets>
    <sheet name="Cover " sheetId="75" r:id="rId1"/>
    <sheet name="RET 201 LO 1" sheetId="19" r:id="rId2"/>
    <sheet name="FRC-Fall20-Q2" sheetId="5" r:id="rId3"/>
    <sheet name="FRC-Fall20-Q8" sheetId="6" r:id="rId4"/>
    <sheet name="FRC-Spring21-Q2" sheetId="7" r:id="rId5"/>
    <sheet name="FRC-Fall21-Q6" sheetId="8" r:id="rId6"/>
    <sheet name="FRC-Spring22-Q9" sheetId="9" r:id="rId7"/>
    <sheet name="DAU-Fall22-Q11" sheetId="10" r:id="rId8"/>
    <sheet name="DAU-Fall22-Q11Ans" sheetId="1" r:id="rId9"/>
    <sheet name="FRC-Fall22-Q6" sheetId="11" r:id="rId10"/>
    <sheet name="FRC-Spring23-Q3" sheetId="12" r:id="rId11"/>
    <sheet name="FRC-Spring23-Q3Ans" sheetId="14" r:id="rId12"/>
    <sheet name="FRC-Spring23-Q5" sheetId="13" r:id="rId13"/>
    <sheet name="FRC-Fall23-Q4" sheetId="15" r:id="rId14"/>
    <sheet name="FRC-Spring24-Q5" sheetId="16" r:id="rId15"/>
    <sheet name="FRC-Fall24-Q4" sheetId="17" r:id="rId16"/>
    <sheet name="FRC-Fall24-Q4Ans" sheetId="4" r:id="rId17"/>
    <sheet name="FRC-Fall24-Q6" sheetId="18" r:id="rId18"/>
    <sheet name="FRC-Fall24-Q6Ans" sheetId="3" r:id="rId19"/>
    <sheet name="RET 201 LO 2" sheetId="20" r:id="rId20"/>
    <sheet name="RPIRM-Fall20-Q3" sheetId="21" r:id="rId21"/>
    <sheet name="DAC-Spring21-Q6" sheetId="22" r:id="rId22"/>
    <sheet name="DAC-Spring21-Q6Ans" sheetId="23" r:id="rId23"/>
    <sheet name="DAC-Spring21-Q9" sheetId="24" r:id="rId24"/>
    <sheet name="DAC-Spring21-Q9Ans" sheetId="25" r:id="rId25"/>
    <sheet name="DAU-Spring21-Q6" sheetId="26" r:id="rId26"/>
    <sheet name="DAU-Spring21-Q6Ans" sheetId="27" r:id="rId27"/>
    <sheet name="DAC-Spring23-Q4" sheetId="28" r:id="rId28"/>
    <sheet name="DAC-Spring23-Q4Ans" sheetId="29" r:id="rId29"/>
    <sheet name="RET 201 LO 3" sheetId="30" r:id="rId30"/>
    <sheet name="DAC-Fall20-Q5" sheetId="33" r:id="rId31"/>
    <sheet name="DAC-Fall20-Q5Ans" sheetId="34" r:id="rId32"/>
    <sheet name="DAC-Fall20-Q9" sheetId="35" r:id="rId33"/>
    <sheet name="DAC-Fall20-Q9Ans" sheetId="36" r:id="rId34"/>
    <sheet name="DAU-Fall20-Q9" sheetId="37" r:id="rId35"/>
    <sheet name="DAU-Fall20-Q9Ans" sheetId="38" r:id="rId36"/>
    <sheet name="DAC-Spring21-Q5" sheetId="39" r:id="rId37"/>
    <sheet name="DAC-Spring21-Q5Ans" sheetId="40" r:id="rId38"/>
    <sheet name="DAU-Spring21-Q5" sheetId="41" r:id="rId39"/>
    <sheet name="DAU-Spring21-Q5Ans" sheetId="42" r:id="rId40"/>
    <sheet name="DAC-Fall21-Q8" sheetId="43" r:id="rId41"/>
    <sheet name="DAC-Fall21-Q8Ans" sheetId="44" r:id="rId42"/>
    <sheet name="DAU-Fall21-Q8" sheetId="45" r:id="rId43"/>
    <sheet name="DAU-Fall21-Q8Ans" sheetId="46" r:id="rId44"/>
    <sheet name="DAC-Spring22-Q3" sheetId="47" r:id="rId45"/>
    <sheet name="DAC-Spring22-Q3Ans" sheetId="48" r:id="rId46"/>
    <sheet name="DAU-Spring22-Q5" sheetId="49" r:id="rId47"/>
    <sheet name="DAU-Spring22-Q5Ans" sheetId="50" r:id="rId48"/>
    <sheet name="RPIRM-Spring22-Q5" sheetId="51" r:id="rId49"/>
    <sheet name="DAC-Fall22-Q5" sheetId="52" r:id="rId50"/>
    <sheet name="DAC-Fall22-Q5Ans" sheetId="53" r:id="rId51"/>
    <sheet name="DAC-Fall22-Q9" sheetId="54" r:id="rId52"/>
    <sheet name="DAC-Fall22-Q9Ans" sheetId="55" r:id="rId53"/>
    <sheet name="DAU-Fall22-Q9" sheetId="56" r:id="rId54"/>
    <sheet name="DAU-Fall22-Q9Ans" sheetId="57" r:id="rId55"/>
    <sheet name="RPIRM-Fall22-Q4" sheetId="58" r:id="rId56"/>
    <sheet name="DAC-Spring23-Q9" sheetId="59" r:id="rId57"/>
    <sheet name="DAC-Spring23-Q9Ans" sheetId="60" r:id="rId58"/>
    <sheet name="DAC-Fall23-Q5" sheetId="61" r:id="rId59"/>
    <sheet name="DAC-Fall23-Q5Ans" sheetId="62" r:id="rId60"/>
    <sheet name="DAC-Fall23-Q8" sheetId="32" r:id="rId61"/>
    <sheet name="DAC-Fall23-Q8Ans" sheetId="63" r:id="rId62"/>
    <sheet name="DAC-Spring24-Q5" sheetId="31" r:id="rId63"/>
    <sheet name="DAC-Spring24-Q5Ans" sheetId="64" r:id="rId64"/>
    <sheet name="DAC-Spring24-Q8" sheetId="65" r:id="rId65"/>
    <sheet name="DAC-Spring24-Q8Ans" sheetId="66" r:id="rId66"/>
    <sheet name="DAC-Fall24-Q7" sheetId="67" r:id="rId67"/>
    <sheet name="DAC-Fall24-Q7Ans" sheetId="68" r:id="rId68"/>
    <sheet name="RPIRM-Fall24-Q3" sheetId="69" r:id="rId69"/>
    <sheet name="RPIRM-Fall24-Q3Ans" sheetId="70" r:id="rId70"/>
    <sheet name="RET 201 LO 4" sheetId="71" r:id="rId71"/>
    <sheet name="RPIRM-Spring23-Q4" sheetId="72" r:id="rId72"/>
    <sheet name="RPIRM-Fall24-Q1" sheetId="73" r:id="rId73"/>
    <sheet name="RPIRM-Fall24-Q1Ans" sheetId="74" r:id="rId74"/>
  </sheets>
  <externalReferences>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s>
  <definedNames>
    <definedName name="__nAxPro_column__" localSheetId="31" hidden="1">'DAC-Fall20-Q5Ans'!$XFD:$XFD</definedName>
    <definedName name="__nAxPro_column__" localSheetId="24" hidden="1">'DAC-Spring21-Q9Ans'!$XFD:$XFD</definedName>
    <definedName name="__nAxPro_column__" localSheetId="27" hidden="1">'DAC-Spring23-Q4'!#REF!</definedName>
    <definedName name="__nAxPro_column__" localSheetId="28" hidden="1">'DAC-Spring23-Q4Ans'!#REF!</definedName>
    <definedName name="__nAxPro_column__" localSheetId="56" hidden="1">'DAC-Spring23-Q9'!#REF!</definedName>
    <definedName name="__nAxPro_column__" localSheetId="57" hidden="1">'DAC-Spring23-Q9Ans'!#REF!</definedName>
    <definedName name="__nAxPro_row__" localSheetId="31" hidden="1">'DAC-Fall20-Q5Ans'!$1048576:$1048576</definedName>
    <definedName name="__nAxPro_row__" localSheetId="24" hidden="1">'DAC-Spring21-Q9Ans'!#REF!</definedName>
    <definedName name="__nAxPro_row__" localSheetId="27" hidden="1">'DAC-Spring23-Q4'!#REF!</definedName>
    <definedName name="__nAxPro_row__" localSheetId="28" hidden="1">'DAC-Spring23-Q4Ans'!#REF!</definedName>
    <definedName name="__nAxPro_row__" localSheetId="56" hidden="1">'DAC-Spring23-Q9'!#REF!</definedName>
    <definedName name="__nAxPro_row__" localSheetId="57" hidden="1">'DAC-Spring23-Q9Ans'!#REF!</definedName>
    <definedName name="_Hlk57124538" localSheetId="41">'DAC-Fall21-Q8Ans'!#REF!</definedName>
    <definedName name="_Hlk57124538" localSheetId="43">'DAU-Fall21-Q8Ans'!#REF!</definedName>
    <definedName name="_Hlk6488088" localSheetId="5">'FRC-Fall21-Q6'!$C$30</definedName>
    <definedName name="_Hlk6488088" localSheetId="9">'FRC-Fall22-Q6'!$C$26</definedName>
    <definedName name="_Hlk6488088" localSheetId="13">'FRC-Fall23-Q4'!#REF!</definedName>
    <definedName name="_Hlk6488088" localSheetId="17">'FRC-Fall24-Q6'!$C$41</definedName>
    <definedName name="_Hlk6488088" localSheetId="18">'FRC-Fall24-Q6Ans'!$C$41</definedName>
    <definedName name="_Hlk6488088" localSheetId="6">'FRC-Spring22-Q9'!$C$32</definedName>
    <definedName name="_Hlk6488088" localSheetId="10">'FRC-Spring23-Q3'!$C$80</definedName>
    <definedName name="_Hlk6488088" localSheetId="11">'FRC-Spring23-Q3Ans'!$C$80</definedName>
    <definedName name="_Hlk6488088" localSheetId="12">'FRC-Spring23-Q5'!$C$35</definedName>
    <definedName name="_Hlk6488088" localSheetId="14">'FRC-Spring24-Q5'!$C$32</definedName>
    <definedName name="adm_charge">'[9]S22 Question 8(a) Sol'!$C$2</definedName>
    <definedName name="age">[1]Funding!$B$47</definedName>
    <definedName name="Allocations">#REF!</definedName>
    <definedName name="canflag" localSheetId="40">'[2]Overview - Canada'!$N$1</definedName>
    <definedName name="canflag" localSheetId="49">'[3]Overview - Canada'!$N$1</definedName>
    <definedName name="canflag" localSheetId="50">'[3]Overview - Canada'!$N$1</definedName>
    <definedName name="canflag" localSheetId="51">'[3]Overview - Canada'!$N$1</definedName>
    <definedName name="canflag" localSheetId="52">'[3]Overview - Canada'!$N$1</definedName>
    <definedName name="canflag" localSheetId="58">'[3]Overview - Canada'!$N$1</definedName>
    <definedName name="canflag" localSheetId="59">'[3]Overview - Canada'!$N$1</definedName>
    <definedName name="canflag" localSheetId="60">'[3]Overview - Canada'!$N$1</definedName>
    <definedName name="canflag" localSheetId="61">'[3]Overview - Canada'!$N$1</definedName>
    <definedName name="canflag" localSheetId="36">'[2]Overview - Canada'!$N$1</definedName>
    <definedName name="canflag" localSheetId="21">'[2]Overview - Canada'!$N$1</definedName>
    <definedName name="canflag" localSheetId="23">'[2]Overview - Canada'!$N$1</definedName>
    <definedName name="canflag" localSheetId="44">'[3]Overview - Canada'!$N$1</definedName>
    <definedName name="canflag" localSheetId="45">'[3]Overview - Canada'!$N$1</definedName>
    <definedName name="canflag" localSheetId="56">'[3]Overview - Canada'!$N$1</definedName>
    <definedName name="canflag" localSheetId="57">'[3]Overview - Canada'!$N$1</definedName>
    <definedName name="canflag" localSheetId="62">'[4]Overview - Canada'!$N$1</definedName>
    <definedName name="canflag" localSheetId="42">'[3]Overview - Canada'!$N$1</definedName>
    <definedName name="canflag" localSheetId="53">'[3]Overview - Canada'!$N$1</definedName>
    <definedName name="canflag" localSheetId="54">'[3]Overview - Canada'!$N$1</definedName>
    <definedName name="canflag" localSheetId="38">'[3]Overview - Canada'!$N$1</definedName>
    <definedName name="canflag" localSheetId="46">'[3]Overview - Canada'!$N$1</definedName>
    <definedName name="canflag" localSheetId="47">'[3]Overview - Canada'!$N$1</definedName>
    <definedName name="canflag">'[3]Overview - Canada'!$N$1</definedName>
    <definedName name="CognitiveLevels">'[11]syllabus list'!$B$87:$B$90</definedName>
    <definedName name="freq_s">[1]Parameters!$C$119</definedName>
    <definedName name="guar_charge">'[9]S22 Question 8(a) Sol'!$C$3</definedName>
    <definedName name="Hurdle_Rate">'[12]BG-2-2020 calc'!$K$13</definedName>
    <definedName name="index_s">[1]Parameters!$C$115</definedName>
    <definedName name="LOutcomeList">'[11]syllabus list'!$A$87:$A$91</definedName>
    <definedName name="mortbasis_s">[1]Parameters!$C$117:$G$117</definedName>
    <definedName name="nb_temp_s">[1]Parameters!$C$123</definedName>
    <definedName name="OLE_LINK1" localSheetId="64">'DAC-Spring24-Q8'!$B$28</definedName>
    <definedName name="OLE_LINK1" localSheetId="65">'DAC-Spring24-Q8Ans'!$B$28</definedName>
    <definedName name="Pen_demog" localSheetId="40">#REF!</definedName>
    <definedName name="Pen_demog" localSheetId="60">#REF!</definedName>
    <definedName name="Pen_demog" localSheetId="62">#REF!</definedName>
    <definedName name="Pen_demog">#REF!</definedName>
    <definedName name="Pen_provs" localSheetId="40">#REF!</definedName>
    <definedName name="Pen_provs" localSheetId="60">#REF!</definedName>
    <definedName name="Pen_provs" localSheetId="62">#REF!</definedName>
    <definedName name="Pen_provs">#REF!</definedName>
    <definedName name="Pen_valresults" localSheetId="40">#REF!</definedName>
    <definedName name="Pen_valresults" localSheetId="60">#REF!</definedName>
    <definedName name="Pen_valresults" localSheetId="62">#REF!</definedName>
    <definedName name="Pen_valresults">#REF!</definedName>
    <definedName name="percjs_m_s">[1]Parameters!$C$125</definedName>
    <definedName name="prem">'[9]S22 Question 8(a) Sol'!$C$1</definedName>
    <definedName name="_xlnm.Print_Area" localSheetId="39">'DAU-Spring21-Q5Ans'!$A$1:$AL$88</definedName>
    <definedName name="_xlnm.Print_Area" localSheetId="72">'RPIRM-Fall24-Q1'!$A$1:$P$235</definedName>
    <definedName name="_xlnm.Print_Area" localSheetId="73">'RPIRM-Fall24-Q1Ans'!$A$1:$P$236</definedName>
    <definedName name="Q_part">#REF!</definedName>
    <definedName name="Q_sources">'[11]BL-1-2020'!$C$9:$C$16</definedName>
    <definedName name="ret_age">[1]Funding!$B$48</definedName>
    <definedName name="sex">[1]Input!$B$9</definedName>
    <definedName name="SyllabusListing">'[11]syllabus list'!$B$4:$B$86</definedName>
    <definedName name="Total">#REF!</definedName>
    <definedName name="val_date">[1]Input!$B$3</definedName>
    <definedName name="wd_pct">'[9]S22 Question 8(a) Sol'!$C$4</definedName>
    <definedName name="Year">[12]Instructions!$E$2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8" i="74" l="1"/>
  <c r="AC18" i="74"/>
  <c r="AD18" i="74"/>
  <c r="U19" i="74"/>
  <c r="V19" i="74"/>
  <c r="W19" i="74"/>
  <c r="X19" i="74"/>
  <c r="T20" i="74"/>
  <c r="U20" i="74"/>
  <c r="V20" i="74" s="1"/>
  <c r="X20" i="74"/>
  <c r="T21" i="74"/>
  <c r="U21" i="74"/>
  <c r="V21" i="74" s="1"/>
  <c r="T22" i="74"/>
  <c r="T23" i="74" s="1"/>
  <c r="U22" i="74"/>
  <c r="U23" i="74"/>
  <c r="U24" i="74"/>
  <c r="U25" i="74"/>
  <c r="U26" i="74"/>
  <c r="U27" i="74"/>
  <c r="U28" i="74"/>
  <c r="U29" i="74"/>
  <c r="U30" i="74"/>
  <c r="U31" i="74"/>
  <c r="U32" i="74"/>
  <c r="U33" i="74"/>
  <c r="U34" i="74"/>
  <c r="U35" i="74"/>
  <c r="U36" i="74"/>
  <c r="U37" i="74"/>
  <c r="U38" i="74"/>
  <c r="U39" i="74"/>
  <c r="U40" i="74"/>
  <c r="U41" i="74"/>
  <c r="U42" i="74"/>
  <c r="U43" i="74"/>
  <c r="U44" i="74"/>
  <c r="U45" i="74"/>
  <c r="U46" i="74"/>
  <c r="U47" i="74"/>
  <c r="U48" i="74"/>
  <c r="U49" i="74"/>
  <c r="U50" i="74"/>
  <c r="R2" i="73"/>
  <c r="N1" i="72"/>
  <c r="N2" i="72"/>
  <c r="U51" i="74" l="1"/>
  <c r="X22" i="74"/>
  <c r="V22" i="74"/>
  <c r="W22" i="74"/>
  <c r="W23" i="74"/>
  <c r="X23" i="74"/>
  <c r="V23" i="74"/>
  <c r="T24" i="74"/>
  <c r="X24" i="74" s="1"/>
  <c r="W20" i="74"/>
  <c r="X21" i="74"/>
  <c r="W21" i="74"/>
  <c r="I1" i="70"/>
  <c r="I2" i="70"/>
  <c r="J13" i="70"/>
  <c r="J17" i="70"/>
  <c r="J23" i="70"/>
  <c r="J27" i="70"/>
  <c r="J31" i="70"/>
  <c r="J45" i="70"/>
  <c r="J49" i="70"/>
  <c r="I1" i="69"/>
  <c r="I2" i="69"/>
  <c r="J13" i="68"/>
  <c r="J16" i="68" s="1"/>
  <c r="J37" i="68" s="1"/>
  <c r="R13" i="68"/>
  <c r="R16" i="68" s="1"/>
  <c r="J14" i="68"/>
  <c r="R14" i="68"/>
  <c r="Q52" i="68" s="1"/>
  <c r="J15" i="68"/>
  <c r="R15" i="68"/>
  <c r="I19" i="68"/>
  <c r="I30" i="68" s="1"/>
  <c r="J19" i="68"/>
  <c r="S19" i="68"/>
  <c r="Q21" i="68"/>
  <c r="R21" i="68"/>
  <c r="S21" i="68"/>
  <c r="J22" i="68"/>
  <c r="R22" i="68"/>
  <c r="J23" i="68"/>
  <c r="R23" i="68"/>
  <c r="R26" i="68" s="1"/>
  <c r="J24" i="68"/>
  <c r="J25" i="68" s="1"/>
  <c r="R24" i="68"/>
  <c r="S27" i="68"/>
  <c r="I28" i="68"/>
  <c r="J28" i="68"/>
  <c r="R28" i="68"/>
  <c r="S28" i="68" s="1"/>
  <c r="I32" i="68"/>
  <c r="J36" i="68"/>
  <c r="Q36" i="68"/>
  <c r="R36" i="68"/>
  <c r="S36" i="68"/>
  <c r="Q37" i="68"/>
  <c r="Q38" i="68"/>
  <c r="R25" i="68" s="1"/>
  <c r="J39" i="68"/>
  <c r="J33" i="68" s="1"/>
  <c r="Q45" i="68"/>
  <c r="Q47" i="68" s="1"/>
  <c r="Q46" i="68"/>
  <c r="Q51" i="68"/>
  <c r="Q53" i="68"/>
  <c r="Q66" i="68"/>
  <c r="J16" i="66"/>
  <c r="J20" i="66" s="1"/>
  <c r="J17" i="66"/>
  <c r="J18" i="66"/>
  <c r="J19" i="66"/>
  <c r="J25" i="66"/>
  <c r="J26" i="66"/>
  <c r="J51" i="66" s="1"/>
  <c r="J27" i="66"/>
  <c r="J28" i="66"/>
  <c r="K53" i="66" s="1"/>
  <c r="J32" i="66"/>
  <c r="J33" i="66"/>
  <c r="J34" i="66"/>
  <c r="J37" i="66"/>
  <c r="J40" i="66"/>
  <c r="J41" i="66"/>
  <c r="J42" i="66"/>
  <c r="J43" i="66"/>
  <c r="K15" i="64"/>
  <c r="S15" i="64"/>
  <c r="AI15" i="64"/>
  <c r="AI16" i="64"/>
  <c r="AI17" i="64"/>
  <c r="AI18" i="64"/>
  <c r="AA19" i="64"/>
  <c r="K23" i="64"/>
  <c r="K25" i="64" s="1"/>
  <c r="S23" i="64"/>
  <c r="AA73" i="64" s="1"/>
  <c r="K24" i="64"/>
  <c r="AA50" i="64" s="1"/>
  <c r="AA25" i="64"/>
  <c r="AA56" i="64" s="1"/>
  <c r="AA57" i="64" s="1"/>
  <c r="K26" i="64"/>
  <c r="AA26" i="64"/>
  <c r="AA30" i="64" s="1"/>
  <c r="AA27" i="64"/>
  <c r="AA31" i="64" s="1"/>
  <c r="K29" i="64"/>
  <c r="S30" i="64"/>
  <c r="AA82" i="64" s="1"/>
  <c r="K32" i="64"/>
  <c r="K33" i="64"/>
  <c r="AA61" i="64" s="1"/>
  <c r="K34" i="64"/>
  <c r="AA62" i="64" s="1"/>
  <c r="K35" i="64"/>
  <c r="K17" i="64" s="1"/>
  <c r="AA42" i="64" s="1"/>
  <c r="K36" i="64"/>
  <c r="K37" i="64" s="1"/>
  <c r="K38" i="64"/>
  <c r="AA40" i="64"/>
  <c r="K41" i="64"/>
  <c r="K42" i="64"/>
  <c r="K43" i="64"/>
  <c r="K44" i="64" s="1"/>
  <c r="K18" i="64" s="1"/>
  <c r="K47" i="64"/>
  <c r="K48" i="64"/>
  <c r="K19" i="64" s="1"/>
  <c r="AA52" i="64"/>
  <c r="AA55" i="64"/>
  <c r="AA60" i="64"/>
  <c r="AA66" i="64"/>
  <c r="AA67" i="64"/>
  <c r="AA68" i="64"/>
  <c r="AA84" i="64"/>
  <c r="AA88" i="64"/>
  <c r="I19" i="63"/>
  <c r="U19" i="63"/>
  <c r="I20" i="63"/>
  <c r="I21" i="63"/>
  <c r="I25" i="63"/>
  <c r="I26" i="63"/>
  <c r="I27" i="63" s="1"/>
  <c r="I28" i="63" s="1"/>
  <c r="I32" i="63"/>
  <c r="I33" i="63"/>
  <c r="I37" i="63" s="1"/>
  <c r="I38" i="63" s="1"/>
  <c r="I53" i="63" s="1"/>
  <c r="U33" i="63"/>
  <c r="U20" i="63" s="1"/>
  <c r="X33" i="63"/>
  <c r="X37" i="63" s="1"/>
  <c r="X20" i="63" s="1"/>
  <c r="I34" i="63"/>
  <c r="U35" i="63" s="1"/>
  <c r="U34" i="63"/>
  <c r="X34" i="63"/>
  <c r="I35" i="63"/>
  <c r="I36" i="63"/>
  <c r="U36" i="63"/>
  <c r="X36" i="63"/>
  <c r="X49" i="63" s="1"/>
  <c r="I39" i="63"/>
  <c r="I42" i="63"/>
  <c r="I43" i="63"/>
  <c r="U43" i="63"/>
  <c r="I44" i="63"/>
  <c r="I45" i="63"/>
  <c r="I46" i="63"/>
  <c r="I47" i="63"/>
  <c r="I48" i="63" s="1"/>
  <c r="I54" i="63" s="1"/>
  <c r="U47" i="63"/>
  <c r="X47" i="63"/>
  <c r="U48" i="63"/>
  <c r="U49" i="63"/>
  <c r="I51" i="63"/>
  <c r="U52" i="63"/>
  <c r="U57" i="63"/>
  <c r="U64" i="63"/>
  <c r="U18" i="62"/>
  <c r="U19" i="62"/>
  <c r="H20" i="62"/>
  <c r="H24" i="62" s="1"/>
  <c r="U20" i="62"/>
  <c r="U24" i="62" s="1"/>
  <c r="U27" i="62" s="1"/>
  <c r="H22" i="62"/>
  <c r="H30" i="62"/>
  <c r="H32" i="62"/>
  <c r="H34" i="62"/>
  <c r="K14" i="60"/>
  <c r="K17" i="60" s="1"/>
  <c r="X50" i="60" s="1"/>
  <c r="K15" i="60"/>
  <c r="K16" i="60"/>
  <c r="V19" i="60"/>
  <c r="W19" i="60"/>
  <c r="V20" i="60"/>
  <c r="X20" i="60" s="1"/>
  <c r="W22" i="60"/>
  <c r="W21" i="60" s="1"/>
  <c r="X22" i="60"/>
  <c r="W27" i="60"/>
  <c r="X27" i="60" s="1"/>
  <c r="X30" i="60"/>
  <c r="X34" i="60" s="1"/>
  <c r="X36" i="60" s="1"/>
  <c r="X47" i="60" s="1"/>
  <c r="X31" i="60"/>
  <c r="X32" i="60"/>
  <c r="X33" i="60"/>
  <c r="X35" i="60"/>
  <c r="X40" i="60"/>
  <c r="X41" i="60" s="1"/>
  <c r="X42" i="60" s="1"/>
  <c r="X45" i="60" s="1"/>
  <c r="A1" i="57"/>
  <c r="G1" i="57"/>
  <c r="O1" i="57" s="1"/>
  <c r="A2" i="57"/>
  <c r="G2" i="57" s="1"/>
  <c r="O2" i="57" s="1"/>
  <c r="G3" i="57"/>
  <c r="O3" i="57"/>
  <c r="R15" i="57"/>
  <c r="I17" i="57"/>
  <c r="J17" i="57"/>
  <c r="K17" i="57"/>
  <c r="I18" i="57"/>
  <c r="J18" i="57"/>
  <c r="K18" i="57"/>
  <c r="K19" i="57" s="1"/>
  <c r="I19" i="57"/>
  <c r="I22" i="57" s="1"/>
  <c r="J23" i="57" s="1"/>
  <c r="J19" i="57"/>
  <c r="T19" i="57"/>
  <c r="S36" i="57" s="1"/>
  <c r="U19" i="57"/>
  <c r="V19" i="57"/>
  <c r="W19" i="57"/>
  <c r="W27" i="57" s="1"/>
  <c r="X19" i="57"/>
  <c r="S39" i="57" s="1"/>
  <c r="I20" i="57"/>
  <c r="J20" i="57"/>
  <c r="K20" i="57"/>
  <c r="T20" i="57"/>
  <c r="V20" i="57"/>
  <c r="W20" i="57"/>
  <c r="W21" i="57" s="1"/>
  <c r="X20" i="57"/>
  <c r="I21" i="57"/>
  <c r="T21" i="57"/>
  <c r="V21" i="57" s="1"/>
  <c r="U21" i="57"/>
  <c r="U23" i="57" s="1"/>
  <c r="S33" i="57" s="1"/>
  <c r="S37" i="57" s="1"/>
  <c r="I28" i="57"/>
  <c r="I29" i="57"/>
  <c r="I30" i="57"/>
  <c r="I32" i="57"/>
  <c r="I33" i="57"/>
  <c r="J21" i="57" s="1"/>
  <c r="I34" i="57"/>
  <c r="I39" i="57"/>
  <c r="K39" i="57"/>
  <c r="I40" i="57"/>
  <c r="J40" i="57"/>
  <c r="K40" i="57"/>
  <c r="K41" i="57" s="1"/>
  <c r="I41" i="57"/>
  <c r="I44" i="57" s="1"/>
  <c r="J46" i="57" s="1"/>
  <c r="I42" i="57"/>
  <c r="I43" i="57"/>
  <c r="I45" i="57"/>
  <c r="J45" i="57"/>
  <c r="K45" i="57"/>
  <c r="R26" i="57" s="1"/>
  <c r="I51" i="57"/>
  <c r="I52" i="57"/>
  <c r="J39" i="57" s="1"/>
  <c r="I53" i="57"/>
  <c r="I55" i="57"/>
  <c r="J42" i="57" s="1"/>
  <c r="K42" i="57" s="1"/>
  <c r="K66" i="57" s="1"/>
  <c r="R22" i="57" s="1"/>
  <c r="S22" i="57" s="1"/>
  <c r="T22" i="57" s="1"/>
  <c r="V22" i="57" s="1"/>
  <c r="X22" i="57" s="1"/>
  <c r="I56" i="57"/>
  <c r="J43" i="57" s="1"/>
  <c r="I57" i="57"/>
  <c r="K63" i="57"/>
  <c r="R19" i="57" s="1"/>
  <c r="K64" i="57"/>
  <c r="I75" i="57" s="1"/>
  <c r="I73" i="57"/>
  <c r="I77" i="57"/>
  <c r="A1" i="56"/>
  <c r="G1" i="56"/>
  <c r="O1" i="56" s="1"/>
  <c r="A2" i="56"/>
  <c r="G2" i="56" s="1"/>
  <c r="O2" i="56" s="1"/>
  <c r="G3" i="56"/>
  <c r="O3" i="56"/>
  <c r="G1" i="55"/>
  <c r="O1" i="55"/>
  <c r="G2" i="55"/>
  <c r="O2" i="55"/>
  <c r="G3" i="55"/>
  <c r="O3" i="55" s="1"/>
  <c r="Q13" i="55"/>
  <c r="I15" i="55"/>
  <c r="I16" i="55"/>
  <c r="I17" i="55" s="1"/>
  <c r="I22" i="55" s="1"/>
  <c r="Q24" i="55" s="1"/>
  <c r="R17" i="55"/>
  <c r="R18" i="55"/>
  <c r="R19" i="55" s="1"/>
  <c r="R24" i="55" s="1"/>
  <c r="R27" i="55" s="1"/>
  <c r="I21" i="55"/>
  <c r="I23" i="55" s="1"/>
  <c r="R23" i="55"/>
  <c r="R25" i="55"/>
  <c r="S25" i="55"/>
  <c r="G1" i="54"/>
  <c r="O1" i="54" s="1"/>
  <c r="G2" i="54"/>
  <c r="O2" i="54" s="1"/>
  <c r="G3" i="54"/>
  <c r="O3" i="54"/>
  <c r="A1" i="53"/>
  <c r="J1" i="53" s="1"/>
  <c r="J2" i="53"/>
  <c r="J3" i="53"/>
  <c r="K9" i="53"/>
  <c r="K11" i="53"/>
  <c r="K13" i="53"/>
  <c r="K15" i="53"/>
  <c r="L20" i="53"/>
  <c r="M20" i="53"/>
  <c r="P20" i="53" s="1"/>
  <c r="N20" i="53"/>
  <c r="O20" i="53"/>
  <c r="L21" i="53"/>
  <c r="M21" i="53"/>
  <c r="N21" i="53"/>
  <c r="O21" i="53"/>
  <c r="P21" i="53"/>
  <c r="L22" i="53"/>
  <c r="M22" i="53"/>
  <c r="N22" i="53"/>
  <c r="O22" i="53"/>
  <c r="P22" i="53"/>
  <c r="L23" i="53"/>
  <c r="N23" i="53" s="1"/>
  <c r="M23" i="53"/>
  <c r="L24" i="53"/>
  <c r="M24" i="53"/>
  <c r="N24" i="53"/>
  <c r="O24" i="53"/>
  <c r="P24" i="53"/>
  <c r="L25" i="53"/>
  <c r="O25" i="53" s="1"/>
  <c r="M25" i="53"/>
  <c r="P25" i="53" s="1"/>
  <c r="N25" i="53"/>
  <c r="L26" i="53"/>
  <c r="M26" i="53"/>
  <c r="N26" i="53" s="1"/>
  <c r="P26" i="53" s="1"/>
  <c r="O26" i="53"/>
  <c r="L27" i="53"/>
  <c r="M27" i="53"/>
  <c r="N27" i="53"/>
  <c r="O27" i="53"/>
  <c r="P27" i="53"/>
  <c r="L28" i="53"/>
  <c r="N28" i="53" s="1"/>
  <c r="P28" i="53" s="1"/>
  <c r="M28" i="53"/>
  <c r="O28" i="53"/>
  <c r="L29" i="53"/>
  <c r="M29" i="53"/>
  <c r="N29" i="53"/>
  <c r="O29" i="53"/>
  <c r="P29" i="53"/>
  <c r="L30" i="53"/>
  <c r="N30" i="53" s="1"/>
  <c r="M30" i="53"/>
  <c r="P30" i="53" s="1"/>
  <c r="L31" i="53"/>
  <c r="M31" i="53"/>
  <c r="N31" i="53"/>
  <c r="O31" i="53"/>
  <c r="P31" i="53"/>
  <c r="L32" i="53"/>
  <c r="M32" i="53"/>
  <c r="P32" i="53" s="1"/>
  <c r="N32" i="53"/>
  <c r="O32" i="53"/>
  <c r="L33" i="53"/>
  <c r="M33" i="53"/>
  <c r="N33" i="53"/>
  <c r="O33" i="53"/>
  <c r="P33" i="53"/>
  <c r="L34" i="53"/>
  <c r="M34" i="53"/>
  <c r="N34" i="53"/>
  <c r="O34" i="53"/>
  <c r="P34" i="53"/>
  <c r="M46" i="53"/>
  <c r="A1" i="52"/>
  <c r="J1" i="52" s="1"/>
  <c r="J2" i="52"/>
  <c r="J3" i="52"/>
  <c r="K9" i="52"/>
  <c r="K11" i="52"/>
  <c r="K13" i="52"/>
  <c r="K15" i="52"/>
  <c r="Q7" i="50"/>
  <c r="Q9" i="50"/>
  <c r="Q11" i="50"/>
  <c r="Q13" i="50"/>
  <c r="R18" i="50"/>
  <c r="S18" i="50"/>
  <c r="T18" i="50"/>
  <c r="U18" i="50"/>
  <c r="V23" i="50" s="1"/>
  <c r="V24" i="50" s="1"/>
  <c r="Y18" i="50" s="1"/>
  <c r="AA18" i="50" s="1"/>
  <c r="R19" i="50"/>
  <c r="S22" i="50" s="1"/>
  <c r="S23" i="50" s="1"/>
  <c r="S24" i="50" s="1"/>
  <c r="Y21" i="50" s="1"/>
  <c r="AA21" i="50" s="1"/>
  <c r="S19" i="50"/>
  <c r="T22" i="50" s="1"/>
  <c r="T23" i="50" s="1"/>
  <c r="T24" i="50" s="1"/>
  <c r="Y20" i="50" s="1"/>
  <c r="AA20" i="50" s="1"/>
  <c r="T19" i="50"/>
  <c r="U22" i="50" s="1"/>
  <c r="U23" i="50" s="1"/>
  <c r="U24" i="50" s="1"/>
  <c r="Y19" i="50" s="1"/>
  <c r="AA19" i="50" s="1"/>
  <c r="U19" i="50"/>
  <c r="R20" i="50"/>
  <c r="S20" i="50"/>
  <c r="T20" i="50"/>
  <c r="U20" i="50"/>
  <c r="R21" i="50"/>
  <c r="S21" i="50"/>
  <c r="T21" i="50"/>
  <c r="U21" i="50"/>
  <c r="V21" i="50"/>
  <c r="V22" i="50"/>
  <c r="AA25" i="50"/>
  <c r="S29" i="50"/>
  <c r="R29" i="50" s="1"/>
  <c r="R30" i="50"/>
  <c r="R32" i="50"/>
  <c r="S32" i="50" s="1"/>
  <c r="R41" i="50"/>
  <c r="S41" i="50"/>
  <c r="S45" i="50" s="1"/>
  <c r="R42" i="50"/>
  <c r="S42" i="50"/>
  <c r="S47" i="50" s="1"/>
  <c r="R46" i="50"/>
  <c r="S46" i="50" s="1"/>
  <c r="S48" i="50" s="1"/>
  <c r="R48" i="50"/>
  <c r="R50" i="50"/>
  <c r="S50" i="50"/>
  <c r="Q7" i="49"/>
  <c r="Q9" i="49"/>
  <c r="Q11" i="49"/>
  <c r="Q13" i="49"/>
  <c r="P7" i="48"/>
  <c r="AC7" i="48"/>
  <c r="P9" i="48"/>
  <c r="AC9" i="48"/>
  <c r="R15" i="48"/>
  <c r="AD15" i="48"/>
  <c r="R16" i="48"/>
  <c r="AD16" i="48"/>
  <c r="R17" i="48"/>
  <c r="AD17" i="48" s="1"/>
  <c r="R18" i="48"/>
  <c r="AD18" i="48"/>
  <c r="R19" i="48"/>
  <c r="AD19" i="48"/>
  <c r="AD27" i="48" s="1"/>
  <c r="AD42" i="48" s="1"/>
  <c r="R20" i="48"/>
  <c r="AD20" i="48"/>
  <c r="R23" i="48"/>
  <c r="AD23" i="48"/>
  <c r="R24" i="48"/>
  <c r="AD24" i="48"/>
  <c r="AD28" i="48" s="1"/>
  <c r="R25" i="48"/>
  <c r="R28" i="48" s="1"/>
  <c r="AD25" i="48"/>
  <c r="R26" i="48"/>
  <c r="AD26" i="48"/>
  <c r="R31" i="48"/>
  <c r="AD31" i="48" s="1"/>
  <c r="AD34" i="48" s="1"/>
  <c r="AD43" i="48" s="1"/>
  <c r="R32" i="48"/>
  <c r="AD32" i="48"/>
  <c r="R33" i="48"/>
  <c r="AD33" i="48"/>
  <c r="R34" i="48"/>
  <c r="R35" i="48"/>
  <c r="R53" i="48" s="1"/>
  <c r="AD35" i="48"/>
  <c r="R40" i="48"/>
  <c r="AD40" i="48" s="1"/>
  <c r="R41" i="48"/>
  <c r="AD41" i="48" s="1"/>
  <c r="R48" i="48"/>
  <c r="AD48" i="48" s="1"/>
  <c r="R51" i="48"/>
  <c r="AD51" i="48" s="1"/>
  <c r="R57" i="48"/>
  <c r="AD57" i="48" s="1"/>
  <c r="R58" i="48"/>
  <c r="AD58" i="48" s="1"/>
  <c r="P7" i="47"/>
  <c r="AC7" i="47"/>
  <c r="P9" i="47"/>
  <c r="AC9" i="47"/>
  <c r="R32" i="46"/>
  <c r="Q33" i="46"/>
  <c r="R33" i="46" s="1"/>
  <c r="Q34" i="46"/>
  <c r="R34" i="46" s="1"/>
  <c r="Q53" i="46" s="1"/>
  <c r="Q55" i="46" s="1"/>
  <c r="R35" i="46"/>
  <c r="R36" i="46"/>
  <c r="R37" i="46"/>
  <c r="Q45" i="46"/>
  <c r="Q46" i="46" s="1"/>
  <c r="Q50" i="46"/>
  <c r="Q51" i="46"/>
  <c r="Q54" i="46"/>
  <c r="Q86" i="46" s="1"/>
  <c r="Q89" i="46" s="1"/>
  <c r="Q102" i="46" s="1"/>
  <c r="Q61" i="46"/>
  <c r="Q66" i="46" s="1"/>
  <c r="Q109" i="46" s="1"/>
  <c r="Q65" i="46"/>
  <c r="Q68" i="46"/>
  <c r="Q69" i="46"/>
  <c r="Q87" i="46" s="1"/>
  <c r="Q70" i="46"/>
  <c r="Q88" i="46" s="1"/>
  <c r="Q74" i="46"/>
  <c r="Q76" i="46"/>
  <c r="Q77" i="46"/>
  <c r="Q78" i="46" s="1"/>
  <c r="Q83" i="46" s="1"/>
  <c r="Q101" i="46" s="1"/>
  <c r="Q80" i="46"/>
  <c r="Q81" i="46"/>
  <c r="Q92" i="46"/>
  <c r="Q94" i="46"/>
  <c r="Q100" i="46"/>
  <c r="Q138" i="46" s="1"/>
  <c r="Q139" i="46" s="1"/>
  <c r="Q131" i="46"/>
  <c r="Q132" i="46"/>
  <c r="Q149" i="46"/>
  <c r="S149" i="46"/>
  <c r="Q150" i="46"/>
  <c r="R150" i="46"/>
  <c r="S150" i="46"/>
  <c r="Q151" i="46"/>
  <c r="Q155" i="46" s="1"/>
  <c r="R157" i="46" s="1"/>
  <c r="S151" i="46"/>
  <c r="S152" i="46"/>
  <c r="Q153" i="46"/>
  <c r="S154" i="46"/>
  <c r="T154" i="46"/>
  <c r="R159" i="46"/>
  <c r="T159" i="46"/>
  <c r="P7" i="44"/>
  <c r="Q15" i="44"/>
  <c r="R18" i="44"/>
  <c r="R19" i="44"/>
  <c r="R20" i="44" s="1"/>
  <c r="Q20" i="44"/>
  <c r="R25" i="44"/>
  <c r="S25" i="44"/>
  <c r="T25" i="44"/>
  <c r="R26" i="44"/>
  <c r="S26" i="44"/>
  <c r="Q65" i="44" s="1"/>
  <c r="T26" i="44"/>
  <c r="R30" i="44"/>
  <c r="S30" i="44"/>
  <c r="Q31" i="44"/>
  <c r="R31" i="44"/>
  <c r="Q33" i="44"/>
  <c r="R33" i="44"/>
  <c r="Q44" i="44"/>
  <c r="R44" i="44" s="1"/>
  <c r="Q45" i="44"/>
  <c r="R45" i="44"/>
  <c r="Q46" i="44"/>
  <c r="R46" i="44" s="1"/>
  <c r="Q50" i="44"/>
  <c r="Q51" i="44"/>
  <c r="Q56" i="44"/>
  <c r="Q59" i="44"/>
  <c r="Q63" i="44"/>
  <c r="P7" i="43"/>
  <c r="P7" i="42"/>
  <c r="AB7" i="42"/>
  <c r="AC7" i="42"/>
  <c r="P9" i="42"/>
  <c r="AC10" i="42"/>
  <c r="AD15" i="42"/>
  <c r="AF15" i="42" s="1"/>
  <c r="AF16" i="42"/>
  <c r="AD17" i="42"/>
  <c r="AF17" i="42" s="1"/>
  <c r="Q18" i="42"/>
  <c r="AD18" i="42" s="1"/>
  <c r="AF18" i="42" s="1"/>
  <c r="Q23" i="42"/>
  <c r="Q25" i="42"/>
  <c r="Q27" i="42" s="1"/>
  <c r="AE26" i="42"/>
  <c r="AF26" i="42" s="1"/>
  <c r="AH26" i="42" s="1"/>
  <c r="AD28" i="42"/>
  <c r="AD29" i="42"/>
  <c r="AD31" i="42"/>
  <c r="AE31" i="42" s="1"/>
  <c r="AF31" i="42"/>
  <c r="AG31" i="42" s="1"/>
  <c r="AH31" i="42"/>
  <c r="P34" i="42"/>
  <c r="AC70" i="42" s="1"/>
  <c r="R34" i="42"/>
  <c r="P35" i="42"/>
  <c r="AC71" i="42" s="1"/>
  <c r="R35" i="42"/>
  <c r="AD71" i="42" s="1"/>
  <c r="P36" i="42"/>
  <c r="R36" i="42"/>
  <c r="P37" i="42"/>
  <c r="R37" i="42"/>
  <c r="P38" i="42"/>
  <c r="R38" i="42"/>
  <c r="R39" i="42" s="1"/>
  <c r="R40" i="42" s="1"/>
  <c r="R41" i="42" s="1"/>
  <c r="R42" i="42" s="1"/>
  <c r="R43" i="42" s="1"/>
  <c r="R44" i="42" s="1"/>
  <c r="R45" i="42" s="1"/>
  <c r="R46" i="42" s="1"/>
  <c r="P39" i="42"/>
  <c r="P40" i="42" s="1"/>
  <c r="P41" i="42" s="1"/>
  <c r="P42" i="42" s="1"/>
  <c r="P43" i="42" s="1"/>
  <c r="P44" i="42" s="1"/>
  <c r="P45" i="42" s="1"/>
  <c r="P46" i="42" s="1"/>
  <c r="P47" i="42" s="1"/>
  <c r="P48" i="42" s="1"/>
  <c r="P49" i="42" s="1"/>
  <c r="P50" i="42" s="1"/>
  <c r="P51" i="42" s="1"/>
  <c r="Q39" i="42"/>
  <c r="Q40" i="42" s="1"/>
  <c r="Q41" i="42" s="1"/>
  <c r="Q42" i="42" s="1"/>
  <c r="Q43" i="42" s="1"/>
  <c r="Q44" i="42" s="1"/>
  <c r="Q45" i="42" s="1"/>
  <c r="Q46" i="42" s="1"/>
  <c r="Q47" i="42" s="1"/>
  <c r="Q48" i="42" s="1"/>
  <c r="Q49" i="42" s="1"/>
  <c r="Q50" i="42" s="1"/>
  <c r="Q51" i="42" s="1"/>
  <c r="AD58" i="42"/>
  <c r="AD59" i="42" s="1"/>
  <c r="AD60" i="42" s="1"/>
  <c r="AD70" i="42"/>
  <c r="AC72" i="42"/>
  <c r="AD72" i="42"/>
  <c r="AC73" i="42"/>
  <c r="AD73" i="42"/>
  <c r="AC74" i="42"/>
  <c r="AD74" i="42"/>
  <c r="AD75" i="42"/>
  <c r="Q76" i="42"/>
  <c r="Q77" i="42" s="1"/>
  <c r="Q78" i="42" s="1"/>
  <c r="P7" i="41"/>
  <c r="AB7" i="41"/>
  <c r="AC7" i="41"/>
  <c r="P9" i="41"/>
  <c r="AC10" i="41"/>
  <c r="X1" i="40"/>
  <c r="X2" i="40"/>
  <c r="X3" i="40"/>
  <c r="P7" i="40"/>
  <c r="Y7" i="40"/>
  <c r="Q18" i="40"/>
  <c r="Q20" i="40"/>
  <c r="Q75" i="40" s="1"/>
  <c r="AA21" i="40"/>
  <c r="AB21" i="40"/>
  <c r="AC21" i="40"/>
  <c r="Z23" i="40"/>
  <c r="AA23" i="40" s="1"/>
  <c r="AB23" i="40"/>
  <c r="AC23" i="40" s="1"/>
  <c r="P31" i="40"/>
  <c r="Y61" i="40" s="1"/>
  <c r="R31" i="40"/>
  <c r="P32" i="40"/>
  <c r="R32" i="40"/>
  <c r="P33" i="40"/>
  <c r="Y63" i="40" s="1"/>
  <c r="R33" i="40"/>
  <c r="P34" i="40"/>
  <c r="Y64" i="40" s="1"/>
  <c r="R34" i="40"/>
  <c r="Z64" i="40" s="1"/>
  <c r="P35" i="40"/>
  <c r="P36" i="40" s="1"/>
  <c r="P37" i="40" s="1"/>
  <c r="P38" i="40" s="1"/>
  <c r="P39" i="40" s="1"/>
  <c r="P40" i="40" s="1"/>
  <c r="P41" i="40" s="1"/>
  <c r="P42" i="40" s="1"/>
  <c r="P43" i="40" s="1"/>
  <c r="P44" i="40" s="1"/>
  <c r="P45" i="40" s="1"/>
  <c r="P46" i="40" s="1"/>
  <c r="P47" i="40" s="1"/>
  <c r="P48" i="40" s="1"/>
  <c r="R35" i="40"/>
  <c r="R36" i="40" s="1"/>
  <c r="R37" i="40" s="1"/>
  <c r="R38" i="40" s="1"/>
  <c r="R39" i="40" s="1"/>
  <c r="R40" i="40" s="1"/>
  <c r="R41" i="40" s="1"/>
  <c r="R42" i="40" s="1"/>
  <c r="R43" i="40" s="1"/>
  <c r="Z49" i="40"/>
  <c r="Z50" i="40"/>
  <c r="Z61" i="40"/>
  <c r="Y62" i="40"/>
  <c r="Z62" i="40"/>
  <c r="Z63" i="40"/>
  <c r="Z66" i="40"/>
  <c r="Q73" i="40"/>
  <c r="Q74" i="40"/>
  <c r="AB1" i="39"/>
  <c r="AB2" i="39"/>
  <c r="AB3" i="39"/>
  <c r="P9" i="39"/>
  <c r="AC9" i="39"/>
  <c r="H19" i="38"/>
  <c r="H21" i="38" s="1"/>
  <c r="I20" i="38"/>
  <c r="H27" i="38"/>
  <c r="I17" i="38" s="1"/>
  <c r="H29" i="38"/>
  <c r="I18" i="38" s="1"/>
  <c r="H31" i="38"/>
  <c r="H44" i="38" s="1"/>
  <c r="H33" i="38"/>
  <c r="H37" i="38"/>
  <c r="J17" i="38" s="1"/>
  <c r="H39" i="38"/>
  <c r="H40" i="38"/>
  <c r="J18" i="38" s="1"/>
  <c r="H42" i="38"/>
  <c r="H49" i="38"/>
  <c r="H50" i="38"/>
  <c r="H53" i="38" s="1"/>
  <c r="H65" i="38"/>
  <c r="H70" i="38"/>
  <c r="H75" i="38" s="1"/>
  <c r="H72" i="38"/>
  <c r="H80" i="38"/>
  <c r="J24" i="36"/>
  <c r="J27" i="36" s="1"/>
  <c r="J32" i="36" s="1"/>
  <c r="J29" i="36"/>
  <c r="J34" i="36"/>
  <c r="J36" i="36"/>
  <c r="J38" i="36"/>
  <c r="J40" i="36"/>
  <c r="J42" i="36"/>
  <c r="J44" i="36"/>
  <c r="J46" i="36"/>
  <c r="N18" i="34"/>
  <c r="N23" i="34"/>
  <c r="N25" i="34"/>
  <c r="N27" i="34"/>
  <c r="N29" i="34"/>
  <c r="N31" i="34"/>
  <c r="N33" i="34"/>
  <c r="V24" i="74" l="1"/>
  <c r="T25" i="74"/>
  <c r="W24" i="74"/>
  <c r="U52" i="74"/>
  <c r="R38" i="68"/>
  <c r="J41" i="68"/>
  <c r="J17" i="68"/>
  <c r="J32" i="68" s="1"/>
  <c r="Q32" i="68" s="1"/>
  <c r="Q39" i="68" s="1"/>
  <c r="J26" i="68"/>
  <c r="J38" i="68"/>
  <c r="Q54" i="68"/>
  <c r="Q55" i="68"/>
  <c r="Q58" i="68" s="1"/>
  <c r="J30" i="68"/>
  <c r="Q48" i="68"/>
  <c r="S38" i="68"/>
  <c r="J21" i="66"/>
  <c r="J22" i="66" s="1"/>
  <c r="J53" i="66"/>
  <c r="K51" i="66"/>
  <c r="J35" i="66"/>
  <c r="J36" i="66" s="1"/>
  <c r="J38" i="66" s="1"/>
  <c r="S24" i="64"/>
  <c r="AA74" i="64" s="1"/>
  <c r="AA89" i="64" s="1"/>
  <c r="S16" i="64"/>
  <c r="AA43" i="64"/>
  <c r="AA32" i="64"/>
  <c r="AA70" i="64"/>
  <c r="S19" i="64"/>
  <c r="S26" i="64"/>
  <c r="AA51" i="64"/>
  <c r="K16" i="64"/>
  <c r="AI20" i="64"/>
  <c r="S31" i="64"/>
  <c r="AA83" i="64" s="1"/>
  <c r="AA90" i="64" s="1"/>
  <c r="AA44" i="64"/>
  <c r="S17" i="64"/>
  <c r="AA63" i="64"/>
  <c r="AA64" i="64" s="1"/>
  <c r="AA65" i="64" s="1"/>
  <c r="AA49" i="64"/>
  <c r="S33" i="64"/>
  <c r="K27" i="64"/>
  <c r="K28" i="64" s="1"/>
  <c r="AA93" i="64"/>
  <c r="AA77" i="64"/>
  <c r="AI19" i="64"/>
  <c r="AA36" i="64"/>
  <c r="U37" i="63"/>
  <c r="U38" i="63"/>
  <c r="U40" i="63" s="1"/>
  <c r="U42" i="63" s="1"/>
  <c r="U68" i="63" s="1"/>
  <c r="I22" i="63"/>
  <c r="I52" i="63"/>
  <c r="I55" i="63" s="1"/>
  <c r="X50" i="63"/>
  <c r="X21" i="63" s="1"/>
  <c r="U50" i="63"/>
  <c r="U21" i="63" s="1"/>
  <c r="U58" i="63"/>
  <c r="U59" i="63" s="1"/>
  <c r="U60" i="63" s="1"/>
  <c r="U65" i="63" s="1"/>
  <c r="W23" i="60"/>
  <c r="V23" i="60"/>
  <c r="V21" i="60"/>
  <c r="X21" i="60" s="1"/>
  <c r="X19" i="60"/>
  <c r="X23" i="60" s="1"/>
  <c r="K65" i="57"/>
  <c r="X21" i="57"/>
  <c r="J41" i="57"/>
  <c r="J44" i="57" s="1"/>
  <c r="K44" i="57" s="1"/>
  <c r="S38" i="57"/>
  <c r="S40" i="57"/>
  <c r="J22" i="57"/>
  <c r="K22" i="57" s="1"/>
  <c r="K21" i="57" s="1"/>
  <c r="R20" i="57"/>
  <c r="I74" i="57"/>
  <c r="S24" i="55"/>
  <c r="Q23" i="55"/>
  <c r="P23" i="53"/>
  <c r="M41" i="53" s="1"/>
  <c r="M49" i="53" s="1"/>
  <c r="M37" i="53"/>
  <c r="O23" i="53"/>
  <c r="M38" i="53" s="1"/>
  <c r="M42" i="53" s="1"/>
  <c r="O30" i="53"/>
  <c r="AA22" i="50"/>
  <c r="AA26" i="50" s="1"/>
  <c r="S49" i="50"/>
  <c r="S51" i="50" s="1"/>
  <c r="R33" i="50" s="1"/>
  <c r="R34" i="50"/>
  <c r="AD53" i="48"/>
  <c r="AD44" i="48"/>
  <c r="AD46" i="48"/>
  <c r="AD52" i="48"/>
  <c r="R52" i="48"/>
  <c r="R46" i="48"/>
  <c r="R44" i="48"/>
  <c r="R47" i="48" s="1"/>
  <c r="R54" i="48" s="1"/>
  <c r="T149" i="46"/>
  <c r="Q140" i="46"/>
  <c r="Q142" i="46"/>
  <c r="Q41" i="46"/>
  <c r="Q47" i="46" s="1"/>
  <c r="R38" i="46"/>
  <c r="Q38" i="46"/>
  <c r="Q134" i="46"/>
  <c r="R47" i="44"/>
  <c r="Q41" i="44" s="1"/>
  <c r="Q52" i="44" s="1"/>
  <c r="Q64" i="44"/>
  <c r="Q66" i="44" s="1"/>
  <c r="S31" i="44" s="1"/>
  <c r="Q60" i="44"/>
  <c r="Q59" i="42"/>
  <c r="Q64" i="42" s="1"/>
  <c r="Q65" i="42" s="1"/>
  <c r="AD40" i="42"/>
  <c r="AD65" i="42"/>
  <c r="AD78" i="42" s="1"/>
  <c r="R47" i="42"/>
  <c r="R48" i="42" s="1"/>
  <c r="R49" i="42" s="1"/>
  <c r="R50" i="42" s="1"/>
  <c r="Q28" i="42"/>
  <c r="AE29" i="42"/>
  <c r="AF29" i="42" s="1"/>
  <c r="Q38" i="42"/>
  <c r="Q37" i="42" s="1"/>
  <c r="Q36" i="42" s="1"/>
  <c r="Q35" i="42" s="1"/>
  <c r="Q34" i="42" s="1"/>
  <c r="Z56" i="40"/>
  <c r="Z69" i="40" s="1"/>
  <c r="R44" i="40"/>
  <c r="R45" i="40" s="1"/>
  <c r="R46" i="40" s="1"/>
  <c r="R47" i="40" s="1"/>
  <c r="Q23" i="40"/>
  <c r="Q36" i="40"/>
  <c r="Z65" i="40"/>
  <c r="Q22" i="40"/>
  <c r="Y65" i="40"/>
  <c r="Z51" i="40"/>
  <c r="K17" i="38"/>
  <c r="K19" i="38" s="1"/>
  <c r="K21" i="38" s="1"/>
  <c r="H60" i="38"/>
  <c r="H77" i="38" s="1"/>
  <c r="J19" i="38"/>
  <c r="H58" i="38"/>
  <c r="K20" i="38" s="1"/>
  <c r="J20" i="38"/>
  <c r="I19" i="38"/>
  <c r="I21" i="38" s="1"/>
  <c r="H79" i="38"/>
  <c r="H82" i="38" s="1"/>
  <c r="U53" i="74" l="1"/>
  <c r="X25" i="74"/>
  <c r="T26" i="74"/>
  <c r="W25" i="74"/>
  <c r="V25" i="74"/>
  <c r="Q41" i="68"/>
  <c r="Q65" i="68" s="1"/>
  <c r="Q59" i="68"/>
  <c r="R18" i="68"/>
  <c r="Q64" i="68"/>
  <c r="Q67" i="68" s="1"/>
  <c r="Q60" i="68"/>
  <c r="J46" i="66"/>
  <c r="J52" i="66"/>
  <c r="K52" i="66"/>
  <c r="K55" i="66" s="1"/>
  <c r="J44" i="66"/>
  <c r="J45" i="66" s="1"/>
  <c r="S25" i="64"/>
  <c r="S27" i="64" s="1"/>
  <c r="S18" i="64"/>
  <c r="S20" i="64" s="1"/>
  <c r="AA76" i="64"/>
  <c r="AA92" i="64"/>
  <c r="K20" i="64"/>
  <c r="AA41" i="64"/>
  <c r="AA18" i="64"/>
  <c r="AA53" i="64"/>
  <c r="AA54" i="64" s="1"/>
  <c r="AA85" i="64"/>
  <c r="U67" i="63"/>
  <c r="U69" i="63" s="1"/>
  <c r="X23" i="63" s="1"/>
  <c r="X24" i="63" s="1"/>
  <c r="U51" i="63"/>
  <c r="U53" i="63" s="1"/>
  <c r="U66" i="63" s="1"/>
  <c r="U22" i="63"/>
  <c r="U24" i="63" s="1"/>
  <c r="I23" i="63"/>
  <c r="W24" i="60"/>
  <c r="W25" i="60"/>
  <c r="V24" i="60"/>
  <c r="X24" i="60" s="1"/>
  <c r="X51" i="60" s="1"/>
  <c r="V25" i="60"/>
  <c r="V28" i="60" s="1"/>
  <c r="S20" i="57"/>
  <c r="R21" i="57"/>
  <c r="K68" i="57"/>
  <c r="K43" i="57"/>
  <c r="K67" i="57" s="1"/>
  <c r="S19" i="57"/>
  <c r="R14" i="57"/>
  <c r="Q27" i="55"/>
  <c r="S23" i="55"/>
  <c r="S27" i="55" s="1"/>
  <c r="S30" i="50"/>
  <c r="S34" i="50" s="1"/>
  <c r="R47" i="50"/>
  <c r="R43" i="50"/>
  <c r="R44" i="50" s="1"/>
  <c r="R45" i="50" s="1"/>
  <c r="R49" i="50" s="1"/>
  <c r="R51" i="50" s="1"/>
  <c r="S33" i="50" s="1"/>
  <c r="R55" i="48"/>
  <c r="AD47" i="48"/>
  <c r="AD54" i="48" s="1"/>
  <c r="AD55" i="48" s="1"/>
  <c r="Q48" i="46"/>
  <c r="Q58" i="46" s="1"/>
  <c r="R149" i="46"/>
  <c r="R151" i="46" s="1"/>
  <c r="Q62" i="46"/>
  <c r="Q110" i="46" s="1"/>
  <c r="S158" i="46" s="1"/>
  <c r="Q136" i="46"/>
  <c r="Q119" i="46" s="1"/>
  <c r="Q135" i="46"/>
  <c r="R158" i="46"/>
  <c r="R160" i="46" s="1"/>
  <c r="S157" i="46" s="1"/>
  <c r="S160" i="46" s="1"/>
  <c r="T157" i="46" s="1"/>
  <c r="Q108" i="46"/>
  <c r="Q54" i="44"/>
  <c r="Q57" i="44"/>
  <c r="Q70" i="44"/>
  <c r="AG29" i="42"/>
  <c r="AH29" i="42"/>
  <c r="AD66" i="42"/>
  <c r="AD79" i="42" s="1"/>
  <c r="AD84" i="42" s="1"/>
  <c r="AD85" i="42" s="1"/>
  <c r="AD45" i="42"/>
  <c r="AD46" i="42" s="1"/>
  <c r="AD39" i="42"/>
  <c r="Q58" i="42"/>
  <c r="AD80" i="42"/>
  <c r="AD81" i="42" s="1"/>
  <c r="AD87" i="42" s="1"/>
  <c r="Q37" i="40"/>
  <c r="Q38" i="40" s="1"/>
  <c r="Q39" i="40" s="1"/>
  <c r="Q40" i="40" s="1"/>
  <c r="Q41" i="40" s="1"/>
  <c r="Q42" i="40" s="1"/>
  <c r="Q43" i="40" s="1"/>
  <c r="Q44" i="40" s="1"/>
  <c r="Q45" i="40" s="1"/>
  <c r="Q46" i="40" s="1"/>
  <c r="Q47" i="40" s="1"/>
  <c r="Q48" i="40" s="1"/>
  <c r="Q35" i="40"/>
  <c r="Q34" i="40" s="1"/>
  <c r="Q33" i="40" s="1"/>
  <c r="Q32" i="40" s="1"/>
  <c r="Q31" i="40" s="1"/>
  <c r="Z30" i="40"/>
  <c r="Q54" i="40"/>
  <c r="Z31" i="40"/>
  <c r="Q55" i="40"/>
  <c r="Q60" i="40" s="1"/>
  <c r="Q61" i="40" s="1"/>
  <c r="J21" i="38"/>
  <c r="W26" i="74" l="1"/>
  <c r="V26" i="74"/>
  <c r="T27" i="74"/>
  <c r="X26" i="74"/>
  <c r="U54" i="74"/>
  <c r="R20" i="68"/>
  <c r="Q61" i="68"/>
  <c r="J47" i="66"/>
  <c r="J48" i="66" s="1"/>
  <c r="J54" i="66" s="1"/>
  <c r="J55" i="66" s="1"/>
  <c r="AA91" i="64"/>
  <c r="AA75" i="64"/>
  <c r="AA35" i="64"/>
  <c r="AA37" i="64" s="1"/>
  <c r="S35" i="64"/>
  <c r="S36" i="64" s="1"/>
  <c r="U27" i="63"/>
  <c r="W26" i="60"/>
  <c r="X26" i="60" s="1"/>
  <c r="X52" i="60" s="1"/>
  <c r="X54" i="60" s="1"/>
  <c r="X25" i="60"/>
  <c r="X28" i="60" s="1"/>
  <c r="X46" i="60" s="1"/>
  <c r="X48" i="60" s="1"/>
  <c r="X53" i="60" s="1"/>
  <c r="R23" i="57"/>
  <c r="R24" i="57" s="1"/>
  <c r="I78" i="57"/>
  <c r="I79" i="57" s="1"/>
  <c r="S21" i="57"/>
  <c r="Q143" i="46"/>
  <c r="Q144" i="46" s="1"/>
  <c r="T150" i="46"/>
  <c r="T151" i="46" s="1"/>
  <c r="R155" i="46"/>
  <c r="R162" i="46" s="1"/>
  <c r="R153" i="46"/>
  <c r="S153" i="46" s="1"/>
  <c r="S155" i="46" s="1"/>
  <c r="S162" i="46" s="1"/>
  <c r="Q63" i="46"/>
  <c r="Q91" i="46" s="1"/>
  <c r="S32" i="44"/>
  <c r="S33" i="44" s="1"/>
  <c r="Q69" i="44"/>
  <c r="Q72" i="44" s="1"/>
  <c r="T35" i="44" s="1"/>
  <c r="Q60" i="42"/>
  <c r="Q61" i="42" s="1"/>
  <c r="Q55" i="42" s="1"/>
  <c r="Q70" i="42"/>
  <c r="Q72" i="42" s="1"/>
  <c r="Q73" i="42" s="1"/>
  <c r="Q67" i="42" s="1"/>
  <c r="Q13" i="42" s="1"/>
  <c r="AD41" i="42"/>
  <c r="AD42" i="42" s="1"/>
  <c r="AD36" i="42" s="1"/>
  <c r="AD52" i="42"/>
  <c r="AD54" i="42" s="1"/>
  <c r="AD55" i="42" s="1"/>
  <c r="AD49" i="42" s="1"/>
  <c r="Z43" i="40"/>
  <c r="Z45" i="40" s="1"/>
  <c r="Z46" i="40" s="1"/>
  <c r="Z40" i="40" s="1"/>
  <c r="Z32" i="40"/>
  <c r="Z36" i="40"/>
  <c r="Z37" i="40" s="1"/>
  <c r="Z57" i="40"/>
  <c r="Z70" i="40" s="1"/>
  <c r="Q67" i="40"/>
  <c r="Q69" i="40" s="1"/>
  <c r="Q70" i="40" s="1"/>
  <c r="Q64" i="40" s="1"/>
  <c r="Q13" i="40" s="1"/>
  <c r="Q56" i="40"/>
  <c r="T28" i="74" l="1"/>
  <c r="W27" i="74"/>
  <c r="V27" i="74"/>
  <c r="X27" i="74"/>
  <c r="U55" i="74"/>
  <c r="S20" i="68"/>
  <c r="R30" i="68"/>
  <c r="R32" i="68" s="1"/>
  <c r="R17" i="68"/>
  <c r="AA45" i="64"/>
  <c r="AA46" i="64" s="1"/>
  <c r="AA78" i="64"/>
  <c r="AA94" i="64"/>
  <c r="AA95" i="64" s="1"/>
  <c r="AA79" i="64"/>
  <c r="AA97" i="64" s="1"/>
  <c r="W28" i="60"/>
  <c r="S23" i="57"/>
  <c r="S24" i="57" s="1"/>
  <c r="T24" i="57" s="1"/>
  <c r="Q93" i="46"/>
  <c r="Q95" i="46" s="1"/>
  <c r="Q96" i="46" s="1"/>
  <c r="Q104" i="46" s="1"/>
  <c r="Q117" i="46"/>
  <c r="T36" i="44"/>
  <c r="AF25" i="42"/>
  <c r="AD25" i="42"/>
  <c r="Q14" i="42"/>
  <c r="AD14" i="42" s="1"/>
  <c r="Q19" i="42"/>
  <c r="AD19" i="42" s="1"/>
  <c r="Q20" i="42"/>
  <c r="AD13" i="42"/>
  <c r="Z75" i="40"/>
  <c r="Z76" i="40" s="1"/>
  <c r="Z71" i="40"/>
  <c r="Z72" i="40" s="1"/>
  <c r="Z78" i="40" s="1"/>
  <c r="AC20" i="40" s="1"/>
  <c r="Q57" i="40"/>
  <c r="Q51" i="40" s="1"/>
  <c r="Z33" i="40"/>
  <c r="Z27" i="40" s="1"/>
  <c r="AB20" i="40" s="1"/>
  <c r="AB22" i="40" s="1"/>
  <c r="Z13" i="40"/>
  <c r="U56" i="74" l="1"/>
  <c r="V28" i="74"/>
  <c r="X28" i="74"/>
  <c r="W28" i="74"/>
  <c r="T29" i="74"/>
  <c r="S32" i="68"/>
  <c r="R39" i="68" s="1"/>
  <c r="S39" i="68" s="1"/>
  <c r="Q62" i="68"/>
  <c r="R37" i="68"/>
  <c r="S30" i="68"/>
  <c r="AA98" i="64"/>
  <c r="T23" i="57"/>
  <c r="V24" i="57"/>
  <c r="Q118" i="46"/>
  <c r="Q120" i="46" s="1"/>
  <c r="Q106" i="46"/>
  <c r="Q111" i="46" s="1"/>
  <c r="AD27" i="42"/>
  <c r="AD30" i="42" s="1"/>
  <c r="AE25" i="42"/>
  <c r="AE27" i="42" s="1"/>
  <c r="AD21" i="42"/>
  <c r="AF13" i="42"/>
  <c r="AE28" i="42"/>
  <c r="AF19" i="42"/>
  <c r="AF27" i="42"/>
  <c r="AG25" i="42"/>
  <c r="AG27" i="42" s="1"/>
  <c r="AA15" i="40"/>
  <c r="AB15" i="40" s="1"/>
  <c r="AC22" i="40"/>
  <c r="AA14" i="40"/>
  <c r="AB13" i="40"/>
  <c r="Q14" i="40"/>
  <c r="Z20" i="40"/>
  <c r="T30" i="74" l="1"/>
  <c r="V29" i="74"/>
  <c r="W29" i="74"/>
  <c r="X29" i="74"/>
  <c r="U57" i="74"/>
  <c r="R41" i="68"/>
  <c r="S37" i="68"/>
  <c r="Q68" i="68"/>
  <c r="Q69" i="68" s="1"/>
  <c r="S40" i="68"/>
  <c r="V23" i="57"/>
  <c r="S32" i="57"/>
  <c r="S34" i="57" s="1"/>
  <c r="S41" i="57" s="1"/>
  <c r="Q124" i="46"/>
  <c r="Q125" i="46" s="1"/>
  <c r="T153" i="46"/>
  <c r="T155" i="46" s="1"/>
  <c r="T158" i="46"/>
  <c r="T160" i="46" s="1"/>
  <c r="Q112" i="46"/>
  <c r="AH25" i="42"/>
  <c r="AE14" i="42" s="1"/>
  <c r="AH27" i="42"/>
  <c r="AF28" i="42"/>
  <c r="AF30" i="42" s="1"/>
  <c r="AE30" i="42"/>
  <c r="Z14" i="40"/>
  <c r="Z16" i="40" s="1"/>
  <c r="Q15" i="40"/>
  <c r="Z22" i="40"/>
  <c r="AA20" i="40"/>
  <c r="AA22" i="40" s="1"/>
  <c r="AA16" i="40"/>
  <c r="AB14" i="40"/>
  <c r="AB16" i="40" s="1"/>
  <c r="U58" i="74" l="1"/>
  <c r="T31" i="74"/>
  <c r="W30" i="74"/>
  <c r="V30" i="74"/>
  <c r="X30" i="74"/>
  <c r="S41" i="68"/>
  <c r="W23" i="57"/>
  <c r="W24" i="57" s="1"/>
  <c r="X24" i="57" s="1"/>
  <c r="T162" i="46"/>
  <c r="AG28" i="42"/>
  <c r="AG30" i="42" s="1"/>
  <c r="AE20" i="42" s="1"/>
  <c r="AF20" i="42" s="1"/>
  <c r="AF14" i="42"/>
  <c r="T32" i="74" l="1"/>
  <c r="V31" i="74"/>
  <c r="W31" i="74"/>
  <c r="X31" i="74"/>
  <c r="U59" i="74"/>
  <c r="X23" i="57"/>
  <c r="AF21" i="42"/>
  <c r="AE21" i="42"/>
  <c r="AH28" i="42"/>
  <c r="AH30" i="42" s="1"/>
  <c r="T33" i="74" l="1"/>
  <c r="W32" i="74"/>
  <c r="X32" i="74"/>
  <c r="V32" i="74"/>
  <c r="U60" i="74"/>
  <c r="D9" i="29"/>
  <c r="M14" i="29"/>
  <c r="M15" i="29"/>
  <c r="M17" i="29"/>
  <c r="D9" i="28"/>
  <c r="N23" i="27"/>
  <c r="N37" i="27" s="1"/>
  <c r="N31" i="27"/>
  <c r="N44" i="27"/>
  <c r="J1" i="26"/>
  <c r="J2" i="26"/>
  <c r="L20" i="25"/>
  <c r="L27" i="25"/>
  <c r="L28" i="25"/>
  <c r="L30" i="25"/>
  <c r="N23" i="23"/>
  <c r="N37" i="23" s="1"/>
  <c r="N31" i="23"/>
  <c r="U61" i="74" l="1"/>
  <c r="V33" i="74"/>
  <c r="W33" i="74"/>
  <c r="T34" i="74"/>
  <c r="X33" i="74"/>
  <c r="N44" i="23"/>
  <c r="U62" i="74" l="1"/>
  <c r="T35" i="74"/>
  <c r="X34" i="74"/>
  <c r="V34" i="74"/>
  <c r="W34" i="74"/>
  <c r="L2" i="17"/>
  <c r="W35" i="74" l="1"/>
  <c r="X35" i="74"/>
  <c r="V35" i="74"/>
  <c r="T36" i="74"/>
  <c r="U63" i="74"/>
  <c r="L2" i="16"/>
  <c r="L1" i="16"/>
  <c r="T37" i="74" l="1"/>
  <c r="V36" i="74"/>
  <c r="W36" i="74"/>
  <c r="X36" i="74"/>
  <c r="U64" i="74"/>
  <c r="K2" i="15"/>
  <c r="K1" i="15"/>
  <c r="V37" i="74" l="1"/>
  <c r="W37" i="74"/>
  <c r="X37" i="74"/>
  <c r="T38" i="74"/>
  <c r="U65" i="74"/>
  <c r="M226" i="14"/>
  <c r="N224" i="14"/>
  <c r="N225" i="14" s="1"/>
  <c r="M222" i="14"/>
  <c r="O219" i="14"/>
  <c r="O218" i="14"/>
  <c r="O217" i="14"/>
  <c r="O215" i="14"/>
  <c r="S208" i="14"/>
  <c r="N208" i="14"/>
  <c r="S207" i="14"/>
  <c r="N207" i="14"/>
  <c r="S206" i="14"/>
  <c r="N206" i="14"/>
  <c r="S205" i="14"/>
  <c r="N205" i="14"/>
  <c r="S204" i="14"/>
  <c r="N204" i="14"/>
  <c r="S203" i="14"/>
  <c r="N203" i="14"/>
  <c r="S202" i="14"/>
  <c r="N202" i="14"/>
  <c r="S201" i="14"/>
  <c r="N201" i="14"/>
  <c r="S200" i="14"/>
  <c r="N200" i="14"/>
  <c r="S199" i="14"/>
  <c r="Q199" i="14"/>
  <c r="Q200" i="14" s="1"/>
  <c r="Q201" i="14" s="1"/>
  <c r="Q202" i="14" s="1"/>
  <c r="Q203" i="14" s="1"/>
  <c r="Q204" i="14" s="1"/>
  <c r="Q205" i="14" s="1"/>
  <c r="Q206" i="14" s="1"/>
  <c r="Q207" i="14" s="1"/>
  <c r="Q208" i="14" s="1"/>
  <c r="N199" i="14"/>
  <c r="L199" i="14"/>
  <c r="L200" i="14" s="1"/>
  <c r="L201" i="14" s="1"/>
  <c r="L202" i="14" s="1"/>
  <c r="L203" i="14" s="1"/>
  <c r="L204" i="14" s="1"/>
  <c r="L205" i="14" s="1"/>
  <c r="L206" i="14" s="1"/>
  <c r="L207" i="14" s="1"/>
  <c r="L208" i="14" s="1"/>
  <c r="S198" i="14"/>
  <c r="N198" i="14"/>
  <c r="R194" i="14"/>
  <c r="M194" i="14"/>
  <c r="R192" i="14"/>
  <c r="R193" i="14" s="1"/>
  <c r="R195" i="14" s="1"/>
  <c r="M192" i="14"/>
  <c r="M193" i="14" s="1"/>
  <c r="M195" i="14" s="1"/>
  <c r="R191" i="14"/>
  <c r="M191" i="14"/>
  <c r="N188" i="14"/>
  <c r="M180" i="14"/>
  <c r="N180" i="14" s="1"/>
  <c r="O180" i="14" s="1"/>
  <c r="M179" i="14"/>
  <c r="N178" i="14"/>
  <c r="M178" i="14"/>
  <c r="M181" i="14" s="1"/>
  <c r="F175" i="14"/>
  <c r="M174" i="14"/>
  <c r="M173" i="14"/>
  <c r="M172" i="14"/>
  <c r="M171" i="14"/>
  <c r="M170" i="14"/>
  <c r="M169" i="14"/>
  <c r="M175" i="14" s="1"/>
  <c r="R165" i="14"/>
  <c r="R164" i="14"/>
  <c r="R163" i="14"/>
  <c r="R161" i="14"/>
  <c r="T156" i="14"/>
  <c r="X151" i="14"/>
  <c r="R151" i="14"/>
  <c r="R158" i="14" s="1"/>
  <c r="N151" i="14"/>
  <c r="N158" i="14" s="1"/>
  <c r="O158" i="14" s="1"/>
  <c r="O150" i="14"/>
  <c r="H150" i="14"/>
  <c r="X149" i="14"/>
  <c r="X156" i="14" s="1"/>
  <c r="S149" i="14"/>
  <c r="O149" i="14"/>
  <c r="M149" i="14"/>
  <c r="L149" i="14"/>
  <c r="Q149" i="14" s="1"/>
  <c r="R145" i="14"/>
  <c r="P145" i="14"/>
  <c r="N145" i="14"/>
  <c r="O145" i="14" s="1"/>
  <c r="M145" i="14"/>
  <c r="M165" i="14" s="1"/>
  <c r="M219" i="14" s="1"/>
  <c r="R144" i="14"/>
  <c r="N144" i="14"/>
  <c r="N164" i="14" s="1"/>
  <c r="M144" i="14"/>
  <c r="M164" i="14" s="1"/>
  <c r="M218" i="14" s="1"/>
  <c r="R143" i="14"/>
  <c r="N143" i="14"/>
  <c r="N163" i="14" s="1"/>
  <c r="M143" i="14"/>
  <c r="M163" i="14" s="1"/>
  <c r="M217" i="14" s="1"/>
  <c r="R141" i="14"/>
  <c r="P141" i="14"/>
  <c r="P161" i="14" s="1"/>
  <c r="O141" i="14"/>
  <c r="O161" i="14" s="1"/>
  <c r="Q161" i="14" s="1"/>
  <c r="N141" i="14"/>
  <c r="N161" i="14" s="1"/>
  <c r="M141" i="14"/>
  <c r="M161" i="14" s="1"/>
  <c r="M215" i="14" s="1"/>
  <c r="X138" i="14"/>
  <c r="R138" i="14"/>
  <c r="O138" i="14"/>
  <c r="N138" i="14"/>
  <c r="X137" i="14"/>
  <c r="N137" i="14"/>
  <c r="T137" i="14" s="1"/>
  <c r="X136" i="14"/>
  <c r="T136" i="14"/>
  <c r="M136" i="14"/>
  <c r="M137" i="14" s="1"/>
  <c r="L136" i="14"/>
  <c r="L137" i="14" s="1"/>
  <c r="X131" i="14"/>
  <c r="O131" i="14"/>
  <c r="O151" i="14" s="1"/>
  <c r="X130" i="14"/>
  <c r="T130" i="14"/>
  <c r="T150" i="14" s="1"/>
  <c r="R130" i="14"/>
  <c r="R150" i="14" s="1"/>
  <c r="R157" i="14" s="1"/>
  <c r="N130" i="14"/>
  <c r="N150" i="14" s="1"/>
  <c r="N157" i="14" s="1"/>
  <c r="M130" i="14"/>
  <c r="M131" i="14" s="1"/>
  <c r="L130" i="14"/>
  <c r="L131" i="14" s="1"/>
  <c r="F130" i="14"/>
  <c r="X129" i="14"/>
  <c r="T129" i="14"/>
  <c r="R129" i="14"/>
  <c r="R149" i="14" s="1"/>
  <c r="R156" i="14" s="1"/>
  <c r="S157" i="14" s="1"/>
  <c r="S158" i="14" s="1"/>
  <c r="Q129" i="14"/>
  <c r="N129" i="14"/>
  <c r="N149" i="14" s="1"/>
  <c r="N156" i="14" s="1"/>
  <c r="M129" i="14"/>
  <c r="P129" i="14" s="1"/>
  <c r="L129" i="14"/>
  <c r="M123" i="14"/>
  <c r="M124" i="14" s="1"/>
  <c r="G121" i="14" s="1"/>
  <c r="G120" i="14"/>
  <c r="N179" i="14" s="1"/>
  <c r="O179" i="14" s="1"/>
  <c r="H154" i="14" s="1"/>
  <c r="P118" i="14"/>
  <c r="P120" i="14" s="1"/>
  <c r="M118" i="14"/>
  <c r="M119" i="14" s="1"/>
  <c r="P117" i="14"/>
  <c r="M117" i="14"/>
  <c r="P116" i="14"/>
  <c r="M116" i="14"/>
  <c r="K2" i="14"/>
  <c r="K1" i="14"/>
  <c r="U66" i="74" l="1"/>
  <c r="T39" i="74"/>
  <c r="X38" i="74"/>
  <c r="V38" i="74"/>
  <c r="W38" i="74"/>
  <c r="T138" i="14"/>
  <c r="M138" i="14"/>
  <c r="P137" i="14"/>
  <c r="U137" i="14" s="1"/>
  <c r="U157" i="14" s="1"/>
  <c r="V137" i="14"/>
  <c r="U129" i="14"/>
  <c r="U149" i="14" s="1"/>
  <c r="L151" i="14"/>
  <c r="Q151" i="14" s="1"/>
  <c r="T131" i="14"/>
  <c r="Q131" i="14"/>
  <c r="V129" i="14"/>
  <c r="W129" i="14" s="1"/>
  <c r="Y129" i="14" s="1"/>
  <c r="P149" i="14"/>
  <c r="V149" i="14" s="1"/>
  <c r="W149" i="14" s="1"/>
  <c r="Y149" i="14" s="1"/>
  <c r="M207" i="14"/>
  <c r="O207" i="14" s="1"/>
  <c r="M201" i="14"/>
  <c r="M199" i="14"/>
  <c r="O211" i="14"/>
  <c r="M208" i="14"/>
  <c r="M206" i="14"/>
  <c r="M204" i="14"/>
  <c r="M202" i="14"/>
  <c r="O202" i="14" s="1"/>
  <c r="M203" i="14"/>
  <c r="O203" i="14" s="1"/>
  <c r="M198" i="14"/>
  <c r="O198" i="14" s="1"/>
  <c r="O210" i="14" s="1"/>
  <c r="O212" i="14" s="1"/>
  <c r="M200" i="14"/>
  <c r="M205" i="14"/>
  <c r="S161" i="14"/>
  <c r="N172" i="14" s="1"/>
  <c r="O172" i="14" s="1"/>
  <c r="N215" i="14"/>
  <c r="P215" i="14" s="1"/>
  <c r="F179" i="14" s="1"/>
  <c r="X157" i="14"/>
  <c r="O165" i="14"/>
  <c r="Q165" i="14" s="1"/>
  <c r="Q145" i="14"/>
  <c r="S145" i="14" s="1"/>
  <c r="Q138" i="14"/>
  <c r="V131" i="14"/>
  <c r="M151" i="14"/>
  <c r="V151" i="14" s="1"/>
  <c r="P131" i="14"/>
  <c r="P151" i="14" s="1"/>
  <c r="T157" i="14"/>
  <c r="R201" i="14"/>
  <c r="T201" i="14" s="1"/>
  <c r="R199" i="14"/>
  <c r="R200" i="14"/>
  <c r="T200" i="14" s="1"/>
  <c r="R198" i="14"/>
  <c r="T198" i="14" s="1"/>
  <c r="R207" i="14"/>
  <c r="R204" i="14"/>
  <c r="T204" i="14" s="1"/>
  <c r="R205" i="14"/>
  <c r="R202" i="14"/>
  <c r="T202" i="14" s="1"/>
  <c r="R206" i="14"/>
  <c r="T206" i="14" s="1"/>
  <c r="R203" i="14"/>
  <c r="T203" i="14" s="1"/>
  <c r="T211" i="14" s="1"/>
  <c r="R208" i="14"/>
  <c r="T208" i="14" s="1"/>
  <c r="M121" i="14"/>
  <c r="M120" i="14"/>
  <c r="L138" i="14"/>
  <c r="Q137" i="14"/>
  <c r="N181" i="14"/>
  <c r="O181" i="14" s="1"/>
  <c r="H153" i="14" s="1"/>
  <c r="T149" i="14"/>
  <c r="O201" i="14"/>
  <c r="N186" i="14"/>
  <c r="O186" i="14" s="1"/>
  <c r="H156" i="14" s="1"/>
  <c r="N136" i="14"/>
  <c r="P136" i="14" s="1"/>
  <c r="T205" i="14"/>
  <c r="T207" i="14"/>
  <c r="U130" i="14"/>
  <c r="U150" i="14" s="1"/>
  <c r="O143" i="14"/>
  <c r="P165" i="14"/>
  <c r="M150" i="14"/>
  <c r="P130" i="14"/>
  <c r="R137" i="14"/>
  <c r="Q141" i="14"/>
  <c r="O144" i="14"/>
  <c r="L156" i="14"/>
  <c r="O178" i="14"/>
  <c r="X158" i="14"/>
  <c r="O199" i="14"/>
  <c r="T199" i="14"/>
  <c r="Q130" i="14"/>
  <c r="Q136" i="14"/>
  <c r="M156" i="14"/>
  <c r="O200" i="14"/>
  <c r="N165" i="14"/>
  <c r="X150" i="14"/>
  <c r="R136" i="14"/>
  <c r="S137" i="14" s="1"/>
  <c r="S138" i="14" s="1"/>
  <c r="S141" i="14"/>
  <c r="F135" i="14" s="1"/>
  <c r="L150" i="14"/>
  <c r="Q150" i="14" s="1"/>
  <c r="S130" i="14"/>
  <c r="O204" i="14"/>
  <c r="O206" i="14"/>
  <c r="O208" i="14"/>
  <c r="P119" i="14"/>
  <c r="O205" i="14"/>
  <c r="V39" i="74" l="1"/>
  <c r="W39" i="74"/>
  <c r="X39" i="74"/>
  <c r="T40" i="74"/>
  <c r="U67" i="74"/>
  <c r="Z149" i="14"/>
  <c r="U136" i="14"/>
  <c r="U156" i="14" s="1"/>
  <c r="V136" i="14"/>
  <c r="W136" i="14" s="1"/>
  <c r="Y136" i="14" s="1"/>
  <c r="Z129" i="14"/>
  <c r="Q156" i="14"/>
  <c r="L157" i="14"/>
  <c r="W137" i="14"/>
  <c r="Y137" i="14" s="1"/>
  <c r="Z137" i="14" s="1"/>
  <c r="T210" i="14"/>
  <c r="T212" i="14" s="1"/>
  <c r="F178" i="14" s="1"/>
  <c r="V130" i="14"/>
  <c r="W130" i="14" s="1"/>
  <c r="Y130" i="14" s="1"/>
  <c r="Z130" i="14" s="1"/>
  <c r="P150" i="14"/>
  <c r="V150" i="14" s="1"/>
  <c r="W150" i="14" s="1"/>
  <c r="Y150" i="14" s="1"/>
  <c r="P138" i="14"/>
  <c r="V138" i="14" s="1"/>
  <c r="W138" i="14" s="1"/>
  <c r="Y138" i="14" s="1"/>
  <c r="Z138" i="14" s="1"/>
  <c r="U138" i="14"/>
  <c r="U158" i="14" s="1"/>
  <c r="T158" i="14"/>
  <c r="S131" i="14"/>
  <c r="S151" i="14" s="1"/>
  <c r="S150" i="14"/>
  <c r="S165" i="14"/>
  <c r="N174" i="14" s="1"/>
  <c r="O174" i="14" s="1"/>
  <c r="M183" i="14" s="1"/>
  <c r="O183" i="14" s="1"/>
  <c r="H159" i="14" s="1"/>
  <c r="N219" i="14"/>
  <c r="P219" i="14" s="1"/>
  <c r="U131" i="14"/>
  <c r="U151" i="14" s="1"/>
  <c r="W151" i="14" s="1"/>
  <c r="Y151" i="14" s="1"/>
  <c r="Z151" i="14" s="1"/>
  <c r="T151" i="14"/>
  <c r="P156" i="14"/>
  <c r="V156" i="14"/>
  <c r="W156" i="14" s="1"/>
  <c r="Y156" i="14" s="1"/>
  <c r="M157" i="14"/>
  <c r="Q143" i="14"/>
  <c r="O163" i="14"/>
  <c r="Q163" i="14" s="1"/>
  <c r="P143" i="14"/>
  <c r="Q144" i="14"/>
  <c r="O164" i="14"/>
  <c r="Q164" i="14" s="1"/>
  <c r="P144" i="14"/>
  <c r="U68" i="74" l="1"/>
  <c r="T41" i="74"/>
  <c r="V40" i="74"/>
  <c r="W40" i="74"/>
  <c r="X40" i="74"/>
  <c r="Z150" i="14"/>
  <c r="Y152" i="14"/>
  <c r="N169" i="14" s="1"/>
  <c r="P157" i="14"/>
  <c r="M158" i="14"/>
  <c r="V157" i="14"/>
  <c r="W157" i="14" s="1"/>
  <c r="Z156" i="14"/>
  <c r="Q157" i="14"/>
  <c r="L158" i="14"/>
  <c r="Q158" i="14" s="1"/>
  <c r="W131" i="14"/>
  <c r="Y131" i="14" s="1"/>
  <c r="Z131" i="14" s="1"/>
  <c r="Y132" i="14"/>
  <c r="S144" i="14"/>
  <c r="P164" i="14"/>
  <c r="Z132" i="14"/>
  <c r="F143" i="14" s="1"/>
  <c r="G143" i="14" s="1"/>
  <c r="M234" i="14" s="1"/>
  <c r="Y139" i="14"/>
  <c r="Z136" i="14"/>
  <c r="Z139" i="14" s="1"/>
  <c r="Z152" i="14"/>
  <c r="P163" i="14"/>
  <c r="S143" i="14"/>
  <c r="T42" i="74" l="1"/>
  <c r="X41" i="74"/>
  <c r="W41" i="74"/>
  <c r="V41" i="74"/>
  <c r="U69" i="74"/>
  <c r="M237" i="14"/>
  <c r="H201" i="14" s="1"/>
  <c r="N218" i="14"/>
  <c r="P218" i="14" s="1"/>
  <c r="S164" i="14"/>
  <c r="N173" i="14" s="1"/>
  <c r="O173" i="14" s="1"/>
  <c r="F134" i="14"/>
  <c r="Y157" i="14"/>
  <c r="P158" i="14"/>
  <c r="V158" i="14"/>
  <c r="W158" i="14" s="1"/>
  <c r="Y158" i="14" s="1"/>
  <c r="Z158" i="14" s="1"/>
  <c r="S146" i="14"/>
  <c r="F136" i="14" s="1"/>
  <c r="F137" i="14" s="1"/>
  <c r="N217" i="14"/>
  <c r="P217" i="14" s="1"/>
  <c r="P220" i="14" s="1"/>
  <c r="F180" i="14" s="1"/>
  <c r="F181" i="14" s="1"/>
  <c r="S163" i="14"/>
  <c r="O169" i="14"/>
  <c r="U70" i="74" l="1"/>
  <c r="W42" i="74"/>
  <c r="X42" i="74"/>
  <c r="V42" i="74"/>
  <c r="T43" i="74"/>
  <c r="S166" i="14"/>
  <c r="N171" i="14"/>
  <c r="O171" i="14" s="1"/>
  <c r="M184" i="14" s="1"/>
  <c r="O184" i="14" s="1"/>
  <c r="H158" i="14" s="1"/>
  <c r="P231" i="14"/>
  <c r="M224" i="14"/>
  <c r="M225" i="14" s="1"/>
  <c r="M227" i="14" s="1"/>
  <c r="H194" i="14" s="1"/>
  <c r="F183" i="14"/>
  <c r="P230" i="14" s="1"/>
  <c r="M188" i="14"/>
  <c r="F138" i="14"/>
  <c r="F139" i="14" s="1"/>
  <c r="F142" i="14"/>
  <c r="Z157" i="14"/>
  <c r="Z159" i="14" s="1"/>
  <c r="Y159" i="14"/>
  <c r="N170" i="14" s="1"/>
  <c r="T44" i="74" l="1"/>
  <c r="V43" i="74"/>
  <c r="W43" i="74"/>
  <c r="X43" i="74"/>
  <c r="U71" i="74"/>
  <c r="O170" i="14"/>
  <c r="N175" i="14"/>
  <c r="M185" i="14" s="1"/>
  <c r="O185" i="14" s="1"/>
  <c r="H162" i="14" s="1"/>
  <c r="M231" i="14"/>
  <c r="G142" i="14"/>
  <c r="O188" i="14"/>
  <c r="W44" i="74" l="1"/>
  <c r="X44" i="74"/>
  <c r="V44" i="74"/>
  <c r="T45" i="74"/>
  <c r="U72" i="74"/>
  <c r="O175" i="14"/>
  <c r="M182" i="14"/>
  <c r="M230" i="14"/>
  <c r="M238" i="14"/>
  <c r="H202" i="14" s="1"/>
  <c r="U73" i="74" l="1"/>
  <c r="T46" i="74"/>
  <c r="V45" i="74"/>
  <c r="W45" i="74"/>
  <c r="X45" i="74"/>
  <c r="O182" i="14"/>
  <c r="H157" i="14" s="1"/>
  <c r="M187" i="14"/>
  <c r="O187" i="14" s="1"/>
  <c r="H160" i="14" s="1"/>
  <c r="U74" i="74" l="1"/>
  <c r="W46" i="74"/>
  <c r="X46" i="74"/>
  <c r="T47" i="74"/>
  <c r="V46" i="74"/>
  <c r="H168" i="14"/>
  <c r="V47" i="74" l="1"/>
  <c r="W47" i="74"/>
  <c r="T48" i="74"/>
  <c r="X47" i="74"/>
  <c r="U75" i="74"/>
  <c r="K2" i="13"/>
  <c r="K1" i="13"/>
  <c r="F181" i="12"/>
  <c r="F175" i="12"/>
  <c r="F183" i="12" s="1"/>
  <c r="H150" i="12"/>
  <c r="H168" i="12" s="1"/>
  <c r="F137" i="12"/>
  <c r="F139" i="12" s="1"/>
  <c r="F130" i="12"/>
  <c r="K2" i="12"/>
  <c r="K1" i="12"/>
  <c r="U76" i="74" l="1"/>
  <c r="T49" i="74"/>
  <c r="W48" i="74"/>
  <c r="V48" i="74"/>
  <c r="X48" i="74"/>
  <c r="G142" i="12"/>
  <c r="F142" i="12"/>
  <c r="V49" i="74" l="1"/>
  <c r="X49" i="74"/>
  <c r="W49" i="74"/>
  <c r="T50" i="74"/>
  <c r="U77" i="74"/>
  <c r="B33" i="10"/>
  <c r="B32" i="10"/>
  <c r="B31" i="10"/>
  <c r="B30" i="10"/>
  <c r="B29" i="10"/>
  <c r="B28" i="10" s="1"/>
  <c r="B27" i="10" s="1"/>
  <c r="B26" i="10" s="1"/>
  <c r="B25" i="10" s="1"/>
  <c r="B24" i="10" s="1"/>
  <c r="B23" i="10" s="1"/>
  <c r="B22" i="10" s="1"/>
  <c r="B21" i="10" s="1"/>
  <c r="B20" i="10" s="1"/>
  <c r="B19" i="10" s="1"/>
  <c r="B18" i="10" s="1"/>
  <c r="B17" i="10" s="1"/>
  <c r="B16" i="10" s="1"/>
  <c r="B15" i="10" s="1"/>
  <c r="C16" i="10"/>
  <c r="C17" i="10" s="1"/>
  <c r="C18" i="10" s="1"/>
  <c r="C19" i="10" s="1"/>
  <c r="C20" i="10" s="1"/>
  <c r="C21" i="10" s="1"/>
  <c r="C22" i="10" s="1"/>
  <c r="C23" i="10" s="1"/>
  <c r="C24" i="10" s="1"/>
  <c r="C25" i="10" s="1"/>
  <c r="C26" i="10" s="1"/>
  <c r="C27" i="10" s="1"/>
  <c r="C28" i="10" s="1"/>
  <c r="C29" i="10" s="1"/>
  <c r="C30" i="10" s="1"/>
  <c r="C31" i="10" s="1"/>
  <c r="C32" i="10" s="1"/>
  <c r="C33" i="10" s="1"/>
  <c r="C34" i="10" s="1"/>
  <c r="J13" i="10"/>
  <c r="J11" i="10"/>
  <c r="J9" i="10"/>
  <c r="I3" i="10"/>
  <c r="I2" i="10"/>
  <c r="I1" i="10"/>
  <c r="U78" i="74" l="1"/>
  <c r="T51" i="74"/>
  <c r="V50" i="74"/>
  <c r="X50" i="74"/>
  <c r="W50" i="74"/>
  <c r="W71" i="4"/>
  <c r="W70" i="4"/>
  <c r="W69" i="4"/>
  <c r="W68" i="4"/>
  <c r="W67" i="4"/>
  <c r="W66" i="4"/>
  <c r="W65" i="4"/>
  <c r="W64" i="4"/>
  <c r="W63" i="4"/>
  <c r="W62" i="4"/>
  <c r="W61" i="4"/>
  <c r="AT60" i="4"/>
  <c r="W60" i="4"/>
  <c r="AV59" i="4"/>
  <c r="AT59" i="4"/>
  <c r="W59" i="4"/>
  <c r="AV58" i="4"/>
  <c r="AT58" i="4"/>
  <c r="W58" i="4"/>
  <c r="AV57" i="4"/>
  <c r="AT57" i="4"/>
  <c r="W57" i="4"/>
  <c r="AT56" i="4"/>
  <c r="W56" i="4"/>
  <c r="AV55" i="4"/>
  <c r="AT55" i="4"/>
  <c r="W55" i="4"/>
  <c r="AV54" i="4"/>
  <c r="AT54" i="4"/>
  <c r="W54" i="4"/>
  <c r="AV53" i="4"/>
  <c r="AT53" i="4"/>
  <c r="W53" i="4"/>
  <c r="AT52" i="4"/>
  <c r="AN52" i="4"/>
  <c r="AN53" i="4" s="1"/>
  <c r="AN54" i="4" s="1"/>
  <c r="AN55" i="4" s="1"/>
  <c r="AN56" i="4" s="1"/>
  <c r="AN57" i="4" s="1"/>
  <c r="AN58" i="4" s="1"/>
  <c r="AN59" i="4" s="1"/>
  <c r="AN60" i="4" s="1"/>
  <c r="W52" i="4"/>
  <c r="AV51" i="4"/>
  <c r="AT51" i="4"/>
  <c r="W51" i="4"/>
  <c r="AV50" i="4"/>
  <c r="AT50" i="4"/>
  <c r="W50" i="4"/>
  <c r="AV49" i="4"/>
  <c r="AT49" i="4"/>
  <c r="AL49" i="4"/>
  <c r="AL50" i="4" s="1"/>
  <c r="AL51" i="4" s="1"/>
  <c r="AL52" i="4" s="1"/>
  <c r="AL53" i="4" s="1"/>
  <c r="AL54" i="4" s="1"/>
  <c r="AL55" i="4" s="1"/>
  <c r="AL56" i="4" s="1"/>
  <c r="AL57" i="4" s="1"/>
  <c r="AL58" i="4" s="1"/>
  <c r="AL59" i="4" s="1"/>
  <c r="AL60" i="4" s="1"/>
  <c r="W49" i="4"/>
  <c r="Q49" i="4"/>
  <c r="Q50" i="4" s="1"/>
  <c r="Q51" i="4" s="1"/>
  <c r="Q52" i="4" s="1"/>
  <c r="Q53" i="4" s="1"/>
  <c r="Q54" i="4" s="1"/>
  <c r="Q55" i="4" s="1"/>
  <c r="Q56" i="4" s="1"/>
  <c r="Q57" i="4" s="1"/>
  <c r="Q58" i="4" s="1"/>
  <c r="Q59" i="4" s="1"/>
  <c r="Q60" i="4" s="1"/>
  <c r="Q61" i="4" s="1"/>
  <c r="Q62" i="4" s="1"/>
  <c r="Q63" i="4" s="1"/>
  <c r="Q64" i="4" s="1"/>
  <c r="Q65" i="4" s="1"/>
  <c r="Q66" i="4" s="1"/>
  <c r="Q67" i="4" s="1"/>
  <c r="Q68" i="4" s="1"/>
  <c r="Q69" i="4" s="1"/>
  <c r="Q70" i="4" s="1"/>
  <c r="Q71" i="4" s="1"/>
  <c r="AT48" i="4"/>
  <c r="W48" i="4"/>
  <c r="AT47" i="4"/>
  <c r="W47" i="4"/>
  <c r="AV46" i="4"/>
  <c r="AT46" i="4"/>
  <c r="AR46" i="4"/>
  <c r="W46" i="4"/>
  <c r="Q46" i="4"/>
  <c r="Q47" i="4" s="1"/>
  <c r="Q48" i="4" s="1"/>
  <c r="O46" i="4"/>
  <c r="O47" i="4" s="1"/>
  <c r="O48" i="4" s="1"/>
  <c r="O49" i="4" s="1"/>
  <c r="O50" i="4" s="1"/>
  <c r="O51" i="4" s="1"/>
  <c r="O52" i="4" s="1"/>
  <c r="O53" i="4" s="1"/>
  <c r="O54" i="4" s="1"/>
  <c r="O55" i="4" s="1"/>
  <c r="O56" i="4" s="1"/>
  <c r="O57" i="4" s="1"/>
  <c r="O58" i="4" s="1"/>
  <c r="O59" i="4" s="1"/>
  <c r="O60" i="4" s="1"/>
  <c r="O61" i="4" s="1"/>
  <c r="O62" i="4" s="1"/>
  <c r="O63" i="4" s="1"/>
  <c r="O64" i="4" s="1"/>
  <c r="O65" i="4" s="1"/>
  <c r="O66" i="4" s="1"/>
  <c r="O67" i="4" s="1"/>
  <c r="O68" i="4" s="1"/>
  <c r="O69" i="4" s="1"/>
  <c r="O70" i="4" s="1"/>
  <c r="O71" i="4" s="1"/>
  <c r="AU45" i="4"/>
  <c r="AT45" i="4"/>
  <c r="AO45" i="4"/>
  <c r="AO46" i="4" s="1"/>
  <c r="AO47" i="4" s="1"/>
  <c r="AO48" i="4" s="1"/>
  <c r="AN45" i="4"/>
  <c r="AN46" i="4" s="1"/>
  <c r="AN47" i="4" s="1"/>
  <c r="AN48" i="4" s="1"/>
  <c r="AN49" i="4" s="1"/>
  <c r="AN50" i="4" s="1"/>
  <c r="AN51" i="4" s="1"/>
  <c r="AL45" i="4"/>
  <c r="AL46" i="4" s="1"/>
  <c r="AL47" i="4" s="1"/>
  <c r="AL48" i="4" s="1"/>
  <c r="W45" i="4"/>
  <c r="P45" i="4"/>
  <c r="P46" i="4" s="1"/>
  <c r="O45" i="4"/>
  <c r="W33" i="4"/>
  <c r="W32" i="4"/>
  <c r="W31" i="4"/>
  <c r="W30" i="4"/>
  <c r="W29" i="4"/>
  <c r="W28" i="4"/>
  <c r="W27" i="4"/>
  <c r="W26" i="4"/>
  <c r="W25" i="4"/>
  <c r="W24" i="4"/>
  <c r="W23" i="4"/>
  <c r="AV22" i="4"/>
  <c r="AT22" i="4"/>
  <c r="W22" i="4"/>
  <c r="AV21" i="4"/>
  <c r="AT21" i="4"/>
  <c r="W21" i="4"/>
  <c r="AV20" i="4"/>
  <c r="AT20" i="4"/>
  <c r="W20" i="4"/>
  <c r="AV19" i="4"/>
  <c r="AT19" i="4"/>
  <c r="W19" i="4"/>
  <c r="AT18" i="4"/>
  <c r="W18" i="4"/>
  <c r="AV17" i="4"/>
  <c r="AT17" i="4"/>
  <c r="W17" i="4"/>
  <c r="AV16" i="4"/>
  <c r="AT16" i="4"/>
  <c r="W16" i="4"/>
  <c r="AT15" i="4"/>
  <c r="W15" i="4"/>
  <c r="AV14" i="4"/>
  <c r="AT14" i="4"/>
  <c r="W14" i="4"/>
  <c r="AV13" i="4"/>
  <c r="AT13" i="4"/>
  <c r="Y13" i="4"/>
  <c r="W13" i="4"/>
  <c r="AV12" i="4"/>
  <c r="AT12" i="4"/>
  <c r="W12" i="4"/>
  <c r="AV11" i="4"/>
  <c r="AT11" i="4"/>
  <c r="AN11" i="4"/>
  <c r="AN12" i="4" s="1"/>
  <c r="AL11" i="4"/>
  <c r="AL12" i="4" s="1"/>
  <c r="AL13" i="4" s="1"/>
  <c r="AL14" i="4" s="1"/>
  <c r="AL15" i="4" s="1"/>
  <c r="AL16" i="4" s="1"/>
  <c r="AL17" i="4" s="1"/>
  <c r="AL18" i="4" s="1"/>
  <c r="AL19" i="4" s="1"/>
  <c r="AL20" i="4" s="1"/>
  <c r="AL21" i="4" s="1"/>
  <c r="AL22" i="4" s="1"/>
  <c r="W11" i="4"/>
  <c r="AV10" i="4"/>
  <c r="AT10" i="4"/>
  <c r="W10" i="4"/>
  <c r="AV9" i="4"/>
  <c r="AT9" i="4"/>
  <c r="AO9" i="4"/>
  <c r="AN9" i="4"/>
  <c r="AN10" i="4" s="1"/>
  <c r="BA10" i="4" s="1"/>
  <c r="W9" i="4"/>
  <c r="Q9" i="4"/>
  <c r="AC9" i="4" s="1"/>
  <c r="BA8" i="4"/>
  <c r="AY8" i="4"/>
  <c r="AX8" i="4"/>
  <c r="AU8" i="4"/>
  <c r="AT8" i="4"/>
  <c r="AO8" i="4"/>
  <c r="AR8" i="4" s="1"/>
  <c r="AN8" i="4"/>
  <c r="AM8" i="4"/>
  <c r="AL8" i="4"/>
  <c r="AL9" i="4" s="1"/>
  <c r="AL10" i="4" s="1"/>
  <c r="AC8" i="4"/>
  <c r="W8" i="4"/>
  <c r="Q8" i="4"/>
  <c r="BA7" i="4"/>
  <c r="AX7" i="4"/>
  <c r="AW7" i="4"/>
  <c r="AV7" i="4"/>
  <c r="AU7" i="4"/>
  <c r="AT7" i="4"/>
  <c r="AS7" i="4"/>
  <c r="AR7" i="4"/>
  <c r="AM7" i="4"/>
  <c r="AM45" i="4" s="1"/>
  <c r="AL7" i="4"/>
  <c r="AC7" i="4"/>
  <c r="W7" i="4"/>
  <c r="R7" i="4"/>
  <c r="U7" i="4" s="1"/>
  <c r="P7" i="4"/>
  <c r="O7" i="4"/>
  <c r="O8" i="4" s="1"/>
  <c r="O9" i="4" s="1"/>
  <c r="O10" i="4" s="1"/>
  <c r="O11" i="4" s="1"/>
  <c r="O12" i="4" s="1"/>
  <c r="O13" i="4" s="1"/>
  <c r="O14" i="4" s="1"/>
  <c r="O15" i="4" s="1"/>
  <c r="O16" i="4" s="1"/>
  <c r="O17" i="4" s="1"/>
  <c r="O18" i="4" s="1"/>
  <c r="O19" i="4" s="1"/>
  <c r="O20" i="4" s="1"/>
  <c r="O21" i="4" s="1"/>
  <c r="O22" i="4" s="1"/>
  <c r="O23" i="4" s="1"/>
  <c r="O24" i="4" s="1"/>
  <c r="O25" i="4" s="1"/>
  <c r="O26" i="4" s="1"/>
  <c r="O27" i="4" s="1"/>
  <c r="O28" i="4" s="1"/>
  <c r="O29" i="4" s="1"/>
  <c r="O30" i="4" s="1"/>
  <c r="O31" i="4" s="1"/>
  <c r="O32" i="4" s="1"/>
  <c r="O33" i="4" s="1"/>
  <c r="L2" i="4"/>
  <c r="T52" i="74" l="1"/>
  <c r="W51" i="74"/>
  <c r="V51" i="74"/>
  <c r="X51" i="74"/>
  <c r="U79" i="74"/>
  <c r="Z46" i="4"/>
  <c r="X46" i="4"/>
  <c r="V46" i="4"/>
  <c r="P47" i="4"/>
  <c r="S46" i="4"/>
  <c r="AC46" i="4"/>
  <c r="AA46" i="4"/>
  <c r="AY9" i="4"/>
  <c r="Y69" i="4"/>
  <c r="Y62" i="4"/>
  <c r="Y26" i="4"/>
  <c r="Y58" i="4"/>
  <c r="Y54" i="4"/>
  <c r="Y50" i="4"/>
  <c r="Y46" i="4"/>
  <c r="Y29" i="4"/>
  <c r="Y17" i="4"/>
  <c r="Y68" i="4"/>
  <c r="Y32" i="4"/>
  <c r="Y67" i="4"/>
  <c r="Y61" i="4"/>
  <c r="Y57" i="4"/>
  <c r="Y53" i="4"/>
  <c r="Y49" i="4"/>
  <c r="Y66" i="4"/>
  <c r="Y28" i="4"/>
  <c r="Y25" i="4"/>
  <c r="Y31" i="4"/>
  <c r="Y65" i="4"/>
  <c r="Y60" i="4"/>
  <c r="Y56" i="4"/>
  <c r="Y52" i="4"/>
  <c r="Y48" i="4"/>
  <c r="Y64" i="4"/>
  <c r="Y70" i="4"/>
  <c r="Y71" i="4"/>
  <c r="Y19" i="4"/>
  <c r="Y18" i="4"/>
  <c r="Y59" i="4"/>
  <c r="Y51" i="4"/>
  <c r="Y8" i="4"/>
  <c r="Y16" i="4"/>
  <c r="Y33" i="4"/>
  <c r="Y24" i="4"/>
  <c r="Y23" i="4"/>
  <c r="Y11" i="4"/>
  <c r="Y47" i="4"/>
  <c r="Y30" i="4"/>
  <c r="Y15" i="4"/>
  <c r="Y22" i="4"/>
  <c r="Y45" i="4"/>
  <c r="Y63" i="4"/>
  <c r="Y21" i="4"/>
  <c r="Y20" i="4"/>
  <c r="Y27" i="4"/>
  <c r="Y14" i="4"/>
  <c r="Y9" i="4"/>
  <c r="Y12" i="4"/>
  <c r="Y55" i="4"/>
  <c r="P8" i="4"/>
  <c r="Z7" i="4"/>
  <c r="AA7" i="4"/>
  <c r="Y7" i="4"/>
  <c r="X7" i="4"/>
  <c r="Y10" i="4"/>
  <c r="S7" i="4"/>
  <c r="T7" i="4" s="1"/>
  <c r="V7" i="4"/>
  <c r="AO10" i="4"/>
  <c r="AR9" i="4"/>
  <c r="BB7" i="4"/>
  <c r="BD7" i="4" s="1"/>
  <c r="AR47" i="4"/>
  <c r="BA9" i="4"/>
  <c r="BA11" i="4"/>
  <c r="AO49" i="4"/>
  <c r="AR48" i="4"/>
  <c r="AM9" i="4"/>
  <c r="AW8" i="4"/>
  <c r="AP8" i="4"/>
  <c r="AQ8" i="4" s="1"/>
  <c r="BA12" i="4"/>
  <c r="AN13" i="4"/>
  <c r="BC7" i="4"/>
  <c r="BE7" i="4" s="1"/>
  <c r="R8" i="4"/>
  <c r="AS8" i="4"/>
  <c r="AX45" i="4"/>
  <c r="BC45" i="4" s="1"/>
  <c r="AW45" i="4"/>
  <c r="AS45" i="4"/>
  <c r="AM46" i="4"/>
  <c r="AP45" i="4"/>
  <c r="AQ45" i="4" s="1"/>
  <c r="AZ45" i="4"/>
  <c r="AC45" i="4"/>
  <c r="AA45" i="4"/>
  <c r="Z45" i="4"/>
  <c r="X45" i="4"/>
  <c r="V45" i="4"/>
  <c r="S45" i="4"/>
  <c r="R45" i="4"/>
  <c r="Q10" i="4"/>
  <c r="AV15" i="4"/>
  <c r="AV45" i="4"/>
  <c r="AV18" i="4"/>
  <c r="AV60" i="4"/>
  <c r="AV56" i="4"/>
  <c r="AV52" i="4"/>
  <c r="AV48" i="4"/>
  <c r="AV8" i="4"/>
  <c r="BC8" i="4" s="1"/>
  <c r="BE8" i="4" s="1"/>
  <c r="BG8" i="4" s="1"/>
  <c r="AP7" i="4"/>
  <c r="AQ7" i="4" s="1"/>
  <c r="AV47" i="4"/>
  <c r="AR45" i="4"/>
  <c r="T53" i="74" l="1"/>
  <c r="V52" i="74"/>
  <c r="X52" i="74"/>
  <c r="W52" i="74"/>
  <c r="U80" i="74"/>
  <c r="U45" i="4"/>
  <c r="R46" i="4"/>
  <c r="AE7" i="4"/>
  <c r="AG7" i="4" s="1"/>
  <c r="T45" i="4"/>
  <c r="BB8" i="4"/>
  <c r="BD8" i="4" s="1"/>
  <c r="BF8" i="4" s="1"/>
  <c r="AD7" i="4"/>
  <c r="AF7" i="4" s="1"/>
  <c r="AB8" i="4"/>
  <c r="Q11" i="4"/>
  <c r="AC10" i="4"/>
  <c r="BG7" i="4"/>
  <c r="AN14" i="4"/>
  <c r="BA13" i="4"/>
  <c r="AB46" i="4"/>
  <c r="AE45" i="4"/>
  <c r="AX9" i="4"/>
  <c r="BC9" i="4" s="1"/>
  <c r="BE9" i="4" s="1"/>
  <c r="AM10" i="4"/>
  <c r="AW9" i="4"/>
  <c r="AY10" i="4" s="1"/>
  <c r="AU9" i="4"/>
  <c r="AP9" i="4"/>
  <c r="AQ9" i="4" s="1"/>
  <c r="AS9" i="4"/>
  <c r="P9" i="4"/>
  <c r="Z8" i="4"/>
  <c r="X8" i="4"/>
  <c r="V8" i="4"/>
  <c r="AA8" i="4"/>
  <c r="S8" i="4"/>
  <c r="T8" i="4" s="1"/>
  <c r="AF45" i="4"/>
  <c r="AO50" i="4"/>
  <c r="AR49" i="4"/>
  <c r="BB9" i="4"/>
  <c r="BD9" i="4" s="1"/>
  <c r="BF9" i="4" s="1"/>
  <c r="AU46" i="4"/>
  <c r="AS46" i="4"/>
  <c r="AM47" i="4"/>
  <c r="AP46" i="4"/>
  <c r="AQ46" i="4" s="1"/>
  <c r="AX46" i="4"/>
  <c r="AW46" i="4"/>
  <c r="AZ46" i="4"/>
  <c r="BF7" i="4"/>
  <c r="BB45" i="4"/>
  <c r="AY46" i="4"/>
  <c r="T46" i="4"/>
  <c r="AR10" i="4"/>
  <c r="AO11" i="4"/>
  <c r="V47" i="4"/>
  <c r="P48" i="4"/>
  <c r="AC47" i="4"/>
  <c r="AA47" i="4"/>
  <c r="Z47" i="4"/>
  <c r="X47" i="4"/>
  <c r="S47" i="4"/>
  <c r="U8" i="4"/>
  <c r="R9" i="4"/>
  <c r="U81" i="74" l="1"/>
  <c r="T54" i="74"/>
  <c r="V53" i="74"/>
  <c r="W53" i="74"/>
  <c r="X53" i="74"/>
  <c r="BC10" i="4"/>
  <c r="BE10" i="4" s="1"/>
  <c r="BG10" i="4" s="1"/>
  <c r="BG9" i="4"/>
  <c r="AF46" i="4"/>
  <c r="AB47" i="4"/>
  <c r="AE46" i="4"/>
  <c r="AD45" i="4"/>
  <c r="AO12" i="4"/>
  <c r="AR11" i="4"/>
  <c r="AO51" i="4"/>
  <c r="AR50" i="4"/>
  <c r="AY47" i="4"/>
  <c r="BC46" i="4"/>
  <c r="BB46" i="4"/>
  <c r="BA45" i="4"/>
  <c r="BA14" i="4"/>
  <c r="AN15" i="4"/>
  <c r="U9" i="4"/>
  <c r="R10" i="4"/>
  <c r="Q12" i="4"/>
  <c r="AC11" i="4"/>
  <c r="T47" i="4"/>
  <c r="AE8" i="4"/>
  <c r="AG8" i="4" s="1"/>
  <c r="AI8" i="4" s="1"/>
  <c r="AD8" i="4"/>
  <c r="AF8" i="4" s="1"/>
  <c r="AH8" i="4" s="1"/>
  <c r="AB9" i="4"/>
  <c r="P10" i="4"/>
  <c r="AA9" i="4"/>
  <c r="Z9" i="4"/>
  <c r="X9" i="4"/>
  <c r="S9" i="4"/>
  <c r="T9" i="4" s="1"/>
  <c r="V9" i="4"/>
  <c r="AH7" i="4"/>
  <c r="AM48" i="4"/>
  <c r="AP47" i="4"/>
  <c r="AQ47" i="4" s="1"/>
  <c r="AZ47" i="4"/>
  <c r="AX47" i="4"/>
  <c r="AU47" i="4"/>
  <c r="AW47" i="4"/>
  <c r="AS47" i="4"/>
  <c r="AI7" i="4"/>
  <c r="AC48" i="4"/>
  <c r="AA48" i="4"/>
  <c r="Z48" i="4"/>
  <c r="X48" i="4"/>
  <c r="V48" i="4"/>
  <c r="P49" i="4"/>
  <c r="S48" i="4"/>
  <c r="R47" i="4"/>
  <c r="U46" i="4"/>
  <c r="AS10" i="4"/>
  <c r="AW10" i="4"/>
  <c r="AY11" i="4" s="1"/>
  <c r="AU10" i="4"/>
  <c r="AP10" i="4"/>
  <c r="AQ10" i="4" s="1"/>
  <c r="AM11" i="4"/>
  <c r="AX10" i="4"/>
  <c r="T55" i="74" l="1"/>
  <c r="X54" i="74"/>
  <c r="W54" i="74"/>
  <c r="V54" i="74"/>
  <c r="U82" i="74"/>
  <c r="BC11" i="4"/>
  <c r="BE11" i="4" s="1"/>
  <c r="AY48" i="4"/>
  <c r="BC47" i="4"/>
  <c r="BB47" i="4"/>
  <c r="BA46" i="4"/>
  <c r="Q13" i="4"/>
  <c r="AC12" i="4"/>
  <c r="AB48" i="4"/>
  <c r="AF47" i="4"/>
  <c r="AE47" i="4"/>
  <c r="AD46" i="4"/>
  <c r="AX11" i="4"/>
  <c r="AS11" i="4"/>
  <c r="AP11" i="4"/>
  <c r="AQ11" i="4" s="1"/>
  <c r="AM12" i="4"/>
  <c r="AW11" i="4"/>
  <c r="AY12" i="4" s="1"/>
  <c r="AU11" i="4"/>
  <c r="BB11" i="4" s="1"/>
  <c r="BD11" i="4" s="1"/>
  <c r="BF11" i="4" s="1"/>
  <c r="T48" i="4"/>
  <c r="AR51" i="4"/>
  <c r="AO52" i="4"/>
  <c r="R48" i="4"/>
  <c r="U47" i="4"/>
  <c r="AX48" i="4"/>
  <c r="AW48" i="4"/>
  <c r="AU48" i="4"/>
  <c r="AS48" i="4"/>
  <c r="AZ48" i="4"/>
  <c r="AP48" i="4"/>
  <c r="AQ48" i="4" s="1"/>
  <c r="AM49" i="4"/>
  <c r="U10" i="4"/>
  <c r="R11" i="4"/>
  <c r="AO13" i="4"/>
  <c r="AR12" i="4"/>
  <c r="AC49" i="4"/>
  <c r="Z49" i="4"/>
  <c r="X49" i="4"/>
  <c r="V49" i="4"/>
  <c r="AA49" i="4"/>
  <c r="P50" i="4"/>
  <c r="S49" i="4"/>
  <c r="BA15" i="4"/>
  <c r="AN16" i="4"/>
  <c r="BB10" i="4"/>
  <c r="BD10" i="4" s="1"/>
  <c r="AA10" i="4"/>
  <c r="P11" i="4"/>
  <c r="Z10" i="4"/>
  <c r="V10" i="4"/>
  <c r="S10" i="4"/>
  <c r="T10" i="4" s="1"/>
  <c r="X10" i="4"/>
  <c r="AE9" i="4"/>
  <c r="AG9" i="4" s="1"/>
  <c r="AI9" i="4" s="1"/>
  <c r="AD9" i="4"/>
  <c r="AF9" i="4" s="1"/>
  <c r="AH9" i="4" s="1"/>
  <c r="AB10" i="4"/>
  <c r="U83" i="74" l="1"/>
  <c r="T56" i="74"/>
  <c r="W55" i="74"/>
  <c r="X55" i="74"/>
  <c r="V55" i="74"/>
  <c r="AY13" i="4"/>
  <c r="BF10" i="4"/>
  <c r="AX12" i="4"/>
  <c r="BC12" i="4" s="1"/>
  <c r="BE12" i="4" s="1"/>
  <c r="AM13" i="4"/>
  <c r="AW12" i="4"/>
  <c r="BB12" i="4" s="1"/>
  <c r="BD12" i="4" s="1"/>
  <c r="AS12" i="4"/>
  <c r="AP12" i="4"/>
  <c r="AQ12" i="4" s="1"/>
  <c r="AU12" i="4"/>
  <c r="AY49" i="4"/>
  <c r="BC48" i="4"/>
  <c r="BB48" i="4"/>
  <c r="BA47" i="4"/>
  <c r="AB11" i="4"/>
  <c r="AD10" i="4"/>
  <c r="AF10" i="4" s="1"/>
  <c r="AE10" i="4"/>
  <c r="AG10" i="4" s="1"/>
  <c r="AI10" i="4" s="1"/>
  <c r="U48" i="4"/>
  <c r="AF48" i="4" s="1"/>
  <c r="R49" i="4"/>
  <c r="AB49" i="4"/>
  <c r="AD47" i="4"/>
  <c r="AE48" i="4"/>
  <c r="AA11" i="4"/>
  <c r="P12" i="4"/>
  <c r="Z11" i="4"/>
  <c r="X11" i="4"/>
  <c r="V11" i="4"/>
  <c r="S11" i="4"/>
  <c r="T11" i="4" s="1"/>
  <c r="BG11" i="4"/>
  <c r="AX49" i="4"/>
  <c r="AW49" i="4"/>
  <c r="AU49" i="4"/>
  <c r="AS49" i="4"/>
  <c r="AM50" i="4"/>
  <c r="AP49" i="4"/>
  <c r="AQ49" i="4" s="1"/>
  <c r="AZ49" i="4"/>
  <c r="Z50" i="4"/>
  <c r="X50" i="4"/>
  <c r="V50" i="4"/>
  <c r="P51" i="4"/>
  <c r="S50" i="4"/>
  <c r="AC50" i="4"/>
  <c r="AA50" i="4"/>
  <c r="AC13" i="4"/>
  <c r="Q14" i="4"/>
  <c r="R12" i="4"/>
  <c r="U11" i="4"/>
  <c r="BA16" i="4"/>
  <c r="AN17" i="4"/>
  <c r="T49" i="4"/>
  <c r="AO53" i="4"/>
  <c r="AR52" i="4"/>
  <c r="AO14" i="4"/>
  <c r="AR13" i="4"/>
  <c r="T57" i="74" l="1"/>
  <c r="W56" i="74"/>
  <c r="X56" i="74"/>
  <c r="V56" i="74"/>
  <c r="U84" i="74"/>
  <c r="BF12" i="4"/>
  <c r="BG12" i="4"/>
  <c r="AX13" i="4"/>
  <c r="BC13" i="4" s="1"/>
  <c r="BE13" i="4" s="1"/>
  <c r="AU13" i="4"/>
  <c r="AM14" i="4"/>
  <c r="AS13" i="4"/>
  <c r="AP13" i="4"/>
  <c r="AQ13" i="4" s="1"/>
  <c r="AW13" i="4"/>
  <c r="AY14" i="4" s="1"/>
  <c r="T50" i="4"/>
  <c r="BA48" i="4"/>
  <c r="BC49" i="4"/>
  <c r="BB49" i="4"/>
  <c r="AY50" i="4"/>
  <c r="V51" i="4"/>
  <c r="P52" i="4"/>
  <c r="AC51" i="4"/>
  <c r="Z51" i="4"/>
  <c r="X51" i="4"/>
  <c r="S51" i="4"/>
  <c r="AA51" i="4"/>
  <c r="V12" i="4"/>
  <c r="S12" i="4"/>
  <c r="T12" i="4" s="1"/>
  <c r="AA12" i="4"/>
  <c r="Z12" i="4"/>
  <c r="X12" i="4"/>
  <c r="P13" i="4"/>
  <c r="AR14" i="4"/>
  <c r="AO15" i="4"/>
  <c r="AD48" i="4"/>
  <c r="AB50" i="4"/>
  <c r="AE49" i="4"/>
  <c r="BA17" i="4"/>
  <c r="AN18" i="4"/>
  <c r="R50" i="4"/>
  <c r="U49" i="4"/>
  <c r="AF49" i="4" s="1"/>
  <c r="AO54" i="4"/>
  <c r="AR53" i="4"/>
  <c r="AU50" i="4"/>
  <c r="AS50" i="4"/>
  <c r="AM51" i="4"/>
  <c r="AP50" i="4"/>
  <c r="AQ50" i="4" s="1"/>
  <c r="AX50" i="4"/>
  <c r="AW50" i="4"/>
  <c r="AZ50" i="4"/>
  <c r="R13" i="4"/>
  <c r="U12" i="4"/>
  <c r="Q15" i="4"/>
  <c r="AC14" i="4"/>
  <c r="AH10" i="4"/>
  <c r="AE11" i="4"/>
  <c r="AG11" i="4" s="1"/>
  <c r="AB12" i="4"/>
  <c r="AD11" i="4"/>
  <c r="AF11" i="4" s="1"/>
  <c r="AH11" i="4" s="1"/>
  <c r="T58" i="74" l="1"/>
  <c r="W57" i="74"/>
  <c r="X57" i="74"/>
  <c r="V57" i="74"/>
  <c r="U85" i="74"/>
  <c r="BC14" i="4"/>
  <c r="BE14" i="4" s="1"/>
  <c r="BG14" i="4" s="1"/>
  <c r="BG13" i="4"/>
  <c r="AO55" i="4"/>
  <c r="AR54" i="4"/>
  <c r="AC15" i="4"/>
  <c r="Q16" i="4"/>
  <c r="R51" i="4"/>
  <c r="U50" i="4"/>
  <c r="AF50" i="4" s="1"/>
  <c r="AC52" i="4"/>
  <c r="AA52" i="4"/>
  <c r="Z52" i="4"/>
  <c r="X52" i="4"/>
  <c r="V52" i="4"/>
  <c r="P53" i="4"/>
  <c r="S52" i="4"/>
  <c r="AB13" i="4"/>
  <c r="AE12" i="4"/>
  <c r="AG12" i="4" s="1"/>
  <c r="AI12" i="4" s="1"/>
  <c r="AD12" i="4"/>
  <c r="AF12" i="4" s="1"/>
  <c r="AY51" i="4"/>
  <c r="BC50" i="4"/>
  <c r="BB50" i="4"/>
  <c r="BA49" i="4"/>
  <c r="T51" i="4"/>
  <c r="AN19" i="4"/>
  <c r="BA18" i="4"/>
  <c r="AP14" i="4"/>
  <c r="AQ14" i="4" s="1"/>
  <c r="BB14" i="4" s="1"/>
  <c r="BD14" i="4" s="1"/>
  <c r="BF14" i="4" s="1"/>
  <c r="AM15" i="4"/>
  <c r="AX14" i="4"/>
  <c r="AU14" i="4"/>
  <c r="AS14" i="4"/>
  <c r="AW14" i="4"/>
  <c r="AY15" i="4" s="1"/>
  <c r="U13" i="4"/>
  <c r="R14" i="4"/>
  <c r="AD49" i="4"/>
  <c r="AE50" i="4"/>
  <c r="AB51" i="4"/>
  <c r="BB13" i="4"/>
  <c r="BD13" i="4" s="1"/>
  <c r="AO16" i="4"/>
  <c r="AR15" i="4"/>
  <c r="AM52" i="4"/>
  <c r="AP51" i="4"/>
  <c r="AQ51" i="4" s="1"/>
  <c r="AZ51" i="4"/>
  <c r="AX51" i="4"/>
  <c r="AS51" i="4"/>
  <c r="AW51" i="4"/>
  <c r="AU51" i="4"/>
  <c r="AA13" i="4"/>
  <c r="P14" i="4"/>
  <c r="X13" i="4"/>
  <c r="V13" i="4"/>
  <c r="Z13" i="4"/>
  <c r="S13" i="4"/>
  <c r="T13" i="4" s="1"/>
  <c r="AI11" i="4"/>
  <c r="U86" i="74" l="1"/>
  <c r="T59" i="74"/>
  <c r="X58" i="74"/>
  <c r="V58" i="74"/>
  <c r="W58" i="74"/>
  <c r="AY16" i="4"/>
  <c r="AN20" i="4"/>
  <c r="BA19" i="4"/>
  <c r="AC16" i="4"/>
  <c r="Q17" i="4"/>
  <c r="AU15" i="4"/>
  <c r="AX15" i="4"/>
  <c r="BC15" i="4" s="1"/>
  <c r="BE15" i="4" s="1"/>
  <c r="BG15" i="4" s="1"/>
  <c r="AW15" i="4"/>
  <c r="BB15" i="4" s="1"/>
  <c r="BD15" i="4" s="1"/>
  <c r="BF15" i="4" s="1"/>
  <c r="AS15" i="4"/>
  <c r="AM16" i="4"/>
  <c r="AP15" i="4"/>
  <c r="AQ15" i="4" s="1"/>
  <c r="AX52" i="4"/>
  <c r="AW52" i="4"/>
  <c r="AU52" i="4"/>
  <c r="AM53" i="4"/>
  <c r="AP52" i="4"/>
  <c r="AQ52" i="4" s="1"/>
  <c r="AZ52" i="4"/>
  <c r="AS52" i="4"/>
  <c r="BF13" i="4"/>
  <c r="AB52" i="4"/>
  <c r="AE51" i="4"/>
  <c r="AD50" i="4"/>
  <c r="AO56" i="4"/>
  <c r="AR55" i="4"/>
  <c r="AE13" i="4"/>
  <c r="AG13" i="4" s="1"/>
  <c r="AD13" i="4"/>
  <c r="AF13" i="4" s="1"/>
  <c r="AH13" i="4" s="1"/>
  <c r="AB14" i="4"/>
  <c r="AH12" i="4"/>
  <c r="R15" i="4"/>
  <c r="U14" i="4"/>
  <c r="AO17" i="4"/>
  <c r="AR16" i="4"/>
  <c r="R52" i="4"/>
  <c r="T52" i="4" s="1"/>
  <c r="U51" i="4"/>
  <c r="AF51" i="4" s="1"/>
  <c r="AY52" i="4"/>
  <c r="BC51" i="4"/>
  <c r="BB51" i="4"/>
  <c r="BA50" i="4"/>
  <c r="V14" i="4"/>
  <c r="P15" i="4"/>
  <c r="S14" i="4"/>
  <c r="T14" i="4" s="1"/>
  <c r="AA14" i="4"/>
  <c r="Z14" i="4"/>
  <c r="X14" i="4"/>
  <c r="AC53" i="4"/>
  <c r="Z53" i="4"/>
  <c r="X53" i="4"/>
  <c r="V53" i="4"/>
  <c r="P54" i="4"/>
  <c r="S53" i="4"/>
  <c r="AA53" i="4"/>
  <c r="T60" i="74" l="1"/>
  <c r="V59" i="74"/>
  <c r="W59" i="74"/>
  <c r="X59" i="74"/>
  <c r="U87" i="74"/>
  <c r="AB15" i="4"/>
  <c r="AE14" i="4"/>
  <c r="AG14" i="4" s="1"/>
  <c r="AI14" i="4" s="1"/>
  <c r="AD14" i="4"/>
  <c r="AF14" i="4" s="1"/>
  <c r="AH14" i="4" s="1"/>
  <c r="AA15" i="4"/>
  <c r="Z15" i="4"/>
  <c r="S15" i="4"/>
  <c r="T15" i="4" s="1"/>
  <c r="V15" i="4"/>
  <c r="X15" i="4"/>
  <c r="P16" i="4"/>
  <c r="AI13" i="4"/>
  <c r="BC16" i="4"/>
  <c r="BE16" i="4" s="1"/>
  <c r="BG16" i="4" s="1"/>
  <c r="AY17" i="4"/>
  <c r="AM17" i="4"/>
  <c r="AU16" i="4"/>
  <c r="BB16" i="4" s="1"/>
  <c r="BD16" i="4" s="1"/>
  <c r="BF16" i="4" s="1"/>
  <c r="AS16" i="4"/>
  <c r="AP16" i="4"/>
  <c r="AQ16" i="4" s="1"/>
  <c r="AX16" i="4"/>
  <c r="AW16" i="4"/>
  <c r="AY53" i="4"/>
  <c r="BC52" i="4"/>
  <c r="BB52" i="4"/>
  <c r="BA51" i="4"/>
  <c r="AO57" i="4"/>
  <c r="AR56" i="4"/>
  <c r="AC17" i="4"/>
  <c r="Q18" i="4"/>
  <c r="AN21" i="4"/>
  <c r="BA20" i="4"/>
  <c r="R16" i="4"/>
  <c r="U15" i="4"/>
  <c r="Z54" i="4"/>
  <c r="X54" i="4"/>
  <c r="V54" i="4"/>
  <c r="P55" i="4"/>
  <c r="S54" i="4"/>
  <c r="AC54" i="4"/>
  <c r="AA54" i="4"/>
  <c r="R53" i="4"/>
  <c r="U52" i="4"/>
  <c r="AB53" i="4"/>
  <c r="AF52" i="4"/>
  <c r="AD51" i="4"/>
  <c r="AE52" i="4"/>
  <c r="AR17" i="4"/>
  <c r="AO18" i="4"/>
  <c r="AX53" i="4"/>
  <c r="AW53" i="4"/>
  <c r="AU53" i="4"/>
  <c r="AS53" i="4"/>
  <c r="AM54" i="4"/>
  <c r="AP53" i="4"/>
  <c r="AQ53" i="4" s="1"/>
  <c r="AZ53" i="4"/>
  <c r="T61" i="74" l="1"/>
  <c r="V60" i="74"/>
  <c r="X60" i="74"/>
  <c r="W60" i="74"/>
  <c r="U88" i="74"/>
  <c r="BA21" i="4"/>
  <c r="AN22" i="4"/>
  <c r="BA22" i="4" s="1"/>
  <c r="S16" i="4"/>
  <c r="T16" i="4" s="1"/>
  <c r="AA16" i="4"/>
  <c r="Z16" i="4"/>
  <c r="X16" i="4"/>
  <c r="P17" i="4"/>
  <c r="V16" i="4"/>
  <c r="AP17" i="4"/>
  <c r="AQ17" i="4" s="1"/>
  <c r="AX17" i="4"/>
  <c r="BC17" i="4" s="1"/>
  <c r="BE17" i="4" s="1"/>
  <c r="BG17" i="4" s="1"/>
  <c r="AU17" i="4"/>
  <c r="AS17" i="4"/>
  <c r="AM18" i="4"/>
  <c r="AW17" i="4"/>
  <c r="BB17" i="4" s="1"/>
  <c r="BD17" i="4" s="1"/>
  <c r="BF17" i="4" s="1"/>
  <c r="AY18" i="4"/>
  <c r="AD52" i="4"/>
  <c r="AB54" i="4"/>
  <c r="AE53" i="4"/>
  <c r="Q19" i="4"/>
  <c r="AC18" i="4"/>
  <c r="AO58" i="4"/>
  <c r="AR57" i="4"/>
  <c r="R54" i="4"/>
  <c r="U53" i="4"/>
  <c r="AF53" i="4" s="1"/>
  <c r="AU54" i="4"/>
  <c r="AS54" i="4"/>
  <c r="AM55" i="4"/>
  <c r="AP54" i="4"/>
  <c r="AQ54" i="4" s="1"/>
  <c r="AZ54" i="4"/>
  <c r="AX54" i="4"/>
  <c r="AW54" i="4"/>
  <c r="V55" i="4"/>
  <c r="P56" i="4"/>
  <c r="AC55" i="4"/>
  <c r="AA55" i="4"/>
  <c r="Z55" i="4"/>
  <c r="S55" i="4"/>
  <c r="X55" i="4"/>
  <c r="BA52" i="4"/>
  <c r="BC53" i="4"/>
  <c r="AY54" i="4"/>
  <c r="BB53" i="4"/>
  <c r="AO19" i="4"/>
  <c r="AR18" i="4"/>
  <c r="R17" i="4"/>
  <c r="U16" i="4"/>
  <c r="T53" i="4"/>
  <c r="AD15" i="4"/>
  <c r="AF15" i="4" s="1"/>
  <c r="AH15" i="4" s="1"/>
  <c r="AE15" i="4"/>
  <c r="AG15" i="4" s="1"/>
  <c r="AI15" i="4" s="1"/>
  <c r="AB16" i="4"/>
  <c r="U89" i="74" l="1"/>
  <c r="T62" i="74"/>
  <c r="X61" i="74"/>
  <c r="W61" i="74"/>
  <c r="V61" i="74"/>
  <c r="AM56" i="4"/>
  <c r="AP55" i="4"/>
  <c r="AQ55" i="4" s="1"/>
  <c r="AZ55" i="4"/>
  <c r="AX55" i="4"/>
  <c r="AW55" i="4"/>
  <c r="AU55" i="4"/>
  <c r="AS55" i="4"/>
  <c r="AX18" i="4"/>
  <c r="AM19" i="4"/>
  <c r="AW18" i="4"/>
  <c r="AU18" i="4"/>
  <c r="AP18" i="4"/>
  <c r="AQ18" i="4" s="1"/>
  <c r="AS18" i="4"/>
  <c r="BC18" i="4"/>
  <c r="BE18" i="4" s="1"/>
  <c r="BG18" i="4" s="1"/>
  <c r="BB18" i="4"/>
  <c r="BD18" i="4" s="1"/>
  <c r="BF18" i="4" s="1"/>
  <c r="AY19" i="4"/>
  <c r="AO20" i="4"/>
  <c r="AR19" i="4"/>
  <c r="AY55" i="4"/>
  <c r="BC54" i="4"/>
  <c r="BB54" i="4"/>
  <c r="BA53" i="4"/>
  <c r="R55" i="4"/>
  <c r="U54" i="4"/>
  <c r="AF54" i="4" s="1"/>
  <c r="AO59" i="4"/>
  <c r="AR58" i="4"/>
  <c r="T55" i="4"/>
  <c r="T54" i="4"/>
  <c r="AE54" i="4" s="1"/>
  <c r="Q20" i="4"/>
  <c r="AC19" i="4"/>
  <c r="P18" i="4"/>
  <c r="Z17" i="4"/>
  <c r="X17" i="4"/>
  <c r="V17" i="4"/>
  <c r="S17" i="4"/>
  <c r="T17" i="4" s="1"/>
  <c r="AA17" i="4"/>
  <c r="AE16" i="4"/>
  <c r="AG16" i="4" s="1"/>
  <c r="AI16" i="4" s="1"/>
  <c r="AD16" i="4"/>
  <c r="AF16" i="4" s="1"/>
  <c r="AH16" i="4" s="1"/>
  <c r="AB17" i="4"/>
  <c r="AC56" i="4"/>
  <c r="AA56" i="4"/>
  <c r="Z56" i="4"/>
  <c r="X56" i="4"/>
  <c r="P57" i="4"/>
  <c r="S56" i="4"/>
  <c r="V56" i="4"/>
  <c r="AD53" i="4"/>
  <c r="AB55" i="4"/>
  <c r="U17" i="4"/>
  <c r="R18" i="4"/>
  <c r="T63" i="74" l="1"/>
  <c r="X62" i="74"/>
  <c r="V62" i="74"/>
  <c r="W62" i="74"/>
  <c r="U90" i="74"/>
  <c r="AB56" i="4"/>
  <c r="AE55" i="4"/>
  <c r="AD54" i="4"/>
  <c r="AA18" i="4"/>
  <c r="Z18" i="4"/>
  <c r="V18" i="4"/>
  <c r="P19" i="4"/>
  <c r="S18" i="4"/>
  <c r="T18" i="4" s="1"/>
  <c r="X18" i="4"/>
  <c r="Q21" i="4"/>
  <c r="AC20" i="4"/>
  <c r="AE17" i="4"/>
  <c r="AG17" i="4" s="1"/>
  <c r="AI17" i="4" s="1"/>
  <c r="AD17" i="4"/>
  <c r="AF17" i="4" s="1"/>
  <c r="AH17" i="4" s="1"/>
  <c r="AB18" i="4"/>
  <c r="AO60" i="4"/>
  <c r="AR60" i="4" s="1"/>
  <c r="AR59" i="4"/>
  <c r="R19" i="4"/>
  <c r="U18" i="4"/>
  <c r="AU19" i="4"/>
  <c r="AS19" i="4"/>
  <c r="AP19" i="4"/>
  <c r="AQ19" i="4" s="1"/>
  <c r="AM20" i="4"/>
  <c r="AW19" i="4"/>
  <c r="AY20" i="4" s="1"/>
  <c r="AX19" i="4"/>
  <c r="BC19" i="4" s="1"/>
  <c r="BE19" i="4" s="1"/>
  <c r="BG19" i="4" s="1"/>
  <c r="R56" i="4"/>
  <c r="U55" i="4"/>
  <c r="AF55" i="4" s="1"/>
  <c r="AY56" i="4"/>
  <c r="BC55" i="4"/>
  <c r="BB55" i="4"/>
  <c r="BA54" i="4"/>
  <c r="AC57" i="4"/>
  <c r="Z57" i="4"/>
  <c r="X57" i="4"/>
  <c r="V57" i="4"/>
  <c r="P58" i="4"/>
  <c r="AA57" i="4"/>
  <c r="S57" i="4"/>
  <c r="AR20" i="4"/>
  <c r="AO21" i="4"/>
  <c r="AX56" i="4"/>
  <c r="AW56" i="4"/>
  <c r="AU56" i="4"/>
  <c r="AZ56" i="4"/>
  <c r="AM57" i="4"/>
  <c r="AP56" i="4"/>
  <c r="AQ56" i="4" s="1"/>
  <c r="AS56" i="4"/>
  <c r="U91" i="74" l="1"/>
  <c r="T64" i="74"/>
  <c r="X63" i="74"/>
  <c r="W63" i="74"/>
  <c r="V63" i="74"/>
  <c r="R57" i="4"/>
  <c r="U56" i="4"/>
  <c r="AF56" i="4" s="1"/>
  <c r="T57" i="4"/>
  <c r="Z58" i="4"/>
  <c r="X58" i="4"/>
  <c r="V58" i="4"/>
  <c r="P59" i="4"/>
  <c r="S58" i="4"/>
  <c r="AC58" i="4"/>
  <c r="AA58" i="4"/>
  <c r="AY57" i="4"/>
  <c r="BC56" i="4"/>
  <c r="BB56" i="4"/>
  <c r="BA55" i="4"/>
  <c r="AE18" i="4"/>
  <c r="AG18" i="4" s="1"/>
  <c r="AI18" i="4" s="1"/>
  <c r="AD18" i="4"/>
  <c r="AF18" i="4" s="1"/>
  <c r="AH18" i="4" s="1"/>
  <c r="AB19" i="4"/>
  <c r="AO22" i="4"/>
  <c r="AR22" i="4" s="1"/>
  <c r="AR21" i="4"/>
  <c r="AC21" i="4"/>
  <c r="Q22" i="4"/>
  <c r="BB19" i="4"/>
  <c r="BD19" i="4" s="1"/>
  <c r="BF19" i="4" s="1"/>
  <c r="AS20" i="4"/>
  <c r="AP20" i="4"/>
  <c r="AQ20" i="4" s="1"/>
  <c r="AM21" i="4"/>
  <c r="AX20" i="4"/>
  <c r="BC20" i="4" s="1"/>
  <c r="BE20" i="4" s="1"/>
  <c r="BG20" i="4" s="1"/>
  <c r="AW20" i="4"/>
  <c r="AY21" i="4" s="1"/>
  <c r="AU20" i="4"/>
  <c r="V19" i="4"/>
  <c r="Z19" i="4"/>
  <c r="X19" i="4"/>
  <c r="P20" i="4"/>
  <c r="AA19" i="4"/>
  <c r="S19" i="4"/>
  <c r="T19" i="4" s="1"/>
  <c r="U19" i="4"/>
  <c r="R20" i="4"/>
  <c r="T56" i="4"/>
  <c r="AE56" i="4" s="1"/>
  <c r="AX57" i="4"/>
  <c r="AW57" i="4"/>
  <c r="AU57" i="4"/>
  <c r="AS57" i="4"/>
  <c r="AM58" i="4"/>
  <c r="AP57" i="4"/>
  <c r="AQ57" i="4" s="1"/>
  <c r="AZ57" i="4"/>
  <c r="AB57" i="4"/>
  <c r="AD55" i="4"/>
  <c r="T65" i="74" l="1"/>
  <c r="W64" i="74"/>
  <c r="X64" i="74"/>
  <c r="V64" i="74"/>
  <c r="U92" i="74"/>
  <c r="BA56" i="4"/>
  <c r="BC57" i="4"/>
  <c r="BB57" i="4"/>
  <c r="AY58" i="4"/>
  <c r="AX21" i="4"/>
  <c r="BC21" i="4" s="1"/>
  <c r="BE21" i="4" s="1"/>
  <c r="BG21" i="4" s="1"/>
  <c r="AW21" i="4"/>
  <c r="AY22" i="4" s="1"/>
  <c r="AU21" i="4"/>
  <c r="AP21" i="4"/>
  <c r="AQ21" i="4" s="1"/>
  <c r="AM22" i="4"/>
  <c r="AS21" i="4"/>
  <c r="AU58" i="4"/>
  <c r="AS58" i="4"/>
  <c r="AM59" i="4"/>
  <c r="AP58" i="4"/>
  <c r="AQ58" i="4" s="1"/>
  <c r="AZ58" i="4"/>
  <c r="AX58" i="4"/>
  <c r="AW58" i="4"/>
  <c r="R21" i="4"/>
  <c r="U20" i="4"/>
  <c r="V59" i="4"/>
  <c r="P60" i="4"/>
  <c r="AC59" i="4"/>
  <c r="X59" i="4"/>
  <c r="S59" i="4"/>
  <c r="AA59" i="4"/>
  <c r="Z59" i="4"/>
  <c r="Q23" i="4"/>
  <c r="AC22" i="4"/>
  <c r="AB20" i="4"/>
  <c r="AE19" i="4"/>
  <c r="AG19" i="4" s="1"/>
  <c r="AI19" i="4" s="1"/>
  <c r="AD19" i="4"/>
  <c r="AF19" i="4" s="1"/>
  <c r="AH19" i="4" s="1"/>
  <c r="R58" i="4"/>
  <c r="U57" i="4"/>
  <c r="AA20" i="4"/>
  <c r="P21" i="4"/>
  <c r="Z20" i="4"/>
  <c r="V20" i="4"/>
  <c r="X20" i="4"/>
  <c r="S20" i="4"/>
  <c r="T20" i="4" s="1"/>
  <c r="BB20" i="4"/>
  <c r="BD20" i="4" s="1"/>
  <c r="BF20" i="4" s="1"/>
  <c r="AD56" i="4"/>
  <c r="AF57" i="4"/>
  <c r="AE57" i="4"/>
  <c r="AB58" i="4"/>
  <c r="T58" i="4"/>
  <c r="U93" i="74" l="1"/>
  <c r="T66" i="74"/>
  <c r="X65" i="74"/>
  <c r="V65" i="74"/>
  <c r="W65" i="74"/>
  <c r="AM60" i="4"/>
  <c r="AP59" i="4"/>
  <c r="AQ59" i="4" s="1"/>
  <c r="AZ59" i="4"/>
  <c r="AX59" i="4"/>
  <c r="AW59" i="4"/>
  <c r="AS59" i="4"/>
  <c r="AU59" i="4"/>
  <c r="AD57" i="4"/>
  <c r="AB59" i="4"/>
  <c r="AF58" i="4"/>
  <c r="AE58" i="4"/>
  <c r="AC60" i="4"/>
  <c r="AA60" i="4"/>
  <c r="Z60" i="4"/>
  <c r="X60" i="4"/>
  <c r="P61" i="4"/>
  <c r="V60" i="4"/>
  <c r="S60" i="4"/>
  <c r="AC23" i="4"/>
  <c r="Q24" i="4"/>
  <c r="AP22" i="4"/>
  <c r="AQ22" i="4" s="1"/>
  <c r="AX22" i="4"/>
  <c r="BC22" i="4" s="1"/>
  <c r="BE22" i="4" s="1"/>
  <c r="AW22" i="4"/>
  <c r="BB22" i="4" s="1"/>
  <c r="BD22" i="4" s="1"/>
  <c r="AU22" i="4"/>
  <c r="AS22" i="4"/>
  <c r="T59" i="4"/>
  <c r="P22" i="4"/>
  <c r="S21" i="4"/>
  <c r="T21" i="4" s="1"/>
  <c r="AA21" i="4"/>
  <c r="Z21" i="4"/>
  <c r="X21" i="4"/>
  <c r="V21" i="4"/>
  <c r="R59" i="4"/>
  <c r="U58" i="4"/>
  <c r="BB21" i="4"/>
  <c r="BD21" i="4" s="1"/>
  <c r="BF21" i="4" s="1"/>
  <c r="AE20" i="4"/>
  <c r="AG20" i="4" s="1"/>
  <c r="AI20" i="4" s="1"/>
  <c r="AB21" i="4"/>
  <c r="AD20" i="4"/>
  <c r="AF20" i="4" s="1"/>
  <c r="AH20" i="4" s="1"/>
  <c r="AY59" i="4"/>
  <c r="BC58" i="4"/>
  <c r="BB58" i="4"/>
  <c r="BA57" i="4"/>
  <c r="U21" i="4"/>
  <c r="R22" i="4"/>
  <c r="T67" i="74" l="1"/>
  <c r="X66" i="74"/>
  <c r="W66" i="74"/>
  <c r="V66" i="74"/>
  <c r="U94" i="74"/>
  <c r="BF22" i="4"/>
  <c r="BF23" i="4" s="1"/>
  <c r="AM25" i="4" s="1"/>
  <c r="BD23" i="4"/>
  <c r="BG22" i="4"/>
  <c r="BG23" i="4" s="1"/>
  <c r="BE23" i="4"/>
  <c r="R23" i="4"/>
  <c r="U22" i="4"/>
  <c r="X22" i="4"/>
  <c r="V22" i="4"/>
  <c r="P23" i="4"/>
  <c r="AA22" i="4"/>
  <c r="Z22" i="4"/>
  <c r="S22" i="4"/>
  <c r="T22" i="4" s="1"/>
  <c r="AB60" i="4"/>
  <c r="AF59" i="4"/>
  <c r="AE59" i="4"/>
  <c r="AD58" i="4"/>
  <c r="AY60" i="4"/>
  <c r="BC59" i="4"/>
  <c r="BB59" i="4"/>
  <c r="BA58" i="4"/>
  <c r="AE21" i="4"/>
  <c r="AG21" i="4" s="1"/>
  <c r="AI21" i="4" s="1"/>
  <c r="AD21" i="4"/>
  <c r="AF21" i="4" s="1"/>
  <c r="AH21" i="4" s="1"/>
  <c r="AB22" i="4"/>
  <c r="R60" i="4"/>
  <c r="U59" i="4"/>
  <c r="AX60" i="4"/>
  <c r="AW60" i="4"/>
  <c r="AU60" i="4"/>
  <c r="AS60" i="4"/>
  <c r="AZ60" i="4"/>
  <c r="BA60" i="4" s="1"/>
  <c r="AP60" i="4"/>
  <c r="AQ60" i="4" s="1"/>
  <c r="AC61" i="4"/>
  <c r="Z61" i="4"/>
  <c r="X61" i="4"/>
  <c r="V61" i="4"/>
  <c r="P62" i="4"/>
  <c r="AA61" i="4"/>
  <c r="S61" i="4"/>
  <c r="Q25" i="4"/>
  <c r="AC24" i="4"/>
  <c r="T60" i="4"/>
  <c r="U95" i="74" l="1"/>
  <c r="T68" i="74"/>
  <c r="W67" i="74"/>
  <c r="X67" i="74"/>
  <c r="V67" i="74"/>
  <c r="BA61" i="4"/>
  <c r="Z23" i="4"/>
  <c r="AA23" i="4"/>
  <c r="X23" i="4"/>
  <c r="P24" i="4"/>
  <c r="S23" i="4"/>
  <c r="T23" i="4" s="1"/>
  <c r="V23" i="4"/>
  <c r="AB23" i="4"/>
  <c r="AD22" i="4"/>
  <c r="AF22" i="4" s="1"/>
  <c r="AH22" i="4" s="1"/>
  <c r="AE22" i="4"/>
  <c r="AG22" i="4" s="1"/>
  <c r="AI22" i="4" s="1"/>
  <c r="AB61" i="4"/>
  <c r="AD59" i="4"/>
  <c r="AE60" i="4"/>
  <c r="U60" i="4"/>
  <c r="AF60" i="4" s="1"/>
  <c r="R61" i="4"/>
  <c r="R24" i="4"/>
  <c r="U23" i="4"/>
  <c r="X62" i="4"/>
  <c r="P63" i="4"/>
  <c r="S62" i="4"/>
  <c r="AA62" i="4"/>
  <c r="AC62" i="4"/>
  <c r="V62" i="4"/>
  <c r="Z62" i="4"/>
  <c r="AM24" i="4"/>
  <c r="AC25" i="4"/>
  <c r="Q26" i="4"/>
  <c r="BC60" i="4"/>
  <c r="BC61" i="4" s="1"/>
  <c r="BB60" i="4"/>
  <c r="BB61" i="4" s="1"/>
  <c r="AM62" i="4" s="1"/>
  <c r="BA59" i="4"/>
  <c r="T69" i="74" l="1"/>
  <c r="W68" i="74"/>
  <c r="V68" i="74"/>
  <c r="X68" i="74"/>
  <c r="U96" i="74"/>
  <c r="R62" i="4"/>
  <c r="U61" i="4"/>
  <c r="AM63" i="4"/>
  <c r="AC26" i="4"/>
  <c r="Q27" i="4"/>
  <c r="AD60" i="4"/>
  <c r="AF61" i="4"/>
  <c r="AB62" i="4"/>
  <c r="T61" i="4"/>
  <c r="AE61" i="4" s="1"/>
  <c r="AD23" i="4"/>
  <c r="AF23" i="4" s="1"/>
  <c r="AH23" i="4" s="1"/>
  <c r="AB24" i="4"/>
  <c r="AE23" i="4"/>
  <c r="AG23" i="4" s="1"/>
  <c r="AI23" i="4" s="1"/>
  <c r="V63" i="4"/>
  <c r="AC63" i="4"/>
  <c r="X63" i="4"/>
  <c r="P64" i="4"/>
  <c r="AA63" i="4"/>
  <c r="Z63" i="4"/>
  <c r="S63" i="4"/>
  <c r="S24" i="4"/>
  <c r="T24" i="4" s="1"/>
  <c r="P25" i="4"/>
  <c r="AA24" i="4"/>
  <c r="Z24" i="4"/>
  <c r="X24" i="4"/>
  <c r="V24" i="4"/>
  <c r="U24" i="4"/>
  <c r="R25" i="4"/>
  <c r="U97" i="74" l="1"/>
  <c r="T70" i="74"/>
  <c r="W69" i="74"/>
  <c r="X69" i="74"/>
  <c r="V69" i="74"/>
  <c r="R63" i="4"/>
  <c r="T63" i="4" s="1"/>
  <c r="U62" i="4"/>
  <c r="R26" i="4"/>
  <c r="U25" i="4"/>
  <c r="AE24" i="4"/>
  <c r="AG24" i="4" s="1"/>
  <c r="AI24" i="4" s="1"/>
  <c r="AD24" i="4"/>
  <c r="AF24" i="4" s="1"/>
  <c r="AH24" i="4" s="1"/>
  <c r="AB25" i="4"/>
  <c r="T62" i="4"/>
  <c r="AD61" i="4"/>
  <c r="AF62" i="4"/>
  <c r="AB63" i="4"/>
  <c r="AE62" i="4"/>
  <c r="AA25" i="4"/>
  <c r="X25" i="4"/>
  <c r="P26" i="4"/>
  <c r="Z25" i="4"/>
  <c r="V25" i="4"/>
  <c r="S25" i="4"/>
  <c r="T25" i="4" s="1"/>
  <c r="AC27" i="4"/>
  <c r="Q28" i="4"/>
  <c r="S64" i="4"/>
  <c r="P65" i="4"/>
  <c r="AC64" i="4"/>
  <c r="AA64" i="4"/>
  <c r="Z64" i="4"/>
  <c r="X64" i="4"/>
  <c r="V64" i="4"/>
  <c r="T71" i="74" l="1"/>
  <c r="W70" i="74"/>
  <c r="X70" i="74"/>
  <c r="V70" i="74"/>
  <c r="U98" i="74"/>
  <c r="AE25" i="4"/>
  <c r="AG25" i="4" s="1"/>
  <c r="AI25" i="4" s="1"/>
  <c r="AD25" i="4"/>
  <c r="AF25" i="4" s="1"/>
  <c r="AH25" i="4" s="1"/>
  <c r="AB26" i="4"/>
  <c r="AC28" i="4"/>
  <c r="Q29" i="4"/>
  <c r="X26" i="4"/>
  <c r="P27" i="4"/>
  <c r="S26" i="4"/>
  <c r="T26" i="4" s="1"/>
  <c r="Z26" i="4"/>
  <c r="V26" i="4"/>
  <c r="AA26" i="4"/>
  <c r="AF63" i="4"/>
  <c r="AB64" i="4"/>
  <c r="AE63" i="4"/>
  <c r="AD62" i="4"/>
  <c r="AC65" i="4"/>
  <c r="AA65" i="4"/>
  <c r="Z65" i="4"/>
  <c r="X65" i="4"/>
  <c r="S65" i="4"/>
  <c r="P66" i="4"/>
  <c r="V65" i="4"/>
  <c r="R27" i="4"/>
  <c r="U26" i="4"/>
  <c r="R64" i="4"/>
  <c r="T64" i="4" s="1"/>
  <c r="U63" i="4"/>
  <c r="T72" i="74" l="1"/>
  <c r="V71" i="74"/>
  <c r="W71" i="74"/>
  <c r="X71" i="74"/>
  <c r="AE64" i="4"/>
  <c r="AB65" i="4"/>
  <c r="AD63" i="4"/>
  <c r="S27" i="4"/>
  <c r="T27" i="4" s="1"/>
  <c r="V27" i="4"/>
  <c r="P28" i="4"/>
  <c r="AA27" i="4"/>
  <c r="X27" i="4"/>
  <c r="Z27" i="4"/>
  <c r="AC66" i="4"/>
  <c r="AA66" i="4"/>
  <c r="Z66" i="4"/>
  <c r="X66" i="4"/>
  <c r="V66" i="4"/>
  <c r="P67" i="4"/>
  <c r="S66" i="4"/>
  <c r="AE26" i="4"/>
  <c r="AG26" i="4" s="1"/>
  <c r="AI26" i="4" s="1"/>
  <c r="AD26" i="4"/>
  <c r="AF26" i="4" s="1"/>
  <c r="AH26" i="4" s="1"/>
  <c r="AB27" i="4"/>
  <c r="U64" i="4"/>
  <c r="AF64" i="4" s="1"/>
  <c r="R65" i="4"/>
  <c r="U27" i="4"/>
  <c r="R28" i="4"/>
  <c r="Q30" i="4"/>
  <c r="AC29" i="4"/>
  <c r="T73" i="74" l="1"/>
  <c r="W72" i="74"/>
  <c r="V72" i="74"/>
  <c r="X72" i="74"/>
  <c r="AC67" i="4"/>
  <c r="AA67" i="4"/>
  <c r="X67" i="4"/>
  <c r="V67" i="4"/>
  <c r="S67" i="4"/>
  <c r="Z67" i="4"/>
  <c r="P68" i="4"/>
  <c r="AC30" i="4"/>
  <c r="Q31" i="4"/>
  <c r="R29" i="4"/>
  <c r="U28" i="4"/>
  <c r="AA28" i="4"/>
  <c r="X28" i="4"/>
  <c r="Z28" i="4"/>
  <c r="V28" i="4"/>
  <c r="S28" i="4"/>
  <c r="T28" i="4" s="1"/>
  <c r="P29" i="4"/>
  <c r="R66" i="4"/>
  <c r="U65" i="4"/>
  <c r="AD27" i="4"/>
  <c r="AF27" i="4" s="1"/>
  <c r="AH27" i="4" s="1"/>
  <c r="AE27" i="4"/>
  <c r="AG27" i="4" s="1"/>
  <c r="AI27" i="4" s="1"/>
  <c r="AB28" i="4"/>
  <c r="T65" i="4"/>
  <c r="AF65" i="4"/>
  <c r="AE65" i="4"/>
  <c r="AD64" i="4"/>
  <c r="AB66" i="4"/>
  <c r="T66" i="4"/>
  <c r="T74" i="74" l="1"/>
  <c r="X73" i="74"/>
  <c r="V73" i="74"/>
  <c r="W73" i="74"/>
  <c r="U29" i="4"/>
  <c r="R30" i="4"/>
  <c r="Q32" i="4"/>
  <c r="AC31" i="4"/>
  <c r="AA68" i="4"/>
  <c r="Z68" i="4"/>
  <c r="V68" i="4"/>
  <c r="S68" i="4"/>
  <c r="P69" i="4"/>
  <c r="AC68" i="4"/>
  <c r="X68" i="4"/>
  <c r="AE28" i="4"/>
  <c r="AG28" i="4" s="1"/>
  <c r="AI28" i="4" s="1"/>
  <c r="AD28" i="4"/>
  <c r="AF28" i="4" s="1"/>
  <c r="AH28" i="4" s="1"/>
  <c r="AB29" i="4"/>
  <c r="T67" i="4"/>
  <c r="AE66" i="4"/>
  <c r="AB67" i="4"/>
  <c r="AD65" i="4"/>
  <c r="U66" i="4"/>
  <c r="AF66" i="4" s="1"/>
  <c r="R67" i="4"/>
  <c r="Z29" i="4"/>
  <c r="X29" i="4"/>
  <c r="V29" i="4"/>
  <c r="P30" i="4"/>
  <c r="S29" i="4"/>
  <c r="T29" i="4" s="1"/>
  <c r="AA29" i="4"/>
  <c r="T75" i="74" l="1"/>
  <c r="X74" i="74"/>
  <c r="V74" i="74"/>
  <c r="W74" i="74"/>
  <c r="P31" i="4"/>
  <c r="S30" i="4"/>
  <c r="T30" i="4" s="1"/>
  <c r="AA30" i="4"/>
  <c r="Z30" i="4"/>
  <c r="X30" i="4"/>
  <c r="V30" i="4"/>
  <c r="X69" i="4"/>
  <c r="S69" i="4"/>
  <c r="P70" i="4"/>
  <c r="AA69" i="4"/>
  <c r="Z69" i="4"/>
  <c r="AC69" i="4"/>
  <c r="V69" i="4"/>
  <c r="U67" i="4"/>
  <c r="AF67" i="4" s="1"/>
  <c r="R68" i="4"/>
  <c r="AE29" i="4"/>
  <c r="AG29" i="4" s="1"/>
  <c r="AI29" i="4" s="1"/>
  <c r="AD29" i="4"/>
  <c r="AF29" i="4" s="1"/>
  <c r="AH29" i="4" s="1"/>
  <c r="AB30" i="4"/>
  <c r="Q33" i="4"/>
  <c r="AC33" i="4" s="1"/>
  <c r="AC32" i="4"/>
  <c r="U30" i="4"/>
  <c r="R31" i="4"/>
  <c r="AD66" i="4"/>
  <c r="AE67" i="4"/>
  <c r="AB68" i="4"/>
  <c r="T76" i="74" l="1"/>
  <c r="V75" i="74"/>
  <c r="X75" i="74"/>
  <c r="W75" i="74"/>
  <c r="U68" i="4"/>
  <c r="R69" i="4"/>
  <c r="V70" i="4"/>
  <c r="S70" i="4"/>
  <c r="P71" i="4"/>
  <c r="AC70" i="4"/>
  <c r="X70" i="4"/>
  <c r="AA70" i="4"/>
  <c r="Z70" i="4"/>
  <c r="AD67" i="4"/>
  <c r="AE68" i="4"/>
  <c r="AB69" i="4"/>
  <c r="AF68" i="4"/>
  <c r="T69" i="4"/>
  <c r="R32" i="4"/>
  <c r="U31" i="4"/>
  <c r="T68" i="4"/>
  <c r="AB31" i="4"/>
  <c r="AE30" i="4"/>
  <c r="AG30" i="4" s="1"/>
  <c r="AI30" i="4" s="1"/>
  <c r="AD30" i="4"/>
  <c r="AF30" i="4" s="1"/>
  <c r="AH30" i="4" s="1"/>
  <c r="AA31" i="4"/>
  <c r="Z31" i="4"/>
  <c r="X31" i="4"/>
  <c r="S31" i="4"/>
  <c r="T31" i="4" s="1"/>
  <c r="P32" i="4"/>
  <c r="V31" i="4"/>
  <c r="T77" i="74" l="1"/>
  <c r="V76" i="74"/>
  <c r="X76" i="74"/>
  <c r="W76" i="74"/>
  <c r="R33" i="4"/>
  <c r="U33" i="4" s="1"/>
  <c r="U32" i="4"/>
  <c r="AE69" i="4"/>
  <c r="AD68" i="4"/>
  <c r="AB70" i="4"/>
  <c r="AA32" i="4"/>
  <c r="Z32" i="4"/>
  <c r="V32" i="4"/>
  <c r="P33" i="4"/>
  <c r="S32" i="4"/>
  <c r="T32" i="4" s="1"/>
  <c r="X32" i="4"/>
  <c r="S71" i="4"/>
  <c r="AC71" i="4"/>
  <c r="AD71" i="4" s="1"/>
  <c r="AA71" i="4"/>
  <c r="V71" i="4"/>
  <c r="Z71" i="4"/>
  <c r="X71" i="4"/>
  <c r="AE31" i="4"/>
  <c r="AG31" i="4" s="1"/>
  <c r="AI31" i="4" s="1"/>
  <c r="AD31" i="4"/>
  <c r="AF31" i="4" s="1"/>
  <c r="AH31" i="4" s="1"/>
  <c r="AB32" i="4"/>
  <c r="U69" i="4"/>
  <c r="AF69" i="4" s="1"/>
  <c r="R70" i="4"/>
  <c r="T78" i="74" l="1"/>
  <c r="V77" i="74"/>
  <c r="X77" i="74"/>
  <c r="W77" i="74"/>
  <c r="V33" i="4"/>
  <c r="AA33" i="4"/>
  <c r="Z33" i="4"/>
  <c r="X33" i="4"/>
  <c r="S33" i="4"/>
  <c r="T33" i="4" s="1"/>
  <c r="U70" i="4"/>
  <c r="R71" i="4"/>
  <c r="U71" i="4" s="1"/>
  <c r="AD32" i="4"/>
  <c r="AF32" i="4" s="1"/>
  <c r="AH32" i="4" s="1"/>
  <c r="AB33" i="4"/>
  <c r="AE32" i="4"/>
  <c r="AG32" i="4" s="1"/>
  <c r="AI32" i="4" s="1"/>
  <c r="T71" i="4"/>
  <c r="AF70" i="4"/>
  <c r="AE70" i="4"/>
  <c r="AB71" i="4"/>
  <c r="AD69" i="4"/>
  <c r="T70" i="4"/>
  <c r="T79" i="74" l="1"/>
  <c r="W78" i="74"/>
  <c r="V78" i="74"/>
  <c r="X78" i="74"/>
  <c r="AF71" i="4"/>
  <c r="AF72" i="4" s="1"/>
  <c r="AE71" i="4"/>
  <c r="AE72" i="4" s="1"/>
  <c r="P73" i="4" s="1"/>
  <c r="AD70" i="4"/>
  <c r="AD72" i="4" s="1"/>
  <c r="AE33" i="4"/>
  <c r="AG33" i="4" s="1"/>
  <c r="AD33" i="4"/>
  <c r="AF33" i="4" s="1"/>
  <c r="T80" i="74" l="1"/>
  <c r="W79" i="74"/>
  <c r="X79" i="74"/>
  <c r="V79" i="74"/>
  <c r="AI33" i="4"/>
  <c r="AI34" i="4" s="1"/>
  <c r="AG34" i="4"/>
  <c r="AH33" i="4"/>
  <c r="AH34" i="4" s="1"/>
  <c r="P36" i="4" s="1"/>
  <c r="AF34" i="4"/>
  <c r="P35" i="4" s="1"/>
  <c r="P74" i="4"/>
  <c r="T81" i="74" l="1"/>
  <c r="X80" i="74"/>
  <c r="W80" i="74"/>
  <c r="V80" i="74"/>
  <c r="Q77" i="3"/>
  <c r="P73" i="3"/>
  <c r="O73" i="3"/>
  <c r="O69" i="3"/>
  <c r="Q66" i="3"/>
  <c r="O66" i="3" s="1"/>
  <c r="P66" i="3"/>
  <c r="P67" i="3" s="1"/>
  <c r="P65" i="3"/>
  <c r="Q65" i="3" s="1"/>
  <c r="P64" i="3"/>
  <c r="O64" i="3" s="1"/>
  <c r="Q63" i="3"/>
  <c r="O63" i="3"/>
  <c r="Q62" i="3"/>
  <c r="P62" i="3"/>
  <c r="O62" i="3"/>
  <c r="O58" i="3"/>
  <c r="W51" i="3"/>
  <c r="S51" i="3"/>
  <c r="Q51" i="3"/>
  <c r="P51" i="3"/>
  <c r="R51" i="3" s="1"/>
  <c r="W50" i="3"/>
  <c r="S50" i="3"/>
  <c r="Q50" i="3"/>
  <c r="P50" i="3"/>
  <c r="T50" i="3" s="1"/>
  <c r="W49" i="3"/>
  <c r="T49" i="3"/>
  <c r="S49" i="3"/>
  <c r="R49" i="3"/>
  <c r="P49" i="3"/>
  <c r="Y44" i="3"/>
  <c r="Y51" i="3" s="1"/>
  <c r="X44" i="3"/>
  <c r="X51" i="3" s="1"/>
  <c r="W44" i="3"/>
  <c r="V44" i="3"/>
  <c r="V51" i="3" s="1"/>
  <c r="S44" i="3"/>
  <c r="Q44" i="3"/>
  <c r="P44" i="3"/>
  <c r="R44" i="3" s="1"/>
  <c r="Y43" i="3"/>
  <c r="Y50" i="3" s="1"/>
  <c r="X43" i="3"/>
  <c r="X50" i="3" s="1"/>
  <c r="W43" i="3"/>
  <c r="V43" i="3"/>
  <c r="V50" i="3" s="1"/>
  <c r="S43" i="3"/>
  <c r="Q43" i="3"/>
  <c r="P43" i="3"/>
  <c r="T43" i="3" s="1"/>
  <c r="Y42" i="3"/>
  <c r="Y49" i="3" s="1"/>
  <c r="X42" i="3"/>
  <c r="X49" i="3" s="1"/>
  <c r="W42" i="3"/>
  <c r="V42" i="3"/>
  <c r="V49" i="3" s="1"/>
  <c r="T42" i="3"/>
  <c r="S42" i="3"/>
  <c r="R42" i="3"/>
  <c r="P42" i="3"/>
  <c r="O38" i="3"/>
  <c r="P31" i="3"/>
  <c r="O31" i="3"/>
  <c r="P30" i="3"/>
  <c r="P32" i="3" s="1"/>
  <c r="O37" i="3" s="1"/>
  <c r="P38" i="3" s="1"/>
  <c r="Q70" i="3" s="1"/>
  <c r="O70" i="3" s="1"/>
  <c r="O30" i="3"/>
  <c r="O32" i="3" s="1"/>
  <c r="O55" i="3" s="1"/>
  <c r="O25" i="3"/>
  <c r="O26" i="3" s="1"/>
  <c r="O24" i="3"/>
  <c r="O11" i="3"/>
  <c r="O14" i="3" s="1"/>
  <c r="O8" i="3"/>
  <c r="O7" i="3"/>
  <c r="T82" i="74" l="1"/>
  <c r="W81" i="74"/>
  <c r="X81" i="74"/>
  <c r="V81" i="74"/>
  <c r="U50" i="3"/>
  <c r="Z49" i="3"/>
  <c r="Z42" i="3"/>
  <c r="T51" i="3"/>
  <c r="R43" i="3"/>
  <c r="R50" i="3"/>
  <c r="O12" i="3"/>
  <c r="O13" i="3" s="1"/>
  <c r="Q67" i="3"/>
  <c r="U43" i="3"/>
  <c r="T44" i="3"/>
  <c r="O9" i="3"/>
  <c r="T83" i="74" l="1"/>
  <c r="X82" i="74"/>
  <c r="W82" i="74"/>
  <c r="V82" i="74"/>
  <c r="O15" i="3"/>
  <c r="P74" i="3"/>
  <c r="O74" i="3" s="1"/>
  <c r="U44" i="3"/>
  <c r="Z44" i="3" s="1"/>
  <c r="Z43" i="3"/>
  <c r="O67" i="3"/>
  <c r="Z45" i="3"/>
  <c r="O56" i="3" s="1"/>
  <c r="U51" i="3"/>
  <c r="Z51" i="3" s="1"/>
  <c r="Z50" i="3"/>
  <c r="Z52" i="3" s="1"/>
  <c r="O57" i="3" s="1"/>
  <c r="P58" i="3" s="1"/>
  <c r="Q72" i="3" s="1"/>
  <c r="O72" i="3" s="1"/>
  <c r="T84" i="74" l="1"/>
  <c r="V83" i="74"/>
  <c r="X83" i="74"/>
  <c r="W83" i="74"/>
  <c r="O17" i="3"/>
  <c r="O16" i="3"/>
  <c r="P57" i="3"/>
  <c r="Q71" i="3" s="1"/>
  <c r="O71" i="3" s="1"/>
  <c r="P56" i="3"/>
  <c r="Q68" i="3" s="1"/>
  <c r="T85" i="74" l="1"/>
  <c r="W84" i="74"/>
  <c r="X84" i="74"/>
  <c r="V84" i="74"/>
  <c r="P75" i="3"/>
  <c r="O75" i="3" s="1"/>
  <c r="O19" i="3"/>
  <c r="O68" i="3"/>
  <c r="Q76" i="3"/>
  <c r="P77" i="3"/>
  <c r="O20" i="3"/>
  <c r="T86" i="74" l="1"/>
  <c r="V85" i="74"/>
  <c r="X85" i="74"/>
  <c r="W85" i="74"/>
  <c r="O77" i="3"/>
  <c r="P76" i="3"/>
  <c r="O76" i="3"/>
  <c r="T87" i="74" l="1"/>
  <c r="X86" i="74"/>
  <c r="V86" i="74"/>
  <c r="W86" i="74"/>
  <c r="K37" i="1"/>
  <c r="I37" i="1"/>
  <c r="K36" i="1"/>
  <c r="K35" i="1"/>
  <c r="K34" i="1"/>
  <c r="K33" i="1"/>
  <c r="B33" i="1"/>
  <c r="I36" i="1" s="1"/>
  <c r="K32" i="1"/>
  <c r="K31" i="1"/>
  <c r="K30" i="1"/>
  <c r="K29" i="1"/>
  <c r="K28" i="1"/>
  <c r="K27" i="1"/>
  <c r="K26" i="1"/>
  <c r="K25" i="1"/>
  <c r="K24" i="1"/>
  <c r="K23" i="1"/>
  <c r="K22" i="1"/>
  <c r="K21" i="1"/>
  <c r="K20" i="1"/>
  <c r="K19" i="1"/>
  <c r="J19" i="1"/>
  <c r="L19" i="1" s="1"/>
  <c r="J18" i="1"/>
  <c r="L18" i="1" s="1"/>
  <c r="C17" i="1"/>
  <c r="J20" i="1" s="1"/>
  <c r="L20" i="1" s="1"/>
  <c r="C16" i="1"/>
  <c r="J13" i="1"/>
  <c r="J11" i="1"/>
  <c r="J9" i="1"/>
  <c r="I3" i="1"/>
  <c r="I2" i="1"/>
  <c r="I1" i="1"/>
  <c r="T88" i="74" l="1"/>
  <c r="V87" i="74"/>
  <c r="X87" i="74"/>
  <c r="W87" i="74"/>
  <c r="R18" i="1"/>
  <c r="N18" i="1"/>
  <c r="P18" i="1"/>
  <c r="B32" i="1"/>
  <c r="C18" i="1"/>
  <c r="T89" i="74" l="1"/>
  <c r="X88" i="74"/>
  <c r="W88" i="74"/>
  <c r="V88" i="74"/>
  <c r="M19" i="1"/>
  <c r="N19" i="1" s="1"/>
  <c r="Q19" i="1"/>
  <c r="R19" i="1"/>
  <c r="C19" i="1"/>
  <c r="J21" i="1"/>
  <c r="L21" i="1" s="1"/>
  <c r="B31" i="1"/>
  <c r="I35" i="1"/>
  <c r="O19" i="1"/>
  <c r="P19" i="1"/>
  <c r="T90" i="74" l="1"/>
  <c r="V89" i="74"/>
  <c r="X89" i="74"/>
  <c r="W89" i="74"/>
  <c r="M20" i="1"/>
  <c r="N20" i="1"/>
  <c r="O20" i="1"/>
  <c r="P20" i="1" s="1"/>
  <c r="I34" i="1"/>
  <c r="B30" i="1"/>
  <c r="J22" i="1"/>
  <c r="L22" i="1" s="1"/>
  <c r="C20" i="1"/>
  <c r="Q20" i="1"/>
  <c r="R20" i="1" s="1"/>
  <c r="T91" i="74" l="1"/>
  <c r="W90" i="74"/>
  <c r="V90" i="74"/>
  <c r="X90" i="74"/>
  <c r="Q21" i="1"/>
  <c r="R21" i="1"/>
  <c r="O21" i="1"/>
  <c r="P21" i="1" s="1"/>
  <c r="M21" i="1"/>
  <c r="N21" i="1" s="1"/>
  <c r="C21" i="1"/>
  <c r="J23" i="1"/>
  <c r="L23" i="1" s="1"/>
  <c r="B29" i="1"/>
  <c r="I33" i="1"/>
  <c r="T92" i="74" l="1"/>
  <c r="W91" i="74"/>
  <c r="X91" i="74"/>
  <c r="V91" i="74"/>
  <c r="M22" i="1"/>
  <c r="N22" i="1"/>
  <c r="O22" i="1"/>
  <c r="P22" i="1" s="1"/>
  <c r="Q22" i="1"/>
  <c r="R22" i="1" s="1"/>
  <c r="I32" i="1"/>
  <c r="B28" i="1"/>
  <c r="J24" i="1"/>
  <c r="L24" i="1" s="1"/>
  <c r="C22" i="1"/>
  <c r="T93" i="74" l="1"/>
  <c r="W92" i="74"/>
  <c r="V92" i="74"/>
  <c r="X92" i="74"/>
  <c r="Q23" i="1"/>
  <c r="R23" i="1"/>
  <c r="O23" i="1"/>
  <c r="P23" i="1"/>
  <c r="M23" i="1"/>
  <c r="N23" i="1" s="1"/>
  <c r="C23" i="1"/>
  <c r="J25" i="1"/>
  <c r="L25" i="1" s="1"/>
  <c r="B27" i="1"/>
  <c r="I31" i="1"/>
  <c r="T94" i="74" l="1"/>
  <c r="W93" i="74"/>
  <c r="X93" i="74"/>
  <c r="V93" i="74"/>
  <c r="M24" i="1"/>
  <c r="N24" i="1" s="1"/>
  <c r="C24" i="1"/>
  <c r="J26" i="1"/>
  <c r="L26" i="1" s="1"/>
  <c r="Q24" i="1"/>
  <c r="R24" i="1" s="1"/>
  <c r="I30" i="1"/>
  <c r="B26" i="1"/>
  <c r="O24" i="1"/>
  <c r="P24" i="1" s="1"/>
  <c r="T95" i="74" l="1"/>
  <c r="X94" i="74"/>
  <c r="W94" i="74"/>
  <c r="V94" i="74"/>
  <c r="O25" i="1"/>
  <c r="P25" i="1" s="1"/>
  <c r="Q25" i="1"/>
  <c r="R25" i="1"/>
  <c r="M25" i="1"/>
  <c r="N25" i="1" s="1"/>
  <c r="I29" i="1"/>
  <c r="B25" i="1"/>
  <c r="C25" i="1"/>
  <c r="J27" i="1"/>
  <c r="L27" i="1" s="1"/>
  <c r="T96" i="74" l="1"/>
  <c r="V95" i="74"/>
  <c r="W95" i="74"/>
  <c r="X95" i="74"/>
  <c r="M26" i="1"/>
  <c r="N26" i="1" s="1"/>
  <c r="O26" i="1"/>
  <c r="P26" i="1" s="1"/>
  <c r="Q26" i="1"/>
  <c r="R26" i="1" s="1"/>
  <c r="J28" i="1"/>
  <c r="L28" i="1" s="1"/>
  <c r="C26" i="1"/>
  <c r="I28" i="1"/>
  <c r="B24" i="1"/>
  <c r="T97" i="74" l="1"/>
  <c r="V96" i="74"/>
  <c r="W96" i="74"/>
  <c r="X96" i="74"/>
  <c r="Q27" i="1"/>
  <c r="R27" i="1"/>
  <c r="O27" i="1"/>
  <c r="P27" i="1"/>
  <c r="M27" i="1"/>
  <c r="N27" i="1" s="1"/>
  <c r="C27" i="1"/>
  <c r="J29" i="1"/>
  <c r="L29" i="1" s="1"/>
  <c r="B23" i="1"/>
  <c r="I27" i="1"/>
  <c r="T98" i="74" l="1"/>
  <c r="W97" i="74"/>
  <c r="X97" i="74"/>
  <c r="V97" i="74"/>
  <c r="M28" i="1"/>
  <c r="N28" i="1"/>
  <c r="C28" i="1"/>
  <c r="J30" i="1"/>
  <c r="L30" i="1" s="1"/>
  <c r="I26" i="1"/>
  <c r="B22" i="1"/>
  <c r="O28" i="1"/>
  <c r="P28" i="1" s="1"/>
  <c r="Q28" i="1"/>
  <c r="R28" i="1" s="1"/>
  <c r="X98" i="74" l="1"/>
  <c r="V98" i="74"/>
  <c r="W98" i="74"/>
  <c r="Q29" i="1"/>
  <c r="R29" i="1" s="1"/>
  <c r="O29" i="1"/>
  <c r="P29" i="1" s="1"/>
  <c r="B21" i="1"/>
  <c r="I25" i="1"/>
  <c r="C29" i="1"/>
  <c r="J31" i="1"/>
  <c r="L31" i="1" s="1"/>
  <c r="M29" i="1"/>
  <c r="N29" i="1" s="1"/>
  <c r="AB20" i="74" l="1"/>
  <c r="AD20" i="74"/>
  <c r="AC20" i="74"/>
  <c r="AC19" i="74"/>
  <c r="AB19" i="74"/>
  <c r="AD19" i="74"/>
  <c r="AC21" i="74"/>
  <c r="AB21" i="74"/>
  <c r="AD21" i="74"/>
  <c r="M30" i="1"/>
  <c r="N30" i="1" s="1"/>
  <c r="O30" i="1"/>
  <c r="P30" i="1" s="1"/>
  <c r="Q30" i="1"/>
  <c r="R30" i="1" s="1"/>
  <c r="J32" i="1"/>
  <c r="L32" i="1" s="1"/>
  <c r="C30" i="1"/>
  <c r="I24" i="1"/>
  <c r="B20" i="1"/>
  <c r="AF21" i="74" l="1"/>
  <c r="AE21" i="74"/>
  <c r="AE19" i="74"/>
  <c r="AF19" i="74"/>
  <c r="AE20" i="74"/>
  <c r="AF20" i="74"/>
  <c r="Q31" i="1"/>
  <c r="R31" i="1"/>
  <c r="O31" i="1"/>
  <c r="P31" i="1" s="1"/>
  <c r="M31" i="1"/>
  <c r="N31" i="1" s="1"/>
  <c r="C31" i="1"/>
  <c r="J33" i="1"/>
  <c r="L33" i="1" s="1"/>
  <c r="B19" i="1"/>
  <c r="I23" i="1"/>
  <c r="AC26" i="74" l="1"/>
  <c r="AC34" i="74" s="1"/>
  <c r="AC28" i="74"/>
  <c r="AC36" i="74" s="1"/>
  <c r="M32" i="1"/>
  <c r="N32" i="1"/>
  <c r="O32" i="1"/>
  <c r="P32" i="1" s="1"/>
  <c r="C32" i="1"/>
  <c r="J34" i="1"/>
  <c r="L34" i="1" s="1"/>
  <c r="B18" i="1"/>
  <c r="I22" i="1"/>
  <c r="Q32" i="1"/>
  <c r="R32" i="1" s="1"/>
  <c r="Q33" i="1" l="1"/>
  <c r="R33" i="1"/>
  <c r="O33" i="1"/>
  <c r="P33" i="1" s="1"/>
  <c r="I21" i="1"/>
  <c r="B17" i="1"/>
  <c r="J35" i="1"/>
  <c r="L35" i="1" s="1"/>
  <c r="C33" i="1"/>
  <c r="M33" i="1"/>
  <c r="N33" i="1" s="1"/>
  <c r="M34" i="1" l="1"/>
  <c r="N34" i="1"/>
  <c r="O34" i="1"/>
  <c r="P34" i="1" s="1"/>
  <c r="J36" i="1"/>
  <c r="L36" i="1" s="1"/>
  <c r="C34" i="1"/>
  <c r="J37" i="1" s="1"/>
  <c r="L37" i="1" s="1"/>
  <c r="I20" i="1"/>
  <c r="B16" i="1"/>
  <c r="Q34" i="1"/>
  <c r="R34" i="1" s="1"/>
  <c r="Q35" i="1" l="1"/>
  <c r="R35" i="1" s="1"/>
  <c r="O35" i="1"/>
  <c r="P35" i="1" s="1"/>
  <c r="I19" i="1"/>
  <c r="B15" i="1"/>
  <c r="I18" i="1" s="1"/>
  <c r="M35" i="1"/>
  <c r="N35" i="1"/>
  <c r="O36" i="1" l="1"/>
  <c r="P36" i="1" s="1"/>
  <c r="Q36" i="1"/>
  <c r="R36" i="1"/>
  <c r="M36" i="1"/>
  <c r="N36" i="1" s="1"/>
  <c r="M37" i="1" l="1"/>
  <c r="N37" i="1" s="1"/>
  <c r="O37" i="1"/>
  <c r="P37" i="1" s="1"/>
  <c r="Q37" i="1"/>
  <c r="R37" i="1" s="1"/>
  <c r="R42" i="1" l="1"/>
  <c r="R43" i="1"/>
  <c r="O43" i="1"/>
  <c r="O42" i="1"/>
  <c r="O41" i="1"/>
  <c r="R41" i="1"/>
</calcChain>
</file>

<file path=xl/sharedStrings.xml><?xml version="1.0" encoding="utf-8"?>
<sst xmlns="http://schemas.openxmlformats.org/spreadsheetml/2006/main" count="4869" uniqueCount="1910">
  <si>
    <t>Exam RETDAU:  Fall 2022</t>
  </si>
  <si>
    <t>Design and Accounting Exam – U.S.</t>
  </si>
  <si>
    <t>Question 11</t>
  </si>
  <si>
    <t xml:space="preserve">Company ABC sponsors a cash balance plan.  You are given the following for a sample participant:  </t>
  </si>
  <si>
    <t>Provide answer here.  Show and label all work.</t>
  </si>
  <si>
    <r>
      <rPr>
        <sz val="7"/>
        <color theme="1"/>
        <rFont val="Times New Roman"/>
        <family val="1"/>
      </rPr>
      <t xml:space="preserve">•       </t>
    </r>
    <r>
      <rPr>
        <sz val="12"/>
        <color theme="1"/>
        <rFont val="Times New Roman"/>
        <family val="1"/>
      </rPr>
      <t>The participant will be retiring December 31, 2022</t>
    </r>
  </si>
  <si>
    <t>(b)</t>
  </si>
  <si>
    <r>
      <rPr>
        <i/>
        <sz val="12"/>
        <color theme="1"/>
        <rFont val="Times New Roman"/>
        <family val="1"/>
      </rPr>
      <t xml:space="preserve"> (2 points)</t>
    </r>
    <r>
      <rPr>
        <sz val="12"/>
        <color theme="1"/>
        <rFont val="Times New Roman"/>
        <family val="1"/>
      </rPr>
      <t xml:space="preserve">  Calculate the value at the sample participant’s retirement of the following:  </t>
    </r>
  </si>
  <si>
    <r>
      <rPr>
        <sz val="7"/>
        <color theme="1"/>
        <rFont val="Times New Roman"/>
        <family val="1"/>
      </rPr>
      <t xml:space="preserve">•       </t>
    </r>
    <r>
      <rPr>
        <sz val="12"/>
        <color theme="1"/>
        <rFont val="Times New Roman"/>
        <family val="1"/>
      </rPr>
      <t>The historical salary has been provided below</t>
    </r>
  </si>
  <si>
    <r>
      <rPr>
        <sz val="7"/>
        <color theme="1"/>
        <rFont val="Times New Roman"/>
        <family val="1"/>
      </rPr>
      <t xml:space="preserve">•       </t>
    </r>
    <r>
      <rPr>
        <sz val="12"/>
        <color theme="1"/>
        <rFont val="Times New Roman"/>
        <family val="1"/>
      </rPr>
      <t>The cash balance plan grants a pay credit each year until retirement equivalent to 5.0% of pay</t>
    </r>
  </si>
  <si>
    <t xml:space="preserve">    (pay credits are assumed to be made at the end of the year)</t>
  </si>
  <si>
    <r>
      <rPr>
        <sz val="7"/>
        <color theme="1"/>
        <rFont val="Times New Roman"/>
        <family val="1"/>
      </rPr>
      <t xml:space="preserve">•       </t>
    </r>
    <r>
      <rPr>
        <sz val="12"/>
        <color theme="1"/>
        <rFont val="Times New Roman"/>
        <family val="1"/>
      </rPr>
      <t>Interest crediting rates are based on actual rate of return on aggregate plan assets and are provided below</t>
    </r>
  </si>
  <si>
    <t>Year</t>
  </si>
  <si>
    <t>Salary</t>
  </si>
  <si>
    <t>Annual Return</t>
  </si>
  <si>
    <t>Contribution Rate</t>
  </si>
  <si>
    <t>Pay Credit</t>
  </si>
  <si>
    <t>Actual Interest credit</t>
  </si>
  <si>
    <t>Balance EoY</t>
  </si>
  <si>
    <t>1% Annual Minimum Interest credit</t>
  </si>
  <si>
    <t>Benefit (w/ G'tee)</t>
  </si>
  <si>
    <t>3% Interest credit</t>
  </si>
  <si>
    <r>
      <t xml:space="preserve"> (2 points)  </t>
    </r>
    <r>
      <rPr>
        <sz val="12"/>
        <color theme="1"/>
        <rFont val="Times New Roman"/>
        <family val="1"/>
      </rPr>
      <t xml:space="preserve">Calculate the value at the sample participant’s retirement of the following:  </t>
    </r>
  </si>
  <si>
    <t xml:space="preserve">(i)    Enhanced money-back guarantee based on a minimum annual rate of 1% </t>
  </si>
  <si>
    <t>`</t>
  </si>
  <si>
    <t>(ii)   Enhanced money-back guarantee based on a cumulative floor of 3% per year</t>
  </si>
  <si>
    <t>(i)</t>
  </si>
  <si>
    <t>(ii)</t>
  </si>
  <si>
    <t>Total benefit</t>
  </si>
  <si>
    <t>Show all work and justify your response.</t>
  </si>
  <si>
    <t>Benefit w/ G'tee</t>
  </si>
  <si>
    <t>G'tee Value</t>
  </si>
  <si>
    <t>The response to this part is to be provided in the Excel spreadsheet.</t>
  </si>
  <si>
    <t>RETFRC Fall 2024</t>
  </si>
  <si>
    <t>Question 6</t>
  </si>
  <si>
    <t>Answer question here:</t>
  </si>
  <si>
    <t>(10 points)</t>
  </si>
  <si>
    <t>Your client sponsors a non-contributory defined benefit pension plan with two members. The plan completes annual going concern valuations. You are given:</t>
  </si>
  <si>
    <t>Pension Plan Provisions</t>
  </si>
  <si>
    <t>Normal retirement benefit</t>
  </si>
  <si>
    <t>1.50% of final year’s earnings multiplied by service</t>
  </si>
  <si>
    <t>Normal form of payment</t>
  </si>
  <si>
    <t>Life only, payable monthly in advance</t>
  </si>
  <si>
    <t>Normal retirement age (NRA)</t>
  </si>
  <si>
    <t>Early retirement provisions</t>
  </si>
  <si>
    <t>Members can retire as early as age 55 with a 1/4% per month reduction from NRA. 
Members who retire on or after age 62 with 25 years of service are eligible for an unreduced bridging benefit of 0.75% of final year's earnings multiplied by service, payable monthly in advance up until age 65.</t>
  </si>
  <si>
    <t>Termination benefit</t>
  </si>
  <si>
    <t>Deferred pension payable at age 65. Retirement from age 55 possible on an actuarially equivalent basis</t>
  </si>
  <si>
    <t>Optional forms</t>
  </si>
  <si>
    <t>Actuarially equivalent to the normal form of payment</t>
  </si>
  <si>
    <t>Actuarial Assumptions</t>
  </si>
  <si>
    <t>Discount rate</t>
  </si>
  <si>
    <t>per year</t>
  </si>
  <si>
    <t>Salary increase rate</t>
  </si>
  <si>
    <t>Retirement rates</t>
  </si>
  <si>
    <t>Age</t>
  </si>
  <si>
    <t>Rate</t>
  </si>
  <si>
    <t>Termination rates</t>
  </si>
  <si>
    <t>Other pre-retirement decrements</t>
  </si>
  <si>
    <t>None</t>
  </si>
  <si>
    <t>Timing of decrements</t>
  </si>
  <si>
    <t>Beginning of year</t>
  </si>
  <si>
    <t>Asset valuation method</t>
  </si>
  <si>
    <t>Investment gains and losses are amortized over three years</t>
  </si>
  <si>
    <t>Actuarial cost method</t>
  </si>
  <si>
    <t>Projected Unit Credit</t>
  </si>
  <si>
    <t>Participant Data  at December 31, 2023</t>
  </si>
  <si>
    <t>Member A</t>
  </si>
  <si>
    <t>Member B</t>
  </si>
  <si>
    <t>Service (years)</t>
  </si>
  <si>
    <t>2023 salary</t>
  </si>
  <si>
    <t>2024 salary</t>
  </si>
  <si>
    <t>N/A</t>
  </si>
  <si>
    <t>Annuity Factors</t>
  </si>
  <si>
    <r>
      <t>ä</t>
    </r>
    <r>
      <rPr>
        <vertAlign val="subscript"/>
        <sz val="12"/>
        <color rgb="FF002060"/>
        <rFont val="Times New Roman"/>
        <family val="1"/>
      </rPr>
      <t>62</t>
    </r>
    <r>
      <rPr>
        <vertAlign val="superscript"/>
        <sz val="12"/>
        <color rgb="FF002060"/>
        <rFont val="Times New Roman"/>
        <family val="1"/>
      </rPr>
      <t>(12)</t>
    </r>
    <r>
      <rPr>
        <sz val="12"/>
        <color rgb="FF002060"/>
        <rFont val="Times New Roman"/>
        <family val="1"/>
      </rPr>
      <t xml:space="preserve"> =</t>
    </r>
  </si>
  <si>
    <r>
      <t>ä</t>
    </r>
    <r>
      <rPr>
        <vertAlign val="subscript"/>
        <sz val="12"/>
        <color rgb="FF002060"/>
        <rFont val="Times New Roman"/>
        <family val="1"/>
      </rPr>
      <t>63</t>
    </r>
    <r>
      <rPr>
        <vertAlign val="superscript"/>
        <sz val="12"/>
        <color rgb="FF002060"/>
        <rFont val="Times New Roman"/>
        <family val="1"/>
      </rPr>
      <t>(12)</t>
    </r>
    <r>
      <rPr>
        <sz val="12"/>
        <color rgb="FF002060"/>
        <rFont val="Times New Roman"/>
        <family val="1"/>
      </rPr>
      <t xml:space="preserve"> =</t>
    </r>
  </si>
  <si>
    <r>
      <t>ä</t>
    </r>
    <r>
      <rPr>
        <vertAlign val="subscript"/>
        <sz val="12"/>
        <color rgb="FF002060"/>
        <rFont val="Times New Roman"/>
        <family val="1"/>
      </rPr>
      <t>64</t>
    </r>
    <r>
      <rPr>
        <vertAlign val="superscript"/>
        <sz val="12"/>
        <color rgb="FF002060"/>
        <rFont val="Times New Roman"/>
        <family val="1"/>
      </rPr>
      <t>(12)</t>
    </r>
    <r>
      <rPr>
        <sz val="12"/>
        <color rgb="FF002060"/>
        <rFont val="Times New Roman"/>
        <family val="1"/>
      </rPr>
      <t xml:space="preserve"> =</t>
    </r>
  </si>
  <si>
    <r>
      <t>ä</t>
    </r>
    <r>
      <rPr>
        <vertAlign val="subscript"/>
        <sz val="12"/>
        <color rgb="FF002060"/>
        <rFont val="Times New Roman"/>
        <family val="1"/>
      </rPr>
      <t>65</t>
    </r>
    <r>
      <rPr>
        <vertAlign val="superscript"/>
        <sz val="12"/>
        <color rgb="FF002060"/>
        <rFont val="Times New Roman"/>
        <family val="1"/>
      </rPr>
      <t>(12)</t>
    </r>
    <r>
      <rPr>
        <sz val="12"/>
        <color rgb="FF002060"/>
        <rFont val="Times New Roman"/>
        <family val="1"/>
      </rPr>
      <t xml:space="preserve"> =</t>
    </r>
  </si>
  <si>
    <t>You are given:</t>
  </si>
  <si>
    <t>Actuarial liability as at December 31, 2023</t>
  </si>
  <si>
    <t>2024 normal cost</t>
  </si>
  <si>
    <t>Actuarial liability as at December 31, 2024</t>
  </si>
  <si>
    <t>Member B terminated and received a lump sum of</t>
  </si>
  <si>
    <t>on December 31, 2024.</t>
  </si>
  <si>
    <t>Additional Information</t>
  </si>
  <si>
    <t>2022 investment gain/(loss)</t>
  </si>
  <si>
    <t>2023 investment gain/(loss)</t>
  </si>
  <si>
    <t>Market value of assets at December 31, 2023</t>
  </si>
  <si>
    <t>Contribution made on June 30, 2024</t>
  </si>
  <si>
    <t>Fund rate of return during 2024</t>
  </si>
  <si>
    <t>Salary increase rate assumption effective December 31, 2024</t>
  </si>
  <si>
    <t>All other assumptions for the December 31, 2024 valuation</t>
  </si>
  <si>
    <t>No change</t>
  </si>
  <si>
    <t>An actuarial valuation was performed as at December 31, 2024.</t>
  </si>
  <si>
    <t>Calculate the gains and losses by source for 2024.</t>
  </si>
  <si>
    <t>Show all work, including each step of the calculation separately, in the workspace provided to the right (in Excel).</t>
  </si>
  <si>
    <t>Gain = (UALt + NCt)(1+i) - C - Ic - UALt+1</t>
  </si>
  <si>
    <t>Asset Related Gains</t>
  </si>
  <si>
    <t>E(At+1) = At * (1+R) + (Cont - BP) * (1+R/2) - Exp</t>
  </si>
  <si>
    <t xml:space="preserve">Expected Market Value of Assets </t>
  </si>
  <si>
    <t>Actual Market Value of Assets</t>
  </si>
  <si>
    <t>Investment Gain</t>
  </si>
  <si>
    <t>Beginning of Year Smoothing Adjustment</t>
  </si>
  <si>
    <t>Beginning of Year Smoothed Assets</t>
  </si>
  <si>
    <t>Expected Smoothed Value of Assets</t>
  </si>
  <si>
    <t>(Expected Smoothed - Expected Market) * (1+R)</t>
  </si>
  <si>
    <t>Expected Smoothing Adjustment</t>
  </si>
  <si>
    <t>Adj = At+1 - 1/3 * 2023 Gain - 2/3 * 2024 Gain</t>
  </si>
  <si>
    <t>Actual smoothing adjustment</t>
  </si>
  <si>
    <t>Actual Smoothed Value of Assets</t>
  </si>
  <si>
    <t>Smoothing Gain</t>
  </si>
  <si>
    <t>Total Asset Gain</t>
  </si>
  <si>
    <t>Check</t>
  </si>
  <si>
    <t>Contributions</t>
  </si>
  <si>
    <t>Expected Contribution</t>
  </si>
  <si>
    <t>Actual Contribution</t>
  </si>
  <si>
    <t>Contribution Gain</t>
  </si>
  <si>
    <t>Expected Liabilities</t>
  </si>
  <si>
    <t>Original Liability</t>
  </si>
  <si>
    <t>Original Normal Cost</t>
  </si>
  <si>
    <t>E(PVFBt+1) = (PVFBt + NCt) (1+i)</t>
  </si>
  <si>
    <t>Expected Liability</t>
  </si>
  <si>
    <t>Liability</t>
  </si>
  <si>
    <t>Gain</t>
  </si>
  <si>
    <t>Source</t>
  </si>
  <si>
    <t>Actual Liability</t>
  </si>
  <si>
    <t>Termination</t>
  </si>
  <si>
    <t>Member A - Actual Decrement</t>
  </si>
  <si>
    <r>
      <t>ä</t>
    </r>
    <r>
      <rPr>
        <vertAlign val="subscript"/>
        <sz val="12"/>
        <color rgb="FF002060"/>
        <rFont val="Times New Roman"/>
        <family val="1"/>
      </rPr>
      <t xml:space="preserve">62 : 3 </t>
    </r>
    <r>
      <rPr>
        <vertAlign val="superscript"/>
        <sz val="12"/>
        <color rgb="FF002060"/>
        <rFont val="Times New Roman"/>
        <family val="1"/>
      </rPr>
      <t>(12)</t>
    </r>
    <r>
      <rPr>
        <sz val="12"/>
        <color rgb="FF002060"/>
        <rFont val="Times New Roman"/>
        <family val="1"/>
      </rPr>
      <t xml:space="preserve"> =</t>
    </r>
  </si>
  <si>
    <t>Service</t>
  </si>
  <si>
    <t>Benefit</t>
  </si>
  <si>
    <t>Reduction</t>
  </si>
  <si>
    <t>Bridge</t>
  </si>
  <si>
    <t>tpx</t>
  </si>
  <si>
    <t>qr</t>
  </si>
  <si>
    <t>v</t>
  </si>
  <si>
    <t>Pension Annuity</t>
  </si>
  <si>
    <t>Bridge Annuity</t>
  </si>
  <si>
    <r>
      <t>ä</t>
    </r>
    <r>
      <rPr>
        <vertAlign val="subscript"/>
        <sz val="12"/>
        <color rgb="FF002060"/>
        <rFont val="Times New Roman"/>
        <family val="1"/>
      </rPr>
      <t xml:space="preserve">63 : 2 </t>
    </r>
    <r>
      <rPr>
        <vertAlign val="superscript"/>
        <sz val="12"/>
        <color rgb="FF002060"/>
        <rFont val="Times New Roman"/>
        <family val="1"/>
      </rPr>
      <t>(12)</t>
    </r>
    <r>
      <rPr>
        <sz val="12"/>
        <color rgb="FF002060"/>
        <rFont val="Times New Roman"/>
        <family val="1"/>
      </rPr>
      <t xml:space="preserve"> =</t>
    </r>
  </si>
  <si>
    <r>
      <t>ä</t>
    </r>
    <r>
      <rPr>
        <vertAlign val="subscript"/>
        <sz val="12"/>
        <color rgb="FF002060"/>
        <rFont val="Times New Roman"/>
        <family val="1"/>
      </rPr>
      <t xml:space="preserve">64 : 1 </t>
    </r>
    <r>
      <rPr>
        <vertAlign val="superscript"/>
        <sz val="12"/>
        <color rgb="FF002060"/>
        <rFont val="Times New Roman"/>
        <family val="1"/>
      </rPr>
      <t>(12)</t>
    </r>
    <r>
      <rPr>
        <sz val="12"/>
        <color rgb="FF002060"/>
        <rFont val="Times New Roman"/>
        <family val="1"/>
      </rPr>
      <t xml:space="preserve"> =</t>
    </r>
  </si>
  <si>
    <t>Member A - Actual Salary</t>
  </si>
  <si>
    <t>Liability - Actual Decrement</t>
  </si>
  <si>
    <t>Retirement</t>
  </si>
  <si>
    <t>Liability - Actual Salary</t>
  </si>
  <si>
    <t>Assumptions</t>
  </si>
  <si>
    <t>Check of results</t>
  </si>
  <si>
    <t>UAL</t>
  </si>
  <si>
    <t>Asset</t>
  </si>
  <si>
    <t>Liab</t>
  </si>
  <si>
    <t>Beginning of Year</t>
  </si>
  <si>
    <t>Normal Cost</t>
  </si>
  <si>
    <t>Benefit Payments</t>
  </si>
  <si>
    <t>Interest</t>
  </si>
  <si>
    <t>Expected UAL</t>
  </si>
  <si>
    <t>Mortality</t>
  </si>
  <si>
    <t>Assumption Changes</t>
  </si>
  <si>
    <t>Expenses</t>
  </si>
  <si>
    <t>Investment</t>
  </si>
  <si>
    <t>Smoothing</t>
  </si>
  <si>
    <t>Misc.</t>
  </si>
  <si>
    <t>End of Year</t>
  </si>
  <si>
    <t xml:space="preserve"> </t>
  </si>
  <si>
    <t>Question 4</t>
  </si>
  <si>
    <t>(A) Projected Unit Credit</t>
  </si>
  <si>
    <t>(9 points)</t>
  </si>
  <si>
    <t xml:space="preserve">Your client established a new non-contributory defined benefit pension plan as at January 1, 2024, which will recognize service </t>
  </si>
  <si>
    <t>prior to plan implementation.</t>
  </si>
  <si>
    <t>Annuity Factor</t>
  </si>
  <si>
    <t>Discount</t>
  </si>
  <si>
    <t>Probability</t>
  </si>
  <si>
    <t>PVFB</t>
  </si>
  <si>
    <t>AL</t>
  </si>
  <si>
    <t>NC</t>
  </si>
  <si>
    <t>Withdrawal</t>
  </si>
  <si>
    <t>Survival</t>
  </si>
  <si>
    <t>PUC Ratio</t>
  </si>
  <si>
    <t>PUC rAtio</t>
  </si>
  <si>
    <t>Plan Provisions:</t>
  </si>
  <si>
    <t>Retirement benefit</t>
  </si>
  <si>
    <t>1.25% of final year’s earnings per year of service</t>
  </si>
  <si>
    <t>Normal retirement age</t>
  </si>
  <si>
    <t>Age 65</t>
  </si>
  <si>
    <t>Early retirement age</t>
  </si>
  <si>
    <t>Age 55</t>
  </si>
  <si>
    <t>Early retirement reduction</t>
  </si>
  <si>
    <t>3% per year prior to normal retirement age</t>
  </si>
  <si>
    <t xml:space="preserve">Termination benefit </t>
  </si>
  <si>
    <t>Accrued pension deferred to normal retirement age.</t>
  </si>
  <si>
    <t>Actuarial assumptions and methods:</t>
  </si>
  <si>
    <t>4.5% per year</t>
  </si>
  <si>
    <t>3.25% per year</t>
  </si>
  <si>
    <t>Decrements</t>
  </si>
  <si>
    <t>40% at age 55; remainder at age 65</t>
  </si>
  <si>
    <t>5% per year prior to age 40, 0% thereafter</t>
  </si>
  <si>
    <t>Accrued Liability</t>
  </si>
  <si>
    <t>Participant Data at January 1, 2024:</t>
  </si>
  <si>
    <t>Current Age</t>
  </si>
  <si>
    <t xml:space="preserve">Years of Service </t>
  </si>
  <si>
    <t>10 years</t>
  </si>
  <si>
    <t>15 years</t>
  </si>
  <si>
    <t>Earnings (2023)</t>
  </si>
  <si>
    <t>$220,000 </t>
  </si>
  <si>
    <t xml:space="preserve">Annuity Factors:  </t>
  </si>
  <si>
    <t>&lt;- does not include withdrawal NC because decrement is at the beginning of the year.</t>
  </si>
  <si>
    <r>
      <t xml:space="preserve">(a)      </t>
    </r>
    <r>
      <rPr>
        <i/>
        <sz val="11"/>
        <color rgb="FF002060"/>
        <rFont val="Times New Roman"/>
        <family val="1"/>
      </rPr>
      <t>(4 points)</t>
    </r>
    <r>
      <rPr>
        <sz val="11"/>
        <color rgb="FF002060"/>
        <rFont val="Times New Roman"/>
        <family val="1"/>
      </rPr>
      <t xml:space="preserve"> Calculate the accrued liability and normal cost as at January 1, 2024 using the projected unit credit, prorated on service actuarial cost method.</t>
    </r>
  </si>
  <si>
    <t>(B) Individual Level Premium</t>
  </si>
  <si>
    <r>
      <t xml:space="preserve">(b)      </t>
    </r>
    <r>
      <rPr>
        <i/>
        <sz val="11"/>
        <color rgb="FF002060"/>
        <rFont val="Times New Roman"/>
        <family val="1"/>
      </rPr>
      <t>(3 points)</t>
    </r>
    <r>
      <rPr>
        <sz val="11"/>
        <color rgb="FF002060"/>
        <rFont val="Times New Roman"/>
        <family val="1"/>
      </rPr>
      <t xml:space="preserve"> Calculate the accrued liability and normal cost as at January 1, 2024 using the Individual Level Premium cost method.</t>
    </r>
  </si>
  <si>
    <t>PV(Ben)</t>
  </si>
  <si>
    <t>PVRj</t>
  </si>
  <si>
    <t>PVFY</t>
  </si>
  <si>
    <r>
      <t xml:space="preserve">(c)      </t>
    </r>
    <r>
      <rPr>
        <i/>
        <sz val="11"/>
        <color rgb="FF002060"/>
        <rFont val="Times New Roman"/>
        <family val="1"/>
      </rPr>
      <t>(2 points)</t>
    </r>
    <r>
      <rPr>
        <sz val="11"/>
        <color rgb="FF002060"/>
        <rFont val="Times New Roman"/>
        <family val="1"/>
      </rPr>
      <t xml:space="preserve"> Explain in words, why the results from (a) and (b) above are different.</t>
    </r>
  </si>
  <si>
    <t>PV(Benefits)</t>
  </si>
  <si>
    <t>(C)</t>
  </si>
  <si>
    <t>The PUC method bases the calculations on projected pay (depending on whether calculating at termination or retirement), while the ILM method uses the present value of the projected benefit.</t>
  </si>
  <si>
    <t>The PUC method allocates the accrued liability and normal cost based on the participant's service completed, while the individual level premium method allocates evenly over the participant's expected total service in the plan.</t>
  </si>
  <si>
    <t>The PUC method results in the accrued liability and normal cost calculations that increase over time as the participant gets closer to retirement</t>
  </si>
  <si>
    <t>The ILM method results in a more level accrued liability and normal cost over the participant's career.</t>
  </si>
  <si>
    <t>RETFRC Fall 2020</t>
  </si>
  <si>
    <t>Question 2</t>
  </si>
  <si>
    <t>Answer parts (a), (b) and (c) here:</t>
  </si>
  <si>
    <t>(8 points)</t>
  </si>
  <si>
    <t>Your client sponsors a non-contributory defined benefit pension plan.  You are given:</t>
  </si>
  <si>
    <t>Normal retirement benefit:</t>
  </si>
  <si>
    <t>2% of final year’s earnings times years of service</t>
  </si>
  <si>
    <t>Normal form of payment:</t>
  </si>
  <si>
    <t xml:space="preserve">Normal retirement age: </t>
  </si>
  <si>
    <t>Early retirement benefit:</t>
  </si>
  <si>
    <t>5% reduction for each year prior to age 65</t>
  </si>
  <si>
    <t>Termination benefit:</t>
  </si>
  <si>
    <t>Deferred pension payable at age 65 or lump sum commuted value transfer from the plan</t>
  </si>
  <si>
    <t>Actuarial Assumptions and Methods:</t>
  </si>
  <si>
    <t>Interest rate:</t>
  </si>
  <si>
    <t>5% per year</t>
  </si>
  <si>
    <t>Salary increase rate:</t>
  </si>
  <si>
    <t>4% per year</t>
  </si>
  <si>
    <t>Retirement age:</t>
  </si>
  <si>
    <t>Pre-retirement decrements:</t>
  </si>
  <si>
    <t>Actuarial cost method:</t>
  </si>
  <si>
    <t>Entry Age Normal</t>
  </si>
  <si>
    <t>Participant Data at January 1, 2020:</t>
  </si>
  <si>
    <t>Member C</t>
  </si>
  <si>
    <t>2020 Salary:</t>
  </si>
  <si>
    <t>Service:</t>
  </si>
  <si>
    <r>
      <t>Annuity Factors</t>
    </r>
    <r>
      <rPr>
        <b/>
        <sz val="12"/>
        <color theme="4" tint="-0.249977111117893"/>
        <rFont val="Times New Roman"/>
        <family val="1"/>
      </rPr>
      <t>:</t>
    </r>
  </si>
  <si>
    <r>
      <t>Additional Information</t>
    </r>
    <r>
      <rPr>
        <b/>
        <sz val="12"/>
        <color theme="4" tint="-0.249977111117893"/>
        <rFont val="Times New Roman"/>
        <family val="1"/>
      </rPr>
      <t>:</t>
    </r>
  </si>
  <si>
    <t>Market value of assets as at January 1, 2020:</t>
  </si>
  <si>
    <t>(a)</t>
  </si>
  <si>
    <t>(2 points)</t>
  </si>
  <si>
    <t xml:space="preserve">Calculate the total normal cost and the unfunded actuarial liability as at January 1, 2020.  </t>
  </si>
  <si>
    <t>Show all work including formulas in the workspace provided to the right (in Excel).</t>
  </si>
  <si>
    <t>Fund rate of return during 2020:</t>
  </si>
  <si>
    <t>Contribution made on December 31, 2020</t>
  </si>
  <si>
    <t>At December 31, 2020, Member B receives a salary increase of:</t>
  </si>
  <si>
    <t>At December 31, 2020, Member A terminates employment and elects to defer their accrued pension to age 65</t>
  </si>
  <si>
    <t>At December 31, 2020, Member C retires</t>
  </si>
  <si>
    <t xml:space="preserve">Calculate the unfunded actuarial liability as at January 1, 2021.  </t>
  </si>
  <si>
    <t>(c)</t>
  </si>
  <si>
    <t>(4 points)</t>
  </si>
  <si>
    <t xml:space="preserve">Calculate the gains and losses by source for 2020.  </t>
  </si>
  <si>
    <t>Question 8</t>
  </si>
  <si>
    <t>Answer parts (a) and (b) here:</t>
  </si>
  <si>
    <t>(7 points)</t>
  </si>
  <si>
    <t>2% of each year’s earnings</t>
  </si>
  <si>
    <t>Monthly pension deferred normal to retirement age</t>
  </si>
  <si>
    <t>Interest rate (per year):</t>
  </si>
  <si>
    <t>Salary increase rate (per year):</t>
  </si>
  <si>
    <t>Termination rates :</t>
  </si>
  <si>
    <t>5% at age 48, 
5% at age 49 and 
5% at age 50</t>
  </si>
  <si>
    <t>Pre-retirement mortality :</t>
  </si>
  <si>
    <t>Unit Credit</t>
  </si>
  <si>
    <r>
      <t>Annuity Factor</t>
    </r>
    <r>
      <rPr>
        <b/>
        <sz val="12"/>
        <color theme="4" tint="-0.249977111117893"/>
        <rFont val="Times New Roman"/>
        <family val="1"/>
      </rPr>
      <t>:</t>
    </r>
  </si>
  <si>
    <r>
      <t xml:space="preserve"> </t>
    </r>
    <r>
      <rPr>
        <sz val="12"/>
        <color theme="4" tint="-0.249977111117893"/>
        <rFont val="Times New Roman"/>
        <family val="1"/>
      </rPr>
      <t>=</t>
    </r>
  </si>
  <si>
    <t>Age:</t>
  </si>
  <si>
    <t>Service in years:</t>
  </si>
  <si>
    <t>Annual accrued benefit at January 1, 2020</t>
  </si>
  <si>
    <t xml:space="preserve">Calculate the total actuarial liability and normal cost as at January 1, 2020.  </t>
  </si>
  <si>
    <t>(5 points)</t>
  </si>
  <si>
    <t>Calculate the total actuarial liability and normal cost as at January 1, 2020,  using the</t>
  </si>
  <si>
    <t xml:space="preserve">Projected Unit Credit method, prorated on service.  </t>
  </si>
  <si>
    <t>RETFRC Spring 2021</t>
  </si>
  <si>
    <t>(11 points)</t>
  </si>
  <si>
    <t>Your client sponsors a non-contributory defined benefit pension plan. You are given:</t>
  </si>
  <si>
    <t>Optional forms of payment:</t>
  </si>
  <si>
    <t>Actuarially-equivalent to normal form</t>
  </si>
  <si>
    <t>Deferred pension payable at age 65 or lump sum commuted value transfer from the plan
Retirement from age 55 possible on an actuarially equivalent basis</t>
  </si>
  <si>
    <t>Retirement rates:</t>
  </si>
  <si>
    <t>All other ages</t>
  </si>
  <si>
    <t>Termination rates:</t>
  </si>
  <si>
    <t>Pre-retirement mortality:</t>
  </si>
  <si>
    <t>Timing of decrements:</t>
  </si>
  <si>
    <t>Aggregate</t>
  </si>
  <si>
    <t>Asset valuation method:</t>
  </si>
  <si>
    <t>Market Value</t>
  </si>
  <si>
    <t>Participant Data at December 31, 2020:</t>
  </si>
  <si>
    <t>Market value of assets as at December 31, 2020:</t>
  </si>
  <si>
    <t>Calculate the accrued liability and estimated normal cost in dollars of the plan, as at</t>
  </si>
  <si>
    <t>December 31, 2020.</t>
  </si>
  <si>
    <t>Fund rate of return during 2021:</t>
  </si>
  <si>
    <t>Contribution made on December 31, 2021</t>
  </si>
  <si>
    <t>Member A earned the following salary in 2021:</t>
  </si>
  <si>
    <t>Member B earned the following salary in 2021:</t>
  </si>
  <si>
    <t>Member C retired at January 1, 2021 and started collecting his monthly pension effective January 1, 2021</t>
  </si>
  <si>
    <t>(6 points)</t>
  </si>
  <si>
    <t>Calculate the gains and losses by source for 2021.</t>
  </si>
  <si>
    <t>RETFRC Fall 2021</t>
  </si>
  <si>
    <t>Your client sponsors a newly established non-contributory defined benefit pension plan that recognizes</t>
  </si>
  <si>
    <t>members' past service.</t>
  </si>
  <si>
    <t>Pension Plan Provisions:</t>
  </si>
  <si>
    <t>$100 per month, times years of service (including past service)</t>
  </si>
  <si>
    <t>Normal retirement age:</t>
  </si>
  <si>
    <t>Age 60</t>
  </si>
  <si>
    <t>Deferred pension payable at age 60</t>
  </si>
  <si>
    <t>Postponed retirement benefit</t>
  </si>
  <si>
    <t>Continued accrual</t>
  </si>
  <si>
    <t>Later of: Age 60; or 1 year after the valuation date</t>
  </si>
  <si>
    <t>Termination rate (BOY):</t>
  </si>
  <si>
    <t>Prior to age 45:</t>
  </si>
  <si>
    <t>At or after age 45:</t>
  </si>
  <si>
    <t>Pre-retirement mortality</t>
  </si>
  <si>
    <t>Attained Age Normal</t>
  </si>
  <si>
    <t>Participant Data at January 1, 2021</t>
  </si>
  <si>
    <t>Service (years):</t>
  </si>
  <si>
    <t>Annuity Factors:</t>
  </si>
  <si>
    <r>
      <t>ä</t>
    </r>
    <r>
      <rPr>
        <vertAlign val="subscript"/>
        <sz val="12"/>
        <color rgb="FF305496"/>
        <rFont val="Times New Roman"/>
        <family val="1"/>
      </rPr>
      <t>60</t>
    </r>
    <r>
      <rPr>
        <vertAlign val="superscript"/>
        <sz val="12"/>
        <color rgb="FF305496"/>
        <rFont val="Times New Roman"/>
        <family val="1"/>
      </rPr>
      <t>(12)</t>
    </r>
    <r>
      <rPr>
        <sz val="12"/>
        <color rgb="FF305496"/>
        <rFont val="Times New Roman"/>
        <family val="1"/>
      </rPr>
      <t xml:space="preserve"> =</t>
    </r>
  </si>
  <si>
    <r>
      <t>ä</t>
    </r>
    <r>
      <rPr>
        <vertAlign val="subscript"/>
        <sz val="12"/>
        <color rgb="FF305496"/>
        <rFont val="Times New Roman"/>
        <family val="1"/>
      </rPr>
      <t>61</t>
    </r>
    <r>
      <rPr>
        <vertAlign val="superscript"/>
        <sz val="12"/>
        <color rgb="FF305496"/>
        <rFont val="Times New Roman"/>
        <family val="1"/>
      </rPr>
      <t>(12)</t>
    </r>
    <r>
      <rPr>
        <sz val="12"/>
        <color rgb="FF305496"/>
        <rFont val="Times New Roman"/>
        <family val="1"/>
      </rPr>
      <t xml:space="preserve"> =</t>
    </r>
  </si>
  <si>
    <t>Additional Information:</t>
  </si>
  <si>
    <t>Market value of assets at Janaury 1, 2021</t>
  </si>
  <si>
    <t xml:space="preserve">Calculate the unfunded actuarial liability and the total normal cost as at </t>
  </si>
  <si>
    <t>January 1, 2021.</t>
  </si>
  <si>
    <t>- A contribution of $150,000 is made to the plan on December 31, 2021.</t>
  </si>
  <si>
    <t>- Member C does not retire as expected on December 31, 2021.</t>
  </si>
  <si>
    <t>(3 points)</t>
  </si>
  <si>
    <t>Calculate the unfunded actuarial liability and total normal cost as at January 1, 2022.</t>
  </si>
  <si>
    <t>Calculate the impact of demographic experience, by source, between</t>
  </si>
  <si>
    <r>
      <t xml:space="preserve">January 1, 2021 and January 1, 2022, on the normal cost </t>
    </r>
    <r>
      <rPr>
        <b/>
        <sz val="12"/>
        <color theme="4" tint="-0.249977111117893"/>
        <rFont val="Times New Roman"/>
        <family val="1"/>
      </rPr>
      <t>per active member</t>
    </r>
    <r>
      <rPr>
        <sz val="12"/>
        <color theme="4" tint="-0.249977111117893"/>
        <rFont val="Times New Roman"/>
        <family val="1"/>
      </rPr>
      <t>.</t>
    </r>
  </si>
  <si>
    <t>RETFRC Spring 2022</t>
  </si>
  <si>
    <t>Question 9</t>
  </si>
  <si>
    <t>1% of each year’s earnings</t>
  </si>
  <si>
    <t>Age 62</t>
  </si>
  <si>
    <t>Monthly penison deferred to normal retirement age</t>
  </si>
  <si>
    <t>Pre-retirement decrements</t>
  </si>
  <si>
    <t>Individual Level Premium</t>
  </si>
  <si>
    <t>2021 Salary:</t>
  </si>
  <si>
    <r>
      <t>ä</t>
    </r>
    <r>
      <rPr>
        <vertAlign val="subscript"/>
        <sz val="12"/>
        <color rgb="FF002060"/>
        <rFont val="Times New Roman"/>
        <family val="1"/>
      </rPr>
      <t>60</t>
    </r>
    <r>
      <rPr>
        <vertAlign val="superscript"/>
        <sz val="12"/>
        <color rgb="FF002060"/>
        <rFont val="Times New Roman"/>
        <family val="1"/>
      </rPr>
      <t>(12)</t>
    </r>
    <r>
      <rPr>
        <sz val="12"/>
        <color rgb="FF002060"/>
        <rFont val="Times New Roman"/>
        <family val="1"/>
      </rPr>
      <t xml:space="preserve"> =</t>
    </r>
  </si>
  <si>
    <r>
      <t>ä</t>
    </r>
    <r>
      <rPr>
        <vertAlign val="subscript"/>
        <sz val="12"/>
        <color rgb="FF002060"/>
        <rFont val="Times New Roman"/>
        <family val="1"/>
      </rPr>
      <t>61</t>
    </r>
    <r>
      <rPr>
        <vertAlign val="superscript"/>
        <sz val="12"/>
        <color rgb="FF002060"/>
        <rFont val="Times New Roman"/>
        <family val="1"/>
      </rPr>
      <t>(12)</t>
    </r>
    <r>
      <rPr>
        <sz val="12"/>
        <color rgb="FF002060"/>
        <rFont val="Times New Roman"/>
        <family val="1"/>
      </rPr>
      <t xml:space="preserve"> =</t>
    </r>
  </si>
  <si>
    <r>
      <t>·</t>
    </r>
    <r>
      <rPr>
        <sz val="7"/>
        <color rgb="FF002060"/>
        <rFont val="Times New Roman"/>
        <family val="1"/>
      </rPr>
      <t xml:space="preserve">       </t>
    </r>
    <r>
      <rPr>
        <sz val="12"/>
        <color rgb="FF002060"/>
        <rFont val="Times New Roman"/>
        <family val="1"/>
      </rPr>
      <t>The fund earns a rate of return of 10% during 2021.</t>
    </r>
  </si>
  <si>
    <r>
      <t>·</t>
    </r>
    <r>
      <rPr>
        <sz val="7"/>
        <color rgb="FF002060"/>
        <rFont val="Times New Roman"/>
        <family val="1"/>
      </rPr>
      <t xml:space="preserve">       </t>
    </r>
    <r>
      <rPr>
        <sz val="12"/>
        <color rgb="FF002060"/>
        <rFont val="Times New Roman"/>
        <family val="1"/>
      </rPr>
      <t xml:space="preserve">At December 31, 2021, Member A receives a 10% salary increase, and Members B and C </t>
    </r>
  </si>
  <si>
    <t>receive 4% salary increases.</t>
  </si>
  <si>
    <r>
      <t>·</t>
    </r>
    <r>
      <rPr>
        <sz val="7"/>
        <color rgb="FF002060"/>
        <rFont val="Times New Roman"/>
        <family val="1"/>
      </rPr>
      <t xml:space="preserve">       </t>
    </r>
    <r>
      <rPr>
        <sz val="12"/>
        <color rgb="FF002060"/>
        <rFont val="Times New Roman"/>
        <family val="1"/>
      </rPr>
      <t>A contribution of $50,000 is made to the plan on December 31, 2021.</t>
    </r>
  </si>
  <si>
    <t>January 1, 2021 and January 1, 2022, on the normal cost.</t>
  </si>
  <si>
    <t>RETFRC Fall 2022</t>
  </si>
  <si>
    <t xml:space="preserve">Your client sponsors a non-contributory defined benefit pension plan. </t>
  </si>
  <si>
    <t>$100 per month per year of service</t>
  </si>
  <si>
    <t>Unreduced early retirement age:</t>
  </si>
  <si>
    <t>Later of age 60 and attainment of 30 years of service</t>
  </si>
  <si>
    <t>Accrued pension deferred to age 65</t>
  </si>
  <si>
    <t>75% at unreduced early age and remainder at age 65</t>
  </si>
  <si>
    <t>10% per year for members with less than 5 years of service</t>
  </si>
  <si>
    <t>Entry age normal</t>
  </si>
  <si>
    <t>Asset method</t>
  </si>
  <si>
    <t>Market value of assets</t>
  </si>
  <si>
    <t>Active participant data at December 31, 2022:</t>
  </si>
  <si>
    <t>Market value of assets at December 31, 2022:</t>
  </si>
  <si>
    <t>Calculate the unfunded accrued liability and normal cost of the plan at December 31, 2022.</t>
  </si>
  <si>
    <t>You are given the following for 2023:</t>
  </si>
  <si>
    <r>
      <t>·</t>
    </r>
    <r>
      <rPr>
        <sz val="7"/>
        <color rgb="FF002060"/>
        <rFont val="Times New Roman"/>
        <family val="1"/>
      </rPr>
      <t xml:space="preserve">       </t>
    </r>
    <r>
      <rPr>
        <sz val="12"/>
        <color rgb="FF002060"/>
        <rFont val="Times New Roman"/>
        <family val="1"/>
      </rPr>
      <t>Member B retires employment on January 1, 2023 and starts receiving a pension from the Plan</t>
    </r>
    <r>
      <rPr>
        <sz val="12"/>
        <color rgb="FF002060"/>
        <rFont val="Symbol"/>
        <family val="1"/>
        <charset val="2"/>
      </rPr>
      <t xml:space="preserve"> </t>
    </r>
  </si>
  <si>
    <t xml:space="preserve">            deferred pension at age 65 from the Plan. </t>
  </si>
  <si>
    <t>under the normal form.</t>
  </si>
  <si>
    <r>
      <t>·</t>
    </r>
    <r>
      <rPr>
        <sz val="7"/>
        <color rgb="FF002060"/>
        <rFont val="Times New Roman"/>
        <family val="1"/>
      </rPr>
      <t xml:space="preserve">      	</t>
    </r>
    <r>
      <rPr>
        <sz val="12"/>
        <color rgb="FF002060"/>
        <rFont val="Times New Roman"/>
        <family val="1"/>
      </rPr>
      <t>A contribution of $10,000 is made to the plan on January 1, 2023.</t>
    </r>
  </si>
  <si>
    <r>
      <t>·</t>
    </r>
    <r>
      <rPr>
        <sz val="7"/>
        <color rgb="FF002060"/>
        <rFont val="Times New Roman"/>
        <family val="1"/>
      </rPr>
      <t>      </t>
    </r>
    <r>
      <rPr>
        <sz val="12"/>
        <color rgb="FF002060"/>
        <rFont val="Times New Roman"/>
        <family val="1"/>
      </rPr>
      <t>The plan’s fund earns a rate of return of 10% during 2023.</t>
    </r>
  </si>
  <si>
    <t>Calculate the unfunded actuarial liability as at December 31, 2023.</t>
  </si>
  <si>
    <t>Calculate the gains and losses by source for 2023.</t>
  </si>
  <si>
    <t>RETFRC Spring 2023</t>
  </si>
  <si>
    <t>Question 3</t>
  </si>
  <si>
    <t>(32 points)</t>
  </si>
  <si>
    <t>MNO Limited sponsors a non-contributory defined benefit pension plan registered in Ontario.</t>
  </si>
  <si>
    <t>1.8% of final 3-year average earnings (FAE3)</t>
  </si>
  <si>
    <t xml:space="preserve">With 10+ years of service, benefit is reduced </t>
  </si>
  <si>
    <t>3% per year from age 60. Otherwise, benefit</t>
  </si>
  <si>
    <t>is reduced 6% per year from NRA</t>
  </si>
  <si>
    <t xml:space="preserve">Monthly pension deferred to NRA. Deferred </t>
  </si>
  <si>
    <t>members can start their pensions as early</t>
  </si>
  <si>
    <t>as age 55, but on an actuarially equivalent basis</t>
  </si>
  <si>
    <t>For an actuarial valuation for funding purposes as at January 1, 2022, you are given:</t>
  </si>
  <si>
    <t>Actuarial Assumptions and Method</t>
  </si>
  <si>
    <t>Going Concern Assumptions</t>
  </si>
  <si>
    <t>(per year)</t>
  </si>
  <si>
    <t>Provision for adverse deviation (PfAD)</t>
  </si>
  <si>
    <t>Projected Unit Credit, service prorate</t>
  </si>
  <si>
    <t>Retirement age</t>
  </si>
  <si>
    <t>100% at age 60</t>
  </si>
  <si>
    <t>Solvency Assumptions</t>
  </si>
  <si>
    <t>Windup expense assumption</t>
  </si>
  <si>
    <t>As per Standards of Practice</t>
  </si>
  <si>
    <t>Liability Information</t>
  </si>
  <si>
    <t>ID</t>
  </si>
  <si>
    <t>Status</t>
  </si>
  <si>
    <t>Going Concern Liability (S)</t>
  </si>
  <si>
    <t>Normal Cost (BOY) ($)</t>
  </si>
  <si>
    <t>Solvency Liability ($)</t>
  </si>
  <si>
    <t>Active</t>
  </si>
  <si>
    <t>Deferred</t>
  </si>
  <si>
    <t>Retired</t>
  </si>
  <si>
    <t>Asset Information</t>
  </si>
  <si>
    <t>Fixed income allocation</t>
  </si>
  <si>
    <r>
      <t xml:space="preserve">For an actuarial valuation for funding purposes as at </t>
    </r>
    <r>
      <rPr>
        <b/>
        <sz val="12"/>
        <color rgb="FF002060"/>
        <rFont val="Times New Roman"/>
        <family val="1"/>
      </rPr>
      <t xml:space="preserve">January 1, 2023, </t>
    </r>
    <r>
      <rPr>
        <sz val="12"/>
        <color rgb="FF002060"/>
        <rFont val="Times New Roman"/>
        <family val="1"/>
      </rPr>
      <t>you are given:</t>
    </r>
  </si>
  <si>
    <t>Participant data as at January 1, 2023</t>
  </si>
  <si>
    <t>Accrued Monthly Benefit</t>
  </si>
  <si>
    <t>Credited Service</t>
  </si>
  <si>
    <t>n/a</t>
  </si>
  <si>
    <t xml:space="preserve"> n/a </t>
  </si>
  <si>
    <t>Participant data as at January 1, 2023 (Continued)</t>
  </si>
  <si>
    <t>Salary Current Year (CY)</t>
  </si>
  <si>
    <t>Salary CY-1</t>
  </si>
  <si>
    <t>Salary CY-2</t>
  </si>
  <si>
    <t>Salary CY-3</t>
  </si>
  <si>
    <t>Salary CY-4</t>
  </si>
  <si>
    <t>Assume that all membership movements occurred on December 31,2022 and that the retired members elected a life only pension.</t>
  </si>
  <si>
    <t>Going-concern discount rate</t>
  </si>
  <si>
    <t>Solvency discount rate</t>
  </si>
  <si>
    <t>All others assumptions and method are unchanged from the prior valuation.</t>
  </si>
  <si>
    <t>The minimum required contributions were made to the plan in 2022.</t>
  </si>
  <si>
    <t>Going Concern Annuity Factors</t>
  </si>
  <si>
    <t>Solvency Annuity Factors at 2.3%:</t>
  </si>
  <si>
    <t xml:space="preserve">d = </t>
  </si>
  <si>
    <t>x = 40</t>
  </si>
  <si>
    <t>x = 43</t>
  </si>
  <si>
    <t>Calculate the minimum required and maximum permissible employer contributions for 2022.</t>
  </si>
  <si>
    <t>Link final results below and show all work, including each step of the calculation separately, in the workspace provided to the right (in Excel).</t>
  </si>
  <si>
    <t>Minimum required contributions for 2022</t>
  </si>
  <si>
    <t>Maximum permissible contributions for 2022</t>
  </si>
  <si>
    <t xml:space="preserve">Calculate the total normal cost, going concern liability, and the unfunded actuarial liability </t>
  </si>
  <si>
    <t>as at January 1, 2023.</t>
  </si>
  <si>
    <t>Going concern funding target</t>
  </si>
  <si>
    <t>Going concern liabilities:</t>
  </si>
  <si>
    <t>Active members</t>
  </si>
  <si>
    <t>Deferred pensioners</t>
  </si>
  <si>
    <t>Pensioners</t>
  </si>
  <si>
    <t>Subtotal</t>
  </si>
  <si>
    <t>PfAD</t>
  </si>
  <si>
    <t>Total</t>
  </si>
  <si>
    <t>Without PfAD</t>
  </si>
  <si>
    <t>With PfAD</t>
  </si>
  <si>
    <t>Funding excess (shortfall)</t>
  </si>
  <si>
    <t>Normal cost</t>
  </si>
  <si>
    <t>Calculate the gains and losses on a going concern basis by source for 2022, excluding PfAD.</t>
  </si>
  <si>
    <t>Funding excess (shortfall) at January 1, 2022, excluding PfAD</t>
  </si>
  <si>
    <t>Sources</t>
  </si>
  <si>
    <t>Funding excess (shortfall) at January 1, 2023, excluding PfAD</t>
  </si>
  <si>
    <t>(d)</t>
  </si>
  <si>
    <t>Calculate the solvency funded position as at January 1, 2023.</t>
  </si>
  <si>
    <t>Net assets</t>
  </si>
  <si>
    <t>Present value of accrued benefits for:</t>
  </si>
  <si>
    <t>Total solvency liability</t>
  </si>
  <si>
    <t>Solvency excess (shortfall)</t>
  </si>
  <si>
    <t>You have determined the projected solvency liabilities as at January 1, 2024, to be:</t>
  </si>
  <si>
    <t>Projected Solvency Liabilities</t>
  </si>
  <si>
    <t>(e)</t>
  </si>
  <si>
    <t>Calculate the 1-year solvency incremental cost for 2023.</t>
  </si>
  <si>
    <t>Solvency incremental cost</t>
  </si>
  <si>
    <t>(f)</t>
  </si>
  <si>
    <t>Calculate the minimum required and maximum permissible employer contributions for 2023.</t>
  </si>
  <si>
    <t>Minimum required contributions for 2023</t>
  </si>
  <si>
    <t>Maximum permissible contributions for 2023</t>
  </si>
  <si>
    <t>Question 5</t>
  </si>
  <si>
    <t>Your client sponsors a non-contributory defined benefit pension plan.</t>
  </si>
  <si>
    <t>Plan Provisions</t>
  </si>
  <si>
    <t>1.5% of final year's earnings times years of service</t>
  </si>
  <si>
    <t>3% per year from age 60 to age 65
6% per year from age 55 to age 60</t>
  </si>
  <si>
    <t>Deferred pension payable at normal retirement age</t>
  </si>
  <si>
    <t>Actuarial Assumptions and Methods</t>
  </si>
  <si>
    <t>Interest rate</t>
  </si>
  <si>
    <t>0-3</t>
  </si>
  <si>
    <t>4-7</t>
  </si>
  <si>
    <t>8-9</t>
  </si>
  <si>
    <t>10+</t>
  </si>
  <si>
    <r>
      <t>ä</t>
    </r>
    <r>
      <rPr>
        <vertAlign val="subscript"/>
        <sz val="12"/>
        <color theme="4" tint="-0.249977111117893"/>
        <rFont val="Times New Roman"/>
        <family val="1"/>
      </rPr>
      <t>65</t>
    </r>
    <r>
      <rPr>
        <vertAlign val="superscript"/>
        <sz val="12"/>
        <color theme="4" tint="-0.249977111117893"/>
        <rFont val="Times New Roman"/>
        <family val="1"/>
      </rPr>
      <t>(12)</t>
    </r>
    <r>
      <rPr>
        <sz val="12"/>
        <color theme="4" tint="-0.249977111117893"/>
        <rFont val="Times New Roman"/>
        <family val="1"/>
      </rPr>
      <t xml:space="preserve"> =</t>
    </r>
  </si>
  <si>
    <r>
      <t>ä</t>
    </r>
    <r>
      <rPr>
        <vertAlign val="subscript"/>
        <sz val="12"/>
        <color theme="4" tint="-0.249977111117893"/>
        <rFont val="Times New Roman"/>
        <family val="1"/>
      </rPr>
      <t>60</t>
    </r>
    <r>
      <rPr>
        <vertAlign val="superscript"/>
        <sz val="12"/>
        <color theme="4" tint="-0.249977111117893"/>
        <rFont val="Times New Roman"/>
        <family val="1"/>
      </rPr>
      <t>(12)</t>
    </r>
    <r>
      <rPr>
        <sz val="12"/>
        <color theme="4" tint="-0.249977111117893"/>
        <rFont val="Times New Roman"/>
        <family val="1"/>
      </rPr>
      <t xml:space="preserve"> =</t>
    </r>
  </si>
  <si>
    <t>Participant Data as at December 31, 2022</t>
  </si>
  <si>
    <t>2022 salary</t>
  </si>
  <si>
    <t>Market value of assets at December 31, 2022</t>
  </si>
  <si>
    <t>Calculate the normal cost of the plan as at December 31, 2022.</t>
  </si>
  <si>
    <r>
      <t>·</t>
    </r>
    <r>
      <rPr>
        <sz val="7"/>
        <color theme="4" tint="-0.249977111117893"/>
        <rFont val="Times New Roman"/>
        <family val="1"/>
      </rPr>
      <t xml:space="preserve">       </t>
    </r>
    <r>
      <rPr>
        <sz val="12"/>
        <color theme="4" tint="-0.249977111117893"/>
        <rFont val="Times New Roman"/>
        <family val="1"/>
      </rPr>
      <t xml:space="preserve">Member B terminates employment on January 1, 2023, and remains eligible to receive a </t>
    </r>
  </si>
  <si>
    <t xml:space="preserve">     deferred pension at age 65 from the Plan. </t>
  </si>
  <si>
    <r>
      <t>·</t>
    </r>
    <r>
      <rPr>
        <sz val="7"/>
        <color theme="4" tint="-0.249977111117893"/>
        <rFont val="Times New Roman"/>
        <family val="1"/>
      </rPr>
      <t xml:space="preserve">      	</t>
    </r>
    <r>
      <rPr>
        <sz val="12"/>
        <color theme="4" tint="-0.249977111117893"/>
        <rFont val="Times New Roman"/>
        <family val="1"/>
      </rPr>
      <t>Member A receives a salary increase of 10% on January 1, 2023.</t>
    </r>
  </si>
  <si>
    <r>
      <t>·</t>
    </r>
    <r>
      <rPr>
        <sz val="7"/>
        <color theme="4" tint="-0.249977111117893"/>
        <rFont val="Times New Roman"/>
        <family val="1"/>
      </rPr>
      <t xml:space="preserve">      	</t>
    </r>
    <r>
      <rPr>
        <sz val="12"/>
        <color theme="4" tint="-0.249977111117893"/>
        <rFont val="Times New Roman"/>
        <family val="1"/>
      </rPr>
      <t>A contribution of $50,000 is made to the plan on January 1, 2023.</t>
    </r>
  </si>
  <si>
    <r>
      <t>·</t>
    </r>
    <r>
      <rPr>
        <sz val="7"/>
        <color theme="4" tint="-0.249977111117893"/>
        <rFont val="Times New Roman"/>
        <family val="1"/>
      </rPr>
      <t>      </t>
    </r>
    <r>
      <rPr>
        <sz val="12"/>
        <color theme="4" tint="-0.249977111117893"/>
        <rFont val="Times New Roman"/>
        <family val="1"/>
      </rPr>
      <t>The plan’s fund earns a rate of return of 15% during 2023.</t>
    </r>
  </si>
  <si>
    <t>Calculate the accrued liability and normal cost for the plan as at December 31, 2023.</t>
  </si>
  <si>
    <t>MVA</t>
  </si>
  <si>
    <t>GC liability</t>
  </si>
  <si>
    <t>Term expense</t>
  </si>
  <si>
    <t xml:space="preserve">Solv liability </t>
  </si>
  <si>
    <t>GC funding target</t>
  </si>
  <si>
    <t>Solvency excess</t>
  </si>
  <si>
    <t>Funding excess</t>
  </si>
  <si>
    <t>Transfer ratio</t>
  </si>
  <si>
    <t>Transfer ratio is over 85% so no special payments</t>
  </si>
  <si>
    <t>GC ratio</t>
  </si>
  <si>
    <t xml:space="preserve">No deficit funding required, since over 125% there is excess surplus </t>
  </si>
  <si>
    <t>Minimum annual contribution</t>
  </si>
  <si>
    <t>No contribution holiday since transfer ratio under 105%</t>
  </si>
  <si>
    <t>Maximum annual contribution</t>
  </si>
  <si>
    <t>ITA permits contributions required by minimum funding legislation</t>
  </si>
  <si>
    <t>Member 1</t>
  </si>
  <si>
    <t>x</t>
  </si>
  <si>
    <t>Svc(x)</t>
  </si>
  <si>
    <t>y</t>
  </si>
  <si>
    <t>r</t>
  </si>
  <si>
    <t>Svc(y)</t>
  </si>
  <si>
    <t>v^(r-x)</t>
  </si>
  <si>
    <t>qy</t>
  </si>
  <si>
    <t>(y-x)px</t>
  </si>
  <si>
    <t>FAE(y)</t>
  </si>
  <si>
    <t>B(y)</t>
  </si>
  <si>
    <t>f(x)</t>
  </si>
  <si>
    <t>B(x)</t>
  </si>
  <si>
    <t xml:space="preserve">annuity(r) </t>
  </si>
  <si>
    <t>AL(x)</t>
  </si>
  <si>
    <t>NC(x)</t>
  </si>
  <si>
    <t>Member 2</t>
  </si>
  <si>
    <t>benefit</t>
  </si>
  <si>
    <t>annuity</t>
  </si>
  <si>
    <t>Member 4</t>
  </si>
  <si>
    <t>Member 3</t>
  </si>
  <si>
    <t>Member 5</t>
  </si>
  <si>
    <t>Member 6</t>
  </si>
  <si>
    <t>Interest on funding excess (shortfall) before PfAD</t>
  </si>
  <si>
    <t>PfAD contributions with interest</t>
  </si>
  <si>
    <t>Investment return</t>
  </si>
  <si>
    <t xml:space="preserve">Mortality </t>
  </si>
  <si>
    <t>Miscellaneous</t>
  </si>
  <si>
    <t>Impact of changes in assumptions</t>
  </si>
  <si>
    <t>G/L by individual</t>
  </si>
  <si>
    <t>Expected</t>
  </si>
  <si>
    <t>Actual</t>
  </si>
  <si>
    <t>(G)/L</t>
  </si>
  <si>
    <t>salary</t>
  </si>
  <si>
    <t>retirement</t>
  </si>
  <si>
    <t>miscellaneous</t>
  </si>
  <si>
    <t>mortality</t>
  </si>
  <si>
    <t>Liabilities</t>
  </si>
  <si>
    <t>Assets</t>
  </si>
  <si>
    <t>Gain / (Loss)</t>
  </si>
  <si>
    <t>BP</t>
  </si>
  <si>
    <t>Assumption</t>
  </si>
  <si>
    <t>Return</t>
  </si>
  <si>
    <t>Misc</t>
  </si>
  <si>
    <t>Points</t>
  </si>
  <si>
    <t>Grow in?</t>
  </si>
  <si>
    <t>SVC?</t>
  </si>
  <si>
    <t>EURD</t>
  </si>
  <si>
    <t>ERF</t>
  </si>
  <si>
    <t>Factor</t>
  </si>
  <si>
    <t>CV</t>
  </si>
  <si>
    <t>Max CV</t>
  </si>
  <si>
    <t>EURD CV</t>
  </si>
  <si>
    <t>Solv AL</t>
  </si>
  <si>
    <t>DR</t>
  </si>
  <si>
    <t>AL projected</t>
  </si>
  <si>
    <t>AL at val date</t>
  </si>
  <si>
    <t>Exp. Benefit</t>
  </si>
  <si>
    <t>SIC</t>
  </si>
  <si>
    <t>GC deficit</t>
  </si>
  <si>
    <t>Solvency deficit</t>
  </si>
  <si>
    <t>Normal cost with PfAD</t>
  </si>
  <si>
    <t>Special payments</t>
  </si>
  <si>
    <t>1 year deferral new GC SP</t>
  </si>
  <si>
    <t>RETFRC Fall 2023</t>
  </si>
  <si>
    <t xml:space="preserve">In order to mitigate the impact of market volatility on their contribution requirements, Company </t>
  </si>
  <si>
    <t>ABC is considering the following asset smoothing techniques:</t>
  </si>
  <si>
    <t>Method 1:</t>
  </si>
  <si>
    <t xml:space="preserve"> - Linear recognition of all realized gains (losses) net of investment expenses over a period of 2 years.</t>
  </si>
  <si>
    <t xml:space="preserve"> - The smoothed value of assets is constrained by a corridor such that it is no less than 95% of the Market </t>
  </si>
  <si>
    <t xml:space="preserve">   Value of Assets, and no greater than 105%.</t>
  </si>
  <si>
    <t>Method 2:</t>
  </si>
  <si>
    <t xml:space="preserve"> - Average of the market value of assets at the valuation date and the market value of assets </t>
  </si>
  <si>
    <t xml:space="preserve">   at the end of the four preceding years projected to the valuation date.</t>
  </si>
  <si>
    <t xml:space="preserve"> - The projected market values are determined using the market values at December 31 of each of </t>
  </si>
  <si>
    <t xml:space="preserve">   the four preceding years projected to the valuation date with the net cash flow (contributions </t>
  </si>
  <si>
    <t xml:space="preserve">   less benefit payments less non-investment expenses) and assumed investment return equal to </t>
  </si>
  <si>
    <t xml:space="preserve">   the going concern discount rate applicable for each year.</t>
  </si>
  <si>
    <t xml:space="preserve"> - The net cash flow is assumed to occur mid-year.</t>
  </si>
  <si>
    <t>You are given the following asset reconciliation:</t>
  </si>
  <si>
    <t>(000's)</t>
  </si>
  <si>
    <t>Beginning market value of assets</t>
  </si>
  <si>
    <t>Additions:</t>
  </si>
  <si>
    <t xml:space="preserve">  Contributions</t>
  </si>
  <si>
    <t xml:space="preserve">  Realized gain/(loss)</t>
  </si>
  <si>
    <t>Deductions:</t>
  </si>
  <si>
    <t xml:space="preserve">  Benefit payments</t>
  </si>
  <si>
    <t xml:space="preserve">  Administrative expenses</t>
  </si>
  <si>
    <t xml:space="preserve">  Investment expenses</t>
  </si>
  <si>
    <t xml:space="preserve">  Unrealized gain/(Loss)</t>
  </si>
  <si>
    <t>Ending market value of assets</t>
  </si>
  <si>
    <t xml:space="preserve">Beginning of year going concern discount rate </t>
  </si>
  <si>
    <t>Calculate the smoothed value of assets as at January 1, 2023 using the two asset</t>
  </si>
  <si>
    <t>smoothing methods under consideration.</t>
  </si>
  <si>
    <t xml:space="preserve">Compare and contrast the two asset smoothing methods taking into consideration the </t>
  </si>
  <si>
    <t>Canadian Institute of Actuaries' guidance on asset valuation methods.</t>
  </si>
  <si>
    <t>Provide the response in Word</t>
  </si>
  <si>
    <t>RETFRC Spring 2024</t>
  </si>
  <si>
    <t>Your client sponsors a contributory defined benefit pension plan.  You are given:</t>
  </si>
  <si>
    <t>Retirement benefit:</t>
  </si>
  <si>
    <t>2% of final year's earnings multiplied by years of service</t>
  </si>
  <si>
    <t>Earliest retirement age:</t>
  </si>
  <si>
    <t>Early retirement reduction:</t>
  </si>
  <si>
    <t>Prior to 10 years of service: actuarial reduction                                             With 10 or more years of service:   3% per year from age 65</t>
  </si>
  <si>
    <t>Employee contributions:</t>
  </si>
  <si>
    <t>8% of earnings</t>
  </si>
  <si>
    <t>Accrued pension deferred to normal retirement age. 
The pension shall be increased at the date of termination, if applicable, so that the value of the pension is not less than 2 times the accumulated employee contributions with interest, based on the valuation assumptions below.</t>
  </si>
  <si>
    <t>Discount rate:</t>
  </si>
  <si>
    <t>Return on employee contributions:</t>
  </si>
  <si>
    <t>Decrements:</t>
  </si>
  <si>
    <t>50% at later of 10 years of service or age 55; remainder at age 65</t>
  </si>
  <si>
    <t xml:space="preserve">Termination rates: </t>
  </si>
  <si>
    <t xml:space="preserve">Less than 5 years </t>
  </si>
  <si>
    <t>10% per year</t>
  </si>
  <si>
    <t>At least 5 years, less than 10 years</t>
  </si>
  <si>
    <t>10 or more years</t>
  </si>
  <si>
    <t>0% per year</t>
  </si>
  <si>
    <r>
      <t>ä</t>
    </r>
    <r>
      <rPr>
        <vertAlign val="subscript"/>
        <sz val="12"/>
        <color rgb="FF002060"/>
        <rFont val="Times New Roman"/>
        <family val="1"/>
      </rPr>
      <t>55</t>
    </r>
    <r>
      <rPr>
        <vertAlign val="superscript"/>
        <sz val="12"/>
        <color rgb="FF002060"/>
        <rFont val="Times New Roman"/>
        <family val="1"/>
      </rPr>
      <t>(12)</t>
    </r>
    <r>
      <rPr>
        <sz val="12"/>
        <color rgb="FF002060"/>
        <rFont val="Times New Roman"/>
        <family val="1"/>
      </rPr>
      <t xml:space="preserve"> =</t>
    </r>
  </si>
  <si>
    <t>Participant Data at December 31, 2023</t>
  </si>
  <si>
    <t>Age (years):</t>
  </si>
  <si>
    <t>2023 Earnings:</t>
  </si>
  <si>
    <t>Total contributions with interest:</t>
  </si>
  <si>
    <t>Market value of assets as at December 31, 2023:</t>
  </si>
  <si>
    <t>Calculate the normal cost of the plan as at December 31, 2023.</t>
  </si>
  <si>
    <t>You are given the following for 2024:</t>
  </si>
  <si>
    <r>
      <t>·</t>
    </r>
    <r>
      <rPr>
        <sz val="7"/>
        <color rgb="FF002060"/>
        <rFont val="Times New Roman"/>
        <family val="1"/>
      </rPr>
      <t xml:space="preserve">       </t>
    </r>
    <r>
      <rPr>
        <sz val="12"/>
        <color rgb="FF002060"/>
        <rFont val="Times New Roman"/>
        <family val="1"/>
      </rPr>
      <t>Member B terminates employment on January 1, 2024 and remains eligible to receive a deferred pension</t>
    </r>
  </si>
  <si>
    <t>payable at normal retirement age from the plan</t>
  </si>
  <si>
    <r>
      <t>·</t>
    </r>
    <r>
      <rPr>
        <sz val="7"/>
        <color rgb="FF002060"/>
        <rFont val="Times New Roman"/>
        <family val="1"/>
      </rPr>
      <t xml:space="preserve">      	</t>
    </r>
    <r>
      <rPr>
        <sz val="12"/>
        <color rgb="FF002060"/>
        <rFont val="Times New Roman"/>
        <family val="1"/>
      </rPr>
      <t>Member A receives a salary increase of 10% on January 1, 2024</t>
    </r>
  </si>
  <si>
    <r>
      <t>·</t>
    </r>
    <r>
      <rPr>
        <sz val="7"/>
        <color rgb="FF002060"/>
        <rFont val="Times New Roman"/>
        <family val="1"/>
      </rPr>
      <t xml:space="preserve">      	</t>
    </r>
    <r>
      <rPr>
        <sz val="12"/>
        <color rgb="FF002060"/>
        <rFont val="Times New Roman"/>
        <family val="1"/>
      </rPr>
      <t>The Plan sponsor makes a contribution of $30,000 to the plan on January 1, 2024</t>
    </r>
  </si>
  <si>
    <r>
      <t>·</t>
    </r>
    <r>
      <rPr>
        <sz val="7"/>
        <color rgb="FF002060"/>
        <rFont val="Times New Roman"/>
        <family val="1"/>
      </rPr>
      <t>      </t>
    </r>
    <r>
      <rPr>
        <sz val="12"/>
        <color rgb="FF002060"/>
        <rFont val="Times New Roman"/>
        <family val="1"/>
      </rPr>
      <t>The Plan's fund earns a rate of return of 15% during 2024</t>
    </r>
  </si>
  <si>
    <r>
      <t>·</t>
    </r>
    <r>
      <rPr>
        <sz val="7"/>
        <color rgb="FF002060"/>
        <rFont val="Times New Roman"/>
        <family val="1"/>
      </rPr>
      <t xml:space="preserve">      	</t>
    </r>
    <r>
      <rPr>
        <sz val="12"/>
        <color rgb="FF002060"/>
        <rFont val="Times New Roman"/>
        <family val="1"/>
      </rPr>
      <t>The interest on employee contributions is 4% during 2024</t>
    </r>
  </si>
  <si>
    <t>Calculate the accrued liability and the normal cost for the plan as at December 31, 2024.</t>
  </si>
  <si>
    <t>39 </t>
  </si>
  <si>
    <t>50 </t>
  </si>
  <si>
    <t xml:space="preserve">                =</t>
  </si>
  <si>
    <t xml:space="preserve">                =  </t>
  </si>
  <si>
    <t>The reponse to this question is to be provided in the Word document.</t>
  </si>
  <si>
    <t>Explain why shifting the pension plan's asset allocation to bonds represents an arbitrage opportunity.</t>
  </si>
  <si>
    <t>(1 points)</t>
  </si>
  <si>
    <t>Total portfolio</t>
  </si>
  <si>
    <t>Total direct holdings</t>
  </si>
  <si>
    <t>Bond</t>
  </si>
  <si>
    <t>Equity</t>
  </si>
  <si>
    <r>
      <t>Your</t>
    </r>
    <r>
      <rPr>
        <b/>
        <sz val="11"/>
        <color rgb="FF0070C0"/>
        <rFont val="Times New Roman"/>
        <family val="1"/>
      </rPr>
      <t xml:space="preserve"> direct holdings</t>
    </r>
  </si>
  <si>
    <t>Total indirect holdings</t>
  </si>
  <si>
    <t>Indirect holdings through corporate pension plan</t>
  </si>
  <si>
    <t>100% Bonds</t>
  </si>
  <si>
    <t>After-tax Income</t>
  </si>
  <si>
    <t>Personal Tax</t>
  </si>
  <si>
    <t>Pre-tax Income</t>
  </si>
  <si>
    <t>Your Holdings</t>
  </si>
  <si>
    <t xml:space="preserve">Pension Plan: </t>
  </si>
  <si>
    <t>Table 2: Your Portfolio Return (Pension Plan: 100% Bond Portfolio)</t>
  </si>
  <si>
    <t>60% Equity / 40% Bonds</t>
  </si>
  <si>
    <t>Table 1: Your Portfolio Return (Pension Plan: 60/40 Portfolio)</t>
  </si>
  <si>
    <t>Complete the tables below. Work space is provided to the right</t>
  </si>
  <si>
    <t>Calculate the impact of the new portfolio on your after-tax returns by filing out the tables below.</t>
  </si>
  <si>
    <t>You change your direct holdings to return to your desired allocation to equities and bonds.</t>
  </si>
  <si>
    <t xml:space="preserve">Company XYZ shifts the asset allocation of the pension plan to a 100% bond portfolio. </t>
  </si>
  <si>
    <t>- Desired equities and bonds represent your target asset mix</t>
  </si>
  <si>
    <t>- Gross pension assets represent your indirect holdings through the corporate pension plan</t>
  </si>
  <si>
    <t>- Total portfolio assets represent your portfolio and include gross pension assets.</t>
  </si>
  <si>
    <t xml:space="preserve">Notes: </t>
  </si>
  <si>
    <t>--</t>
  </si>
  <si>
    <t>Gross Pension Assets</t>
  </si>
  <si>
    <t>Desired Bonds</t>
  </si>
  <si>
    <t>Desired Equities</t>
  </si>
  <si>
    <t>Company XYZ</t>
  </si>
  <si>
    <t>Total Portfolio</t>
  </si>
  <si>
    <t>Expected Return</t>
  </si>
  <si>
    <t>Tax Rates</t>
  </si>
  <si>
    <t>Pension Portfolio Allocation of Company XYZ's Pension Plan (%)</t>
  </si>
  <si>
    <t>Assets ($)</t>
  </si>
  <si>
    <t>Description</t>
  </si>
  <si>
    <t>You are a shareholder of Company XYZ. You are given the following:</t>
  </si>
  <si>
    <t>Market Value of Assets; and</t>
  </si>
  <si>
    <t>Describe how to measure the following items from a financial economics perspective:</t>
  </si>
  <si>
    <t>(1 point)</t>
  </si>
  <si>
    <t>Complete the table for part (b) to the left. Additional space provided here.</t>
  </si>
  <si>
    <t>RETRPIRM Fall 2020</t>
  </si>
  <si>
    <t>Show all work.</t>
  </si>
  <si>
    <t>(ii) Geometric Return</t>
  </si>
  <si>
    <t>(i) Arithmetic return</t>
  </si>
  <si>
    <r>
      <t>(2</t>
    </r>
    <r>
      <rPr>
        <i/>
        <sz val="12"/>
        <color theme="1"/>
        <rFont val="Times New Roman"/>
        <family val="1"/>
      </rPr>
      <t xml:space="preserve"> points</t>
    </r>
    <r>
      <rPr>
        <sz val="12"/>
        <color theme="1"/>
        <rFont val="Times New Roman"/>
        <family val="1"/>
      </rPr>
      <t>)  Calculate the following for the pension plan portfolio:</t>
    </r>
  </si>
  <si>
    <t xml:space="preserve">(a)  </t>
  </si>
  <si>
    <t xml:space="preserve">The correlation between bonds and equities is </t>
  </si>
  <si>
    <t>Standard Deviation</t>
  </si>
  <si>
    <t>Geometric Return</t>
  </si>
  <si>
    <t>Arithmetic Return</t>
  </si>
  <si>
    <t>Portfolio Allocation</t>
  </si>
  <si>
    <t>Asset Class</t>
  </si>
  <si>
    <t>are invested according to the following investment strategy:</t>
  </si>
  <si>
    <t xml:space="preserve">Company ABC sponsors a defined benefit pension plan. The assets of the pension plan </t>
  </si>
  <si>
    <t>Provide answer here for part (a).  Show and label all work.</t>
  </si>
  <si>
    <t>Excerpt from question:</t>
  </si>
  <si>
    <t xml:space="preserve">Design and Accounting Exam – Canada </t>
  </si>
  <si>
    <t>Exam RETDAC:  Spring 2021</t>
  </si>
  <si>
    <t>Formula =</t>
  </si>
  <si>
    <t>= 5.23%</t>
  </si>
  <si>
    <t>= (.059 – (.1155^2)/2)</t>
  </si>
  <si>
    <t>= (AR – (sd^2)/2)</t>
  </si>
  <si>
    <t>Full credit also provided if candidate calculated the expected geometric return using the approximation method.</t>
  </si>
  <si>
    <t>= 5.27%</t>
  </si>
  <si>
    <t>= e ^ (ln(1.059)-ln(1+(.1155^2)/(1.059^2))/2-1</t>
  </si>
  <si>
    <t>Expected Return = e ^ (ln(1+AR) – ln(1+(sd^2)/((1+AR)^2))/2)-1</t>
  </si>
  <si>
    <t>= 11.55%</t>
  </si>
  <si>
    <t>= [.055^2 * .40^2 + .18^2 * .6^2 + 2*.4*.6*.055*.18*.25]^.5</t>
  </si>
  <si>
    <t>Standard deviation = [ sd(b)^2 * w(b)^2 + sd(e)^2 * w(e)^2 + 2*w(b)*w(e)*sd(b)*sd(e)*correlation(b,e)]^.5</t>
  </si>
  <si>
    <t>(i) Geometric Return</t>
  </si>
  <si>
    <t>= 5.9%</t>
  </si>
  <si>
    <t>= 3.2% * 0.4 + 7.7% * 0.6</t>
  </si>
  <si>
    <t>= r(b) * w(b) + r(e) * w(e)</t>
  </si>
  <si>
    <t>(i) Arithmetic Return</t>
  </si>
  <si>
    <t>The correlation between bonds and equities is</t>
  </si>
  <si>
    <t>(ii) Geometric return</t>
  </si>
  <si>
    <t>Design and Accounting Exam – Canada &amp; US</t>
  </si>
  <si>
    <t>Exam RETDAUC:  Spring 2021</t>
  </si>
  <si>
    <t>(ii) Females</t>
  </si>
  <si>
    <t>(i) Males</t>
  </si>
  <si>
    <r>
      <t>(</t>
    </r>
    <r>
      <rPr>
        <i/>
        <sz val="12"/>
        <color theme="1"/>
        <rFont val="Times New Roman"/>
        <family val="1"/>
      </rPr>
      <t>2 points</t>
    </r>
    <r>
      <rPr>
        <sz val="12"/>
        <color theme="1"/>
        <rFont val="Times New Roman"/>
        <family val="1"/>
      </rPr>
      <t>)  Calculate the multipliers to be applied to the standard mortality table base rates based on the plan experience and credibility theory for the following:</t>
    </r>
  </si>
  <si>
    <t xml:space="preserve">(c)  </t>
  </si>
  <si>
    <t>Number of deaths on a counts-weighted basis for full credibility</t>
  </si>
  <si>
    <t>Expected deaths during period, based on standard mortality table</t>
  </si>
  <si>
    <t>Actual deaths during period</t>
  </si>
  <si>
    <t>Female</t>
  </si>
  <si>
    <t>Male</t>
  </si>
  <si>
    <t xml:space="preserve">You are provided the following data from Plan A's 2017-2020 annuitant experience study.  </t>
  </si>
  <si>
    <t>Part (c)</t>
  </si>
  <si>
    <t>Provide answer here for part (c).  Show and label all work.</t>
  </si>
  <si>
    <t>Design and Accounting Exam – Canada</t>
  </si>
  <si>
    <t>Factor:</t>
  </si>
  <si>
    <t>=(Z * f) + (1-Z)</t>
  </si>
  <si>
    <t>Formula:</t>
  </si>
  <si>
    <t>(actual deaths over expected deaths)</t>
  </si>
  <si>
    <t>f</t>
  </si>
  <si>
    <t>(square root of actual deaths over fully credible amount)</t>
  </si>
  <si>
    <t>Z</t>
  </si>
  <si>
    <t>Actual deaths (201) &lt; 1537.  Therefore not fully credible (partial credibility only)</t>
  </si>
  <si>
    <t>=actual deaths / expected deaths since fully credible</t>
  </si>
  <si>
    <t>Actual deaths (1650) &gt; 1537.  Therefore fully credible</t>
  </si>
  <si>
    <r>
      <t>(2</t>
    </r>
    <r>
      <rPr>
        <i/>
        <sz val="12"/>
        <color theme="1"/>
        <rFont val="Times New Roman"/>
        <family val="1"/>
      </rPr>
      <t xml:space="preserve"> points</t>
    </r>
    <r>
      <rPr>
        <sz val="12"/>
        <color theme="1"/>
        <rFont val="Times New Roman"/>
        <family val="1"/>
      </rPr>
      <t>)  Derive the credibility factors to be applied to the standard mortality table for the following:</t>
    </r>
  </si>
  <si>
    <t>Exam RETDAU:  Spring 2021</t>
  </si>
  <si>
    <r>
      <t>(2</t>
    </r>
    <r>
      <rPr>
        <i/>
        <sz val="12"/>
        <color theme="1"/>
        <rFont val="Times New Roman"/>
        <family val="1"/>
      </rPr>
      <t xml:space="preserve"> points</t>
    </r>
    <r>
      <rPr>
        <sz val="12"/>
        <color theme="1"/>
        <rFont val="Times New Roman"/>
        <family val="1"/>
      </rPr>
      <t>)  Derive the multiplier to be applied to the standard table base rates based on credibility theory.</t>
    </r>
  </si>
  <si>
    <t>Company ABC has decided to use all five years of mortality experience</t>
  </si>
  <si>
    <t>Number of deaths on a benefits-weighted basis for full credibility</t>
  </si>
  <si>
    <t>Expected deaths based on current mortality assumption</t>
  </si>
  <si>
    <t xml:space="preserve">Actual deaths </t>
  </si>
  <si>
    <t>Exam RETDAU: Spring 2023</t>
  </si>
  <si>
    <t>Actual deaths (240) &lt; 1245.  Therefore not fully credible (partial credibility only)</t>
  </si>
  <si>
    <t>Reduction in Projected Benefit Obligation</t>
  </si>
  <si>
    <t>Value of Lump Sum Payments</t>
  </si>
  <si>
    <t>You are given the following additional information:</t>
  </si>
  <si>
    <t>Company ABC offers a lump sum window to retirees with all payments made on December 31, 2024.</t>
  </si>
  <si>
    <t>The Prior Service Cost was established effective January 1, 2024.</t>
  </si>
  <si>
    <t>Average Inactive Life Expectancy</t>
  </si>
  <si>
    <t>Average Future Working Lifetime</t>
  </si>
  <si>
    <t>10% corridor</t>
  </si>
  <si>
    <t>Amortization Method</t>
  </si>
  <si>
    <t>Unrecognized Prior Service Cost/(Credit)</t>
  </si>
  <si>
    <t>Unrecognized (Gain)/Loss</t>
  </si>
  <si>
    <t>Mid-Year</t>
  </si>
  <si>
    <t>Timing of Benefit Payments and Contributions</t>
  </si>
  <si>
    <t>2024 Expected Contributions</t>
  </si>
  <si>
    <t>2024 Expected Benefit Payments</t>
  </si>
  <si>
    <t>2024 Service Cost (before interest)</t>
  </si>
  <si>
    <t>Market Value of Assets</t>
  </si>
  <si>
    <t>Projected Benefit Obligation</t>
  </si>
  <si>
    <t>Expected Return on Assets</t>
  </si>
  <si>
    <t>Discount Rate</t>
  </si>
  <si>
    <t>As of December 31, 2024</t>
  </si>
  <si>
    <t>As of January 1, 2024</t>
  </si>
  <si>
    <t xml:space="preserve">     (iii)   Assumulated Other Comprehensive Income at December 31, 2024</t>
  </si>
  <si>
    <t>You are provided with the following information:</t>
  </si>
  <si>
    <t xml:space="preserve">     (ii)    Funded status at December 31, 2024</t>
  </si>
  <si>
    <t>International Accounting Standard IAS 19, Rev. 2011 (IAS 19).</t>
  </si>
  <si>
    <t xml:space="preserve">     (i)     Revised 2024 Net Periodic Pension Cost</t>
  </si>
  <si>
    <t>The plan was improved for active members effective January 1, 2024.</t>
  </si>
  <si>
    <r>
      <rPr>
        <i/>
        <sz val="12"/>
        <color theme="1"/>
        <rFont val="Times New Roman"/>
        <family val="1"/>
      </rPr>
      <t>(2 points)</t>
    </r>
    <r>
      <rPr>
        <sz val="12"/>
        <color theme="1"/>
        <rFont val="Times New Roman"/>
        <family val="1"/>
      </rPr>
      <t xml:space="preserve"> Calculate the revised 2024 Defined Benefit Cost under</t>
    </r>
  </si>
  <si>
    <r>
      <rPr>
        <i/>
        <sz val="12"/>
        <color theme="1"/>
        <rFont val="Times New Roman"/>
        <family val="1"/>
      </rPr>
      <t>(3 points)</t>
    </r>
    <r>
      <rPr>
        <sz val="12"/>
        <color theme="1"/>
        <rFont val="Times New Roman"/>
        <family val="1"/>
      </rPr>
      <t xml:space="preserve"> Calculate the following:</t>
    </r>
  </si>
  <si>
    <r>
      <rPr>
        <i/>
        <sz val="12"/>
        <color theme="1"/>
        <rFont val="Times New Roman"/>
        <family val="1"/>
      </rPr>
      <t>(2 points)</t>
    </r>
    <r>
      <rPr>
        <sz val="12"/>
        <color theme="1"/>
        <rFont val="Times New Roman"/>
        <family val="1"/>
      </rPr>
      <t xml:space="preserve"> Calculate Accumulated Other Comprehensive Income as of December 31, 2024.</t>
    </r>
  </si>
  <si>
    <r>
      <rPr>
        <i/>
        <sz val="12"/>
        <color theme="1"/>
        <rFont val="Times New Roman"/>
        <family val="1"/>
      </rPr>
      <t>(3 points)</t>
    </r>
    <r>
      <rPr>
        <sz val="12"/>
        <color theme="1"/>
        <rFont val="Times New Roman"/>
        <family val="1"/>
      </rPr>
      <t xml:space="preserve"> Calculate the 2024 Net Periodic Pension Cost under ASC 715.</t>
    </r>
  </si>
  <si>
    <t xml:space="preserve">Company ABC sponsors a defined benefit pension plan and reports under U.S. Accounting Standard ASC 715 (ASC 715). </t>
  </si>
  <si>
    <t>Provide answer here for part (d).  Show and label all work.</t>
  </si>
  <si>
    <t>Provide answer here for part (b).  Show and label all work.</t>
  </si>
  <si>
    <t>Exam RETDAC: Spring 2024</t>
  </si>
  <si>
    <t>Show all work</t>
  </si>
  <si>
    <r>
      <t xml:space="preserve">(b)        </t>
    </r>
    <r>
      <rPr>
        <i/>
        <sz val="12"/>
        <color theme="1"/>
        <rFont val="Times New Roman"/>
        <family val="1"/>
      </rPr>
      <t>(6 points)</t>
    </r>
    <r>
      <rPr>
        <sz val="12"/>
        <color theme="1"/>
        <rFont val="Times New Roman"/>
        <family val="1"/>
      </rPr>
      <t xml:space="preserve">  Calculate the 2023 Net Periodic Pension Cost under ASC 715.</t>
    </r>
  </si>
  <si>
    <r>
      <rPr>
        <sz val="8"/>
        <color theme="1"/>
        <rFont val="Wingdings"/>
        <charset val="2"/>
      </rPr>
      <t>l</t>
    </r>
    <r>
      <rPr>
        <sz val="12"/>
        <color theme="1"/>
        <rFont val="Times New Roman"/>
        <family val="1"/>
      </rPr>
      <t xml:space="preserve">  No change to expected benefit payments for the year</t>
    </r>
  </si>
  <si>
    <r>
      <rPr>
        <sz val="8"/>
        <color theme="1"/>
        <rFont val="Wingdings"/>
        <charset val="2"/>
      </rPr>
      <t>l</t>
    </r>
    <r>
      <rPr>
        <sz val="12"/>
        <color theme="1"/>
        <rFont val="Times New Roman"/>
        <family val="1"/>
      </rPr>
      <t xml:space="preserve">  Employer and employee contributions are suspended effective July 1, 2023</t>
    </r>
  </si>
  <si>
    <t>Assume the following:</t>
  </si>
  <si>
    <t>Expected return on assets</t>
  </si>
  <si>
    <t>Fair value of assets</t>
  </si>
  <si>
    <t>Projected benefit obligation after freeze</t>
  </si>
  <si>
    <t>At July 1, 2023</t>
  </si>
  <si>
    <t>July 1, 2023 for all its active members.</t>
  </si>
  <si>
    <t>Company ABC subsequently informed you that they froze the plan effective</t>
  </si>
  <si>
    <t xml:space="preserve">              (ii)          AOCI as of December 31, 2023</t>
  </si>
  <si>
    <t xml:space="preserve">              (i)          2023 Net Periodic Pension Cost</t>
  </si>
  <si>
    <r>
      <t xml:space="preserve">(a)         </t>
    </r>
    <r>
      <rPr>
        <i/>
        <sz val="12"/>
        <color theme="1"/>
        <rFont val="Times New Roman"/>
        <family val="1"/>
      </rPr>
      <t>(5 points)</t>
    </r>
    <r>
      <rPr>
        <sz val="12"/>
        <color theme="1"/>
        <rFont val="Times New Roman"/>
        <family val="1"/>
      </rPr>
      <t xml:space="preserve">  Calculate the following under ASC 715:</t>
    </r>
  </si>
  <si>
    <t>Contributions and benefit payments are made uniformaly throughout the year.</t>
  </si>
  <si>
    <t>Unrecognized (gain)/loss in accumulated other comprehensive income (AOCI)</t>
  </si>
  <si>
    <t>The company amortizes gains/losses outside of the 10% corridor</t>
  </si>
  <si>
    <t>Gain/loss amortization method</t>
  </si>
  <si>
    <t>Average future lifetime of all participants</t>
  </si>
  <si>
    <t>Expected average remaining service lifetime (EARSL)</t>
  </si>
  <si>
    <t>Expected benefit payments for the following fiscal year</t>
  </si>
  <si>
    <t>Expected employee contributions for the following fiscal year</t>
  </si>
  <si>
    <t>Expected employer contributions for the following fiscal year</t>
  </si>
  <si>
    <t>Total current service cost at January 1, 2023</t>
  </si>
  <si>
    <t>Projected benefit obligation</t>
  </si>
  <si>
    <t>At December 31, 2023</t>
  </si>
  <si>
    <t>At December 31, 2022</t>
  </si>
  <si>
    <t>AOCI as of December 31, 2023</t>
  </si>
  <si>
    <t>ASC 715 (ASC 715):</t>
  </si>
  <si>
    <t>(i)  2023 Net Periodic Pension Cost</t>
  </si>
  <si>
    <t>You are provided the following information under U.S. Accounting Standard</t>
  </si>
  <si>
    <r>
      <rPr>
        <i/>
        <sz val="12"/>
        <color theme="1"/>
        <rFont val="Times New Roman"/>
        <family val="1"/>
      </rPr>
      <t>(6 points)</t>
    </r>
    <r>
      <rPr>
        <sz val="12"/>
        <color theme="1"/>
        <rFont val="Times New Roman"/>
        <family val="1"/>
      </rPr>
      <t xml:space="preserve"> Calculate the 2023 Net Periodic Pension Cost under ASC 715.</t>
    </r>
  </si>
  <si>
    <r>
      <t xml:space="preserve"> </t>
    </r>
    <r>
      <rPr>
        <i/>
        <sz val="12"/>
        <color theme="1"/>
        <rFont val="Times New Roman"/>
        <family val="1"/>
      </rPr>
      <t>(5 points)</t>
    </r>
    <r>
      <rPr>
        <sz val="12"/>
        <color theme="1"/>
        <rFont val="Times New Roman"/>
        <family val="1"/>
      </rPr>
      <t xml:space="preserve"> Calculate the following under ASC 715:</t>
    </r>
  </si>
  <si>
    <t>Company ABC sponsors a contributory defined benefit pension plan.</t>
  </si>
  <si>
    <t>Exam RETDAC:  Fall 2023</t>
  </si>
  <si>
    <t xml:space="preserve">Duration of Plan’s Fixed Income Assets </t>
  </si>
  <si>
    <t>50% Equity</t>
  </si>
  <si>
    <t>50% Fixed Income</t>
  </si>
  <si>
    <t>Plan Asset Allocation Mix</t>
  </si>
  <si>
    <t>Plan Assets</t>
  </si>
  <si>
    <t>Duration of Benefit Obligation</t>
  </si>
  <si>
    <t>Benefit Obligation at an interest rate of 3.8%</t>
  </si>
  <si>
    <t>a 10% increase in the market value of equities</t>
  </si>
  <si>
    <t>You are provided the following additional information about ABC Pension Plan:</t>
  </si>
  <si>
    <t>a decrease in interest rates of</t>
  </si>
  <si>
    <r>
      <t>(</t>
    </r>
    <r>
      <rPr>
        <i/>
        <sz val="12"/>
        <color theme="1"/>
        <rFont val="Times New Roman"/>
        <family val="1"/>
      </rPr>
      <t>3 points</t>
    </r>
    <r>
      <rPr>
        <sz val="12"/>
        <color theme="1"/>
        <rFont val="Times New Roman"/>
        <family val="1"/>
      </rPr>
      <t>)  Calculate ABC Pension Plan’s accounting funded status assuming</t>
    </r>
  </si>
  <si>
    <t xml:space="preserve">(b)  </t>
  </si>
  <si>
    <t>Part (b)</t>
  </si>
  <si>
    <t>Exam RETDAC:  Fall 2020</t>
  </si>
  <si>
    <t>ABC Pension Plan’s accounting position = Value of assets - Value of liabilities</t>
  </si>
  <si>
    <t>Value of liabilities</t>
  </si>
  <si>
    <t>Value of assets</t>
  </si>
  <si>
    <t>Increase in liabilities = (1 + AL Duration) ^ change in interest rate</t>
  </si>
  <si>
    <t>Increase in market value equity</t>
  </si>
  <si>
    <t>Increase in fixed income assets = (1 + Asset Duration) ^ change in interest rate</t>
  </si>
  <si>
    <t>and liabilities will increase in value.</t>
  </si>
  <si>
    <t>A 0.65% decrease in interest rates implies both fixed income portion of assets</t>
  </si>
  <si>
    <t>Market Value Equity = Market Value Fixed Income = 50% x Total Assets</t>
  </si>
  <si>
    <t>Since Plan Asset Allocation Mix is 50% equity and 50% Fixed Income</t>
  </si>
  <si>
    <t>Total Assets = Market Value Equity + Market Value Fixed Income</t>
  </si>
  <si>
    <t>Exam RETDAU:  Fall 2020</t>
  </si>
  <si>
    <t>Unrecognized Prior Service Cost in AOCI</t>
  </si>
  <si>
    <t>Unrecognized (Gain)/Loss in Accumulated Other Comprehensive Income (AOCI)</t>
  </si>
  <si>
    <t xml:space="preserve">Accumulated Benefit Obligation </t>
  </si>
  <si>
    <t>Company XYZ reports under U.S. Accounting Standard ASC 715.  Company XYZ has received regulatory approval and has decided to freeze pay and service accruals in its defined benefit pension plan effective December 31, 2020.  The following information has been provided prior to the plan freeze as of December 31, 2020:</t>
  </si>
  <si>
    <r>
      <t>(</t>
    </r>
    <r>
      <rPr>
        <i/>
        <sz val="12"/>
        <color theme="1"/>
        <rFont val="Times New Roman"/>
        <family val="1"/>
      </rPr>
      <t>7 points</t>
    </r>
    <r>
      <rPr>
        <sz val="12"/>
        <color theme="1"/>
        <rFont val="Times New Roman"/>
        <family val="1"/>
      </rPr>
      <t>)  Calculate the impact on the following values due to the plan freeze under U.S. Accounting Standard ASC 715:
(i) 2020 Net Periodic Pension Cost
(ii) Funded Status as of December 31, 2020
(iii) Amounts recognized in AOCI as of December 31, 2020</t>
    </r>
  </si>
  <si>
    <t xml:space="preserve">Change to items in AOCI = </t>
  </si>
  <si>
    <t xml:space="preserve">Calculate remaining PSC at 12/31/20 = </t>
  </si>
  <si>
    <t xml:space="preserve">Calculate new unrecog (g)/l at 12/31/20 = unrec (g)/L + liability gain = </t>
  </si>
  <si>
    <t>(iii)</t>
  </si>
  <si>
    <t>Change in funded status, better funded by</t>
  </si>
  <si>
    <t>MVA- Old PBO</t>
  </si>
  <si>
    <t>Funded status before freeze =</t>
  </si>
  <si>
    <t>MVA - PBO</t>
  </si>
  <si>
    <t xml:space="preserve">Calculate funded status at 12/31/20= </t>
  </si>
  <si>
    <t>ABO =</t>
  </si>
  <si>
    <t xml:space="preserve">PBO at 12/31/20, after plan freeze = </t>
  </si>
  <si>
    <t xml:space="preserve">= PSC amort + curtailment gain = </t>
  </si>
  <si>
    <t>Change to 2020 expense (curtailment charge</t>
  </si>
  <si>
    <t xml:space="preserve">Recognize 100% of PSC = </t>
  </si>
  <si>
    <t>recognize as a gain.  0 if there is still unrecognized loss after freeze</t>
  </si>
  <si>
    <t xml:space="preserve">determine curtailment gain: to extent gain from curtailment exceeds the unrecog (g)/l, </t>
  </si>
  <si>
    <t xml:space="preserve">liability gain associated with curtailment = ABO – PBO = </t>
  </si>
  <si>
    <t xml:space="preserve">curtailment accounting done at end of measurement period so do not need to do any mid-year remeasurements to recalculate SC, IC, EROA components  </t>
  </si>
  <si>
    <t>curtailment accounting needed because active participants will no longer accrue benefits under the plan</t>
  </si>
  <si>
    <t>Average Future Working Lifetime as of 7/1/20</t>
  </si>
  <si>
    <t>Assumed Benefit Payment and Contribution date</t>
  </si>
  <si>
    <t>Expected Contributions from 7/1/20 – 12/31/20</t>
  </si>
  <si>
    <t>Expected Benefit Payments from 7/1/20 – 12/31/20</t>
  </si>
  <si>
    <t>Market Value of Assets at 6/30/20</t>
  </si>
  <si>
    <t>Actual Contributions from 1/1/20 – 6/30/20</t>
  </si>
  <si>
    <t>Actual Benefit Payments from 1/1/20 – 6/30/20</t>
  </si>
  <si>
    <t>Accumulated Benefit Obligation Service Cost as of 1/1/20</t>
  </si>
  <si>
    <t>The following information has been provided:</t>
  </si>
  <si>
    <r>
      <t>(</t>
    </r>
    <r>
      <rPr>
        <i/>
        <sz val="12"/>
        <color theme="1"/>
        <rFont val="Times New Roman"/>
        <family val="1"/>
      </rPr>
      <t>7 points</t>
    </r>
    <r>
      <rPr>
        <sz val="12"/>
        <color theme="1"/>
        <rFont val="Times New Roman"/>
        <family val="1"/>
      </rPr>
      <t xml:space="preserve">)  Calculate the impact of the plan freeze on the 2020 Net Periodic Pension Cost under U.S. Accounting Standard ASC 715.  </t>
    </r>
  </si>
  <si>
    <r>
      <t>(</t>
    </r>
    <r>
      <rPr>
        <i/>
        <sz val="12"/>
        <color theme="1"/>
        <rFont val="Times New Roman"/>
        <family val="1"/>
      </rPr>
      <t>10 points</t>
    </r>
    <r>
      <rPr>
        <sz val="12"/>
        <color theme="1"/>
        <rFont val="Times New Roman"/>
        <family val="1"/>
      </rPr>
      <t xml:space="preserve">)  NOC has decided to freeze pay and service accruals in the National Oil Full-Time Pension Plan effective June 30, 2020.  No assumption changes were made since December 31, 2019.  </t>
    </r>
  </si>
  <si>
    <t>Question 9 pertains to the Case Study.</t>
  </si>
  <si>
    <t>Impact of the plan freeze on the 2020 Net Periodic Pension Cost is a reduction of 35,535,650.</t>
  </si>
  <si>
    <t>Impact of the plan freeze on the 2020 Net Periodic Pension Cost =</t>
  </si>
  <si>
    <t>Original NPPC =</t>
  </si>
  <si>
    <t>2020 NPPC =</t>
  </si>
  <si>
    <t>Curtailment gain =</t>
  </si>
  <si>
    <t>NPPC for 7/1/2020-12/31/2020 =</t>
  </si>
  <si>
    <t>Amort (G)/L = 0 because the Unrecognized (G)/L after plan freeze is 0</t>
  </si>
  <si>
    <t>Amort PSC = 0 because there is no Unrecognized Prior Service Cost</t>
  </si>
  <si>
    <t>EROA =</t>
  </si>
  <si>
    <t>EROA = (FVA @7/1/2020)*(EROA*0.5) + (ExpectedContributions - ExpectedBPs)*(EROA*0.25)</t>
  </si>
  <si>
    <t>IC =</t>
  </si>
  <si>
    <t>IC = (PBO after plan freeze)*(DR*0.5) - ExpectedBPs for 7/1/2020-12/31/2020 * (DR*0.25)</t>
  </si>
  <si>
    <t>SC = 0 because plan is frozen</t>
  </si>
  <si>
    <t>NPPC for 7/1/2020-12/31/2020 = SC + IC - EROA + Amort PSC + Amort (G)/L</t>
  </si>
  <si>
    <t>NPPC for 1/1/2020-6/30/2020 =</t>
  </si>
  <si>
    <t>NPPC for 1/1/2020-6/30/2020 = Original 2020 NPPC * 0.5</t>
  </si>
  <si>
    <t>2020 NPPC = NPPC for 1/1/2020-6/30/2020 + NPPC for 7/1/2020-12/31/2020 + Curtailment gain</t>
  </si>
  <si>
    <t>The remaining PBO gain of 1,511,025 will be recognized in the 2020 NPPC as a curtailment gain.</t>
  </si>
  <si>
    <t>Unrecog (G)/L impact of plan freeze =</t>
  </si>
  <si>
    <t>and the excess, if any, will be immediately recognized in the 2020 Net Periodic Pension Cost.</t>
  </si>
  <si>
    <t xml:space="preserve">Since the PBO impact is a gain and the Unrecognized (G)/L before the freeze is at a loss position, the PBO impact will offset the Unrecognized (G)/L </t>
  </si>
  <si>
    <t>Since all future service accruals are eliminated, curtailment accounting is needed.</t>
  </si>
  <si>
    <t>PBO impact of plan freeze =</t>
  </si>
  <si>
    <t>PBO impact of plan freeze = PBO after plan freeze - PBO before plan freeze</t>
  </si>
  <si>
    <t>PBO after plan freeze =</t>
  </si>
  <si>
    <t>ABO @7/1/2020 =</t>
  </si>
  <si>
    <t>ABO @7/1/2020 = (ABO @1/1/2020 + SC*0.5)*(1+DR*0.5) - ActualBPs*(1+DR*0.25)</t>
  </si>
  <si>
    <t>PBO after plan freeze = ABO @7/1/2020</t>
  </si>
  <si>
    <t>Impact of Plan Freeze</t>
  </si>
  <si>
    <t>Unrecog (G)/L Remeasurement =</t>
  </si>
  <si>
    <t>Unrecog (G)/L Remeasurement = Unrecog (G)/L Rollforward + PBO (G)/L + Asset (G)/L</t>
  </si>
  <si>
    <t>FVA (G)/L =</t>
  </si>
  <si>
    <t>FVA (G)/L = FVA Rollforward - FVA Remeasurement</t>
  </si>
  <si>
    <t>--&gt; given</t>
  </si>
  <si>
    <t>FVA Remeasurement =</t>
  </si>
  <si>
    <t>PBO (G)/L =</t>
  </si>
  <si>
    <t>PBO (G)/L = PBO Remeasurement - PBO Rollforward</t>
  </si>
  <si>
    <t>PBO Remeasurement before plan freeze =</t>
  </si>
  <si>
    <t>PBO Remeasurement before plan freeze = (PBO @1/1/2020 + SC*0.5)*(1+DR*0.5) - ActualBPs*(1+DR*0.25)</t>
  </si>
  <si>
    <t>Remeasurement</t>
  </si>
  <si>
    <t xml:space="preserve">Accrued/(Prepaid) Check Rollforward = </t>
  </si>
  <si>
    <t>Accrued/(Prepaid) Check Rollforward = Accrued/(Prepaid) @1/1/2020 - NPPC*0.5 + ActualContributions</t>
  </si>
  <si>
    <t>Unrecog (G)/L Rollforward =</t>
  </si>
  <si>
    <t>Unrecog (G)/L Rollforward = Unrecog (G)/L @1/1/2020 - Amort(G)/L*0.5</t>
  </si>
  <si>
    <t>FVA Rollforward =</t>
  </si>
  <si>
    <t>FVA Rollforward = FVA @1/1/2020 + EROA*0.5 + ActualContributions - ExpectedBPs*0.5</t>
  </si>
  <si>
    <t>PBO Rollforward =</t>
  </si>
  <si>
    <t>PBO Rollforward = PBO @1/1/2020 + SC*0.5 + IC*0.5 - ExpectedBPs*0.5</t>
  </si>
  <si>
    <t>Rollforward -simple interest illustrated (could also be done with compound interest)</t>
  </si>
  <si>
    <t>Due to the pay and service accruals freeze, a remeasurement is needed on 6/30/2020.</t>
  </si>
  <si>
    <t>Amount Recognized in Retained Earnings (Accrued/(Prepaid))</t>
  </si>
  <si>
    <t>Unrecog (G)/L</t>
  </si>
  <si>
    <t>Funded Status</t>
  </si>
  <si>
    <t>PBO</t>
  </si>
  <si>
    <t>Rollforward</t>
  </si>
  <si>
    <r>
      <t>(5</t>
    </r>
    <r>
      <rPr>
        <i/>
        <sz val="12"/>
        <color theme="1"/>
        <rFont val="Times New Roman"/>
        <family val="1"/>
      </rPr>
      <t xml:space="preserve"> points</t>
    </r>
    <r>
      <rPr>
        <sz val="12"/>
        <color theme="1"/>
        <rFont val="Times New Roman"/>
        <family val="1"/>
      </rPr>
      <t>)  Calculate the revised 2021 Defined Benefit Cost, including the change to Other Comprehensive Income, for the SRP under IAS 19 reflecting the plan freeze.
Show all work.</t>
    </r>
  </si>
  <si>
    <t>All other assumptions remain the same.  No other gains, losses, or assumption changes occurred during 2021.</t>
  </si>
  <si>
    <t>Earnings through March 31, 2021</t>
  </si>
  <si>
    <t>Age 62 Annuity Factor at 3.25%</t>
  </si>
  <si>
    <t>SRP assumptions as of March 31, 2021 under IAS 19:</t>
  </si>
  <si>
    <t xml:space="preserve">NOC has decided to freeze benefit accruals in both the National Oil Pension Plan and the SRP effective March 31, 2021.  </t>
  </si>
  <si>
    <r>
      <t>(5</t>
    </r>
    <r>
      <rPr>
        <i/>
        <sz val="12"/>
        <color theme="1"/>
        <rFont val="Times New Roman"/>
        <family val="1"/>
      </rPr>
      <t xml:space="preserve"> points</t>
    </r>
    <r>
      <rPr>
        <sz val="12"/>
        <color theme="1"/>
        <rFont val="Times New Roman"/>
        <family val="1"/>
      </rPr>
      <t>)  Calculate the 2021 Defined Benefit Cost for the SRP under IAS 19.</t>
    </r>
  </si>
  <si>
    <t>Age 62 Annuity Factor at 3.75%</t>
  </si>
  <si>
    <t>Salary Scale</t>
  </si>
  <si>
    <t>SRP assumptions under International Accounting Standard IAS 19, Rev. 2011 (IAS 19) as of December 31, 2020:</t>
  </si>
  <si>
    <t>Earnings History</t>
  </si>
  <si>
    <t>Date of Hire</t>
  </si>
  <si>
    <t>Date of Birth</t>
  </si>
  <si>
    <t>CEO Employee Data:</t>
  </si>
  <si>
    <t xml:space="preserve">NOC sponsors an unfunded Supplemental Retirement Plan (SRP) for its CEO.  The SRP restores the annuity benefit not payable from the National Oil Pension Plan.  </t>
  </si>
  <si>
    <t>Question 5 pertains to the Case Study.</t>
  </si>
  <si>
    <t>Exam RETDAC:  Spring</t>
  </si>
  <si>
    <t>SRP DBO at 4/1/2021</t>
  </si>
  <si>
    <t>Limited DBO at 4/1/2021</t>
  </si>
  <si>
    <t>Limited benefit</t>
  </si>
  <si>
    <t>Limited SC at 1/1/2021</t>
  </si>
  <si>
    <t>Limited DBO:</t>
  </si>
  <si>
    <t>Increase in Limited Benefit</t>
  </si>
  <si>
    <t>Service Increase</t>
  </si>
  <si>
    <t>Unlimited DBO at 4/1/2021</t>
  </si>
  <si>
    <t>Limited SC:</t>
  </si>
  <si>
    <t>Unlimited benefit</t>
  </si>
  <si>
    <t>Benefit Service at AA</t>
  </si>
  <si>
    <t>Unlimited SC at 1/1/2021</t>
  </si>
  <si>
    <t>Best Average Earnings at 4/31/2021</t>
  </si>
  <si>
    <t>Increase in Unlimited Benefit</t>
  </si>
  <si>
    <t>DBO Post Curtailment</t>
  </si>
  <si>
    <t>Best Average Earnings at RA</t>
  </si>
  <si>
    <t>2021 (to date)</t>
  </si>
  <si>
    <t>Unlimited SC:</t>
  </si>
  <si>
    <t>SRP Service Cost</t>
  </si>
  <si>
    <t>Limited DBO at 1/1/2021</t>
  </si>
  <si>
    <t>Earnings</t>
  </si>
  <si>
    <t>Earnings History:</t>
  </si>
  <si>
    <t>Benefit Service</t>
  </si>
  <si>
    <t>Unlimited DBO at 1/1/2021</t>
  </si>
  <si>
    <t>Best Average Earnings</t>
  </si>
  <si>
    <t>Accrued Benefit at 3/31/2021</t>
  </si>
  <si>
    <t>Remeasured Post Plan Freeze</t>
  </si>
  <si>
    <t>Unlimited DBO:</t>
  </si>
  <si>
    <t>SRP DBO:</t>
  </si>
  <si>
    <t>Defined Benefit Obligation (DBO) calculations:</t>
  </si>
  <si>
    <t>SRP Service Cost at 1/1/2021</t>
  </si>
  <si>
    <t>Limited:</t>
  </si>
  <si>
    <t>Unlimited at 1/1/2021</t>
  </si>
  <si>
    <t>Unlimited:</t>
  </si>
  <si>
    <t>Remeasured SRP DBO at 1/1/2021:</t>
  </si>
  <si>
    <t>2021 Assets</t>
  </si>
  <si>
    <t xml:space="preserve">2021 Expected Benefit Payments </t>
  </si>
  <si>
    <t>Assumed Retirement Age (RA)</t>
  </si>
  <si>
    <t>DBO</t>
  </si>
  <si>
    <t>Attained Age (AA)</t>
  </si>
  <si>
    <t>Val Date</t>
  </si>
  <si>
    <t>Post Amendment</t>
  </si>
  <si>
    <t>Remeasured</t>
  </si>
  <si>
    <t>Hire Age</t>
  </si>
  <si>
    <t>Participant Data:</t>
  </si>
  <si>
    <t>2021 Defined Benefit Cost</t>
  </si>
  <si>
    <t>Curtailment Charge / (Credit)</t>
  </si>
  <si>
    <t>Net Interest Cost</t>
  </si>
  <si>
    <t>Service Cost</t>
  </si>
  <si>
    <t>4/1/21 - 12/31/2021</t>
  </si>
  <si>
    <t>1/1/21 - 3/31/21</t>
  </si>
  <si>
    <r>
      <t>(</t>
    </r>
    <r>
      <rPr>
        <i/>
        <sz val="12"/>
        <color theme="1"/>
        <rFont val="Times New Roman"/>
        <family val="1"/>
      </rPr>
      <t>8 points</t>
    </r>
    <r>
      <rPr>
        <sz val="12"/>
        <color theme="1"/>
        <rFont val="Times New Roman"/>
        <family val="1"/>
      </rPr>
      <t xml:space="preserve">)  Calculate the revised 2021 Net Periodic Pension Cost for the SRP under ASC 715 reflecting the plan freeze.  
</t>
    </r>
  </si>
  <si>
    <t>All other assumptions remain the same.</t>
  </si>
  <si>
    <t>SRP ASC 715 assumptions as of March 31, 2021:</t>
  </si>
  <si>
    <r>
      <t>(</t>
    </r>
    <r>
      <rPr>
        <i/>
        <sz val="12"/>
        <color theme="1"/>
        <rFont val="Times New Roman"/>
        <family val="1"/>
      </rPr>
      <t>7 points</t>
    </r>
    <r>
      <rPr>
        <sz val="12"/>
        <color theme="1"/>
        <rFont val="Times New Roman"/>
        <family val="1"/>
      </rPr>
      <t>)  Calculate the 2021 Net Periodic Pension Cost for the SRP under ASC 715.</t>
    </r>
  </si>
  <si>
    <t>Annual PSC Amortization</t>
  </si>
  <si>
    <t>Unamortized (Gain)/Loss</t>
  </si>
  <si>
    <t>Unamortized Prior Service Credit (PSC)</t>
  </si>
  <si>
    <t>Unamortized Transition Obligation</t>
  </si>
  <si>
    <t>Excerpt of SRP ASC 715 results as of December 31, 2020:</t>
  </si>
  <si>
    <t>SRP assumptions as of December 31, 2020 under U.S. Accounting Standard ASC 715 (ASC 715):</t>
  </si>
  <si>
    <t>SRP ABO at 4/1/2021</t>
  </si>
  <si>
    <t>Limited ABO at 4/1/2021</t>
  </si>
  <si>
    <t>Limited ABO:</t>
  </si>
  <si>
    <t>Unlimited ABO at 4/1/2021</t>
  </si>
  <si>
    <t>ABO Post Curtailment</t>
  </si>
  <si>
    <t>Limited PBO at 1/1/2021</t>
  </si>
  <si>
    <t>Limited PBO:</t>
  </si>
  <si>
    <t>Unlimited PBO at 1/1/2021</t>
  </si>
  <si>
    <t>Unlimited PBO:</t>
  </si>
  <si>
    <t>SRP PBO:</t>
  </si>
  <si>
    <t>Projected Benefit Obligation (PBO) calculations:</t>
  </si>
  <si>
    <t>Remeasured SRP PBO at 1/1/2021:</t>
  </si>
  <si>
    <t>(Accrued)/Prepaid</t>
  </si>
  <si>
    <t>Unrecognized Prior Service Cost</t>
  </si>
  <si>
    <t>Impact</t>
  </si>
  <si>
    <t>Post Curtailment</t>
  </si>
  <si>
    <t>Curtailment</t>
  </si>
  <si>
    <t>Curtailment Charge</t>
  </si>
  <si>
    <t>2021 Net Periodic Pension Cost</t>
  </si>
  <si>
    <t>=&gt; (Gain)/Loss</t>
  </si>
  <si>
    <t>=&gt; Prior Service Cost</t>
  </si>
  <si>
    <t>=&gt; Transition Obligation</t>
  </si>
  <si>
    <t>Amortizations</t>
  </si>
  <si>
    <t>Interest Cost</t>
  </si>
  <si>
    <t xml:space="preserve">(7 points)  Calculate the revised 2021 Defined Benefit Cost, including the change to Other Comprehensive Income, under International Accounting Standard IAS 19, rev. 2011 (IAS 19).  
Show all work.
</t>
  </si>
  <si>
    <t>Assume this is a 2021 event and all contributions and benefit payments are uniformly distributed.</t>
  </si>
  <si>
    <t xml:space="preserve">Full year Service Cost for the remaining employees </t>
  </si>
  <si>
    <t>Total Plan DBO reflecting enhanced benefit of the 400 employees who accepted offer</t>
  </si>
  <si>
    <t>Total Plan Defined Benefit Obligation (DBO) reflecting immediate decrement of the 400 employees who accepted offer</t>
  </si>
  <si>
    <t xml:space="preserve">Market Value of Assets </t>
  </si>
  <si>
    <t xml:space="preserve">Discount Rate </t>
  </si>
  <si>
    <t>Information as of 7/1/2021:</t>
  </si>
  <si>
    <t xml:space="preserve">Asset gain/loss at the end of the year  </t>
  </si>
  <si>
    <t>Other actuarial gains or losses during 2021</t>
  </si>
  <si>
    <t>Actual Contributions in 2021</t>
  </si>
  <si>
    <t>Actual Benefit Payments, 7/1/2021 – 12/31/2021</t>
  </si>
  <si>
    <t>Expected Benefit Payments, 7/1/2021 – 12/31/2021</t>
  </si>
  <si>
    <t xml:space="preserve">Actual Benefit Payments, 1/1/2021 – 6/30/2021 </t>
  </si>
  <si>
    <t xml:space="preserve">NOC is restructuring and has offered a voluntary retirement incentive program with enhanced early retirement subsidies to its employees.  
400 employees accepted the offer to retire at July 1, 2021.  
You are given the following (dollars in thousands):  </t>
  </si>
  <si>
    <t>Exam RETDAC:  Fall 2021</t>
  </si>
  <si>
    <t>Funded Status (gain)/loss</t>
  </si>
  <si>
    <t>Actual Funded Status 12/31/2021 @ 4.00%</t>
  </si>
  <si>
    <t>Expected Funded Status 12/31/2021 @ 3.75% + ERW (Gain)/Loss</t>
  </si>
  <si>
    <t>OCI Impact - determined at year-end</t>
  </si>
  <si>
    <t>Interest on contributions</t>
  </si>
  <si>
    <t>Interest on funded status</t>
  </si>
  <si>
    <t>Interest on SC</t>
  </si>
  <si>
    <t>Interest Cost 7/1 - 12/31</t>
  </si>
  <si>
    <t>Enhanced Benefits impact</t>
  </si>
  <si>
    <t>DBO at 7/1 at 4.0% reflecting Enhanced Benefits</t>
  </si>
  <si>
    <t>Curtailment impact</t>
  </si>
  <si>
    <t>DBO at 7/1 at 4.0% reflecting Immediate Decrement</t>
  </si>
  <si>
    <t>DBO (gain)/loss</t>
  </si>
  <si>
    <t>DBO at 7/1 at 4.00% before ERW</t>
  </si>
  <si>
    <t>Factor to apply to DBO to adjust from 3.75% to 4.0%</t>
  </si>
  <si>
    <t>Change in DR from 3.75% to 4.00%</t>
  </si>
  <si>
    <t>Plan Duration</t>
  </si>
  <si>
    <t>Actual DBO at 7/1 at 4.00% (before ERW)</t>
  </si>
  <si>
    <t>Interest on BPs</t>
  </si>
  <si>
    <t>Interest on DBO</t>
  </si>
  <si>
    <t>Half Year</t>
  </si>
  <si>
    <t>Full Year</t>
  </si>
  <si>
    <t>DBO at 7/1 at 3.75% (before ERW)</t>
  </si>
  <si>
    <t>Expected DBO at 7/1 at 3.75% (before ERW)</t>
  </si>
  <si>
    <t>Determining Defined Benefit Cost for 7/1 - 12/31 - Calculation Details</t>
  </si>
  <si>
    <t>Revised 2021 Defined Benefit Cost, including change to OCI</t>
  </si>
  <si>
    <t>OCI</t>
  </si>
  <si>
    <t>Prior Service Cost</t>
  </si>
  <si>
    <t>Service cost (BOY)</t>
  </si>
  <si>
    <t>7/1 - 12/31</t>
  </si>
  <si>
    <t>1/1 - 6/30</t>
  </si>
  <si>
    <t>Defined Benefit Cost</t>
  </si>
  <si>
    <t>Employer Contributions</t>
  </si>
  <si>
    <t>(Actual)</t>
  </si>
  <si>
    <t>(Expected)</t>
  </si>
  <si>
    <t>Funded Position</t>
  </si>
  <si>
    <t>7/1</t>
  </si>
  <si>
    <t>1/1</t>
  </si>
  <si>
    <t>Discount rate (remeasurement)</t>
  </si>
  <si>
    <t>Discount rate (BOY)</t>
  </si>
  <si>
    <t>* ERW - Early Retirement Window</t>
  </si>
  <si>
    <r>
      <t>(</t>
    </r>
    <r>
      <rPr>
        <i/>
        <sz val="12"/>
        <color theme="1"/>
        <rFont val="Times New Roman"/>
        <family val="1"/>
      </rPr>
      <t>12 points</t>
    </r>
    <r>
      <rPr>
        <sz val="12"/>
        <color theme="1"/>
        <rFont val="Times New Roman"/>
        <family val="1"/>
      </rPr>
      <t xml:space="preserve">)  Calculate the following under U.S. Accounting Standard ASC 715:  
      (i) Revised 2021 Net Periodic Pension Cost 
      (ii) Accumulated Other Comprehensive Income as of December 31, 2021
      (iii) Funded status as of December 31, 2021
</t>
    </r>
  </si>
  <si>
    <t xml:space="preserve">Average Future Working Lifetime of remaining active employees </t>
  </si>
  <si>
    <t>Total Plan PBO reflecting enhanced benefit of the 400 employees who accepted offer</t>
  </si>
  <si>
    <t>Total Plan Projected Benefit Obligation (PBO) reflecting immediate decrement of the 400 employees who accepted offer</t>
  </si>
  <si>
    <t xml:space="preserve">NOC is restructuring and has offered a voluntary retirement incentive program with enhanced early retirement subsidies to its employees.  
400 employees accepted the offer to retire at July 1, 2021.  
You are given the following (dollars in thousands): </t>
  </si>
  <si>
    <t>Exam RETDAU:  Fall 2021</t>
  </si>
  <si>
    <t>(Accr)/Prepaid EOP</t>
  </si>
  <si>
    <t>Contr</t>
  </si>
  <si>
    <t>(NPPC)</t>
  </si>
  <si>
    <t>(Accr)/Prepaid BOP</t>
  </si>
  <si>
    <t>UTO</t>
  </si>
  <si>
    <t>U(G)L</t>
  </si>
  <si>
    <t>UPSC</t>
  </si>
  <si>
    <t>at 12/31</t>
  </si>
  <si>
    <t>6/30 after ERW</t>
  </si>
  <si>
    <t>6/30 before ERW</t>
  </si>
  <si>
    <t>at 1/1</t>
  </si>
  <si>
    <t>Balance Equation (Simple interest)</t>
  </si>
  <si>
    <t>* Shown for reference only; not required to receive full credit</t>
  </si>
  <si>
    <t>PBO G/L</t>
  </si>
  <si>
    <t>* actual=expected as no PBO g/l at EOY</t>
  </si>
  <si>
    <t>Actual PBO 12/31/2021</t>
  </si>
  <si>
    <t>Expected PBO 12/31/2021</t>
  </si>
  <si>
    <t>Asset G/L</t>
  </si>
  <si>
    <t>* actual=expected as no asset g/l at EOY</t>
  </si>
  <si>
    <t>Actual assets 12/31/2021</t>
  </si>
  <si>
    <t>Expected assets 12/31/2021</t>
  </si>
  <si>
    <t>Actual Contr 7/1 - 12/31</t>
  </si>
  <si>
    <t>Actual Benefit Payments 7/1 - 12/31</t>
  </si>
  <si>
    <t>Simple Interest</t>
  </si>
  <si>
    <t xml:space="preserve">(iii) Funded status as of December 31, 2021
</t>
  </si>
  <si>
    <t>AOCI</t>
  </si>
  <si>
    <t>U(G)/L</t>
  </si>
  <si>
    <t>U(G)/L at 12/31</t>
  </si>
  <si>
    <t>New (G)/L</t>
  </si>
  <si>
    <t>Amount amortized</t>
  </si>
  <si>
    <t>U(G)/L at 7/1</t>
  </si>
  <si>
    <t xml:space="preserve">(ii) Accumulated Other Comprehensive Income as of December 31, 2021
</t>
  </si>
  <si>
    <t xml:space="preserve">Total NPPC </t>
  </si>
  <si>
    <t>Imm Recog of Loss due to Immediate Decrement</t>
  </si>
  <si>
    <t>Imm Recog of Enhanced Benefits</t>
  </si>
  <si>
    <t>NPPC</t>
  </si>
  <si>
    <t>Amort TO</t>
  </si>
  <si>
    <t>Amort of unrec gain/loss</t>
  </si>
  <si>
    <t>Amort of PSC</t>
  </si>
  <si>
    <t>EROA</t>
  </si>
  <si>
    <t>Service cost (beg of period)</t>
  </si>
  <si>
    <t>NPPC 7/1-12/31</t>
  </si>
  <si>
    <t>Amortization (partial year)</t>
  </si>
  <si>
    <t>Amortization (full year)</t>
  </si>
  <si>
    <t xml:space="preserve">FWY </t>
  </si>
  <si>
    <t>amount to amortize</t>
  </si>
  <si>
    <t>corridor = greater PBO and assets</t>
  </si>
  <si>
    <t>uamort (g)/L at 7/1</t>
  </si>
  <si>
    <t>EROA 7/1 - 12/31</t>
  </si>
  <si>
    <t>Interest contr</t>
  </si>
  <si>
    <t>Interest bft pmts</t>
  </si>
  <si>
    <t>Interest on assets 7/1 - 12/31</t>
  </si>
  <si>
    <t>EROA Detail</t>
  </si>
  <si>
    <t>Total Interest Cost</t>
  </si>
  <si>
    <t>Interest for 1/2 year, assuming mid period</t>
  </si>
  <si>
    <t>Half Year Bft Pmts</t>
  </si>
  <si>
    <t>so half year is</t>
  </si>
  <si>
    <t>Interest full year</t>
  </si>
  <si>
    <t>Full yr SC</t>
  </si>
  <si>
    <t>int on liability for 1/2 year</t>
  </si>
  <si>
    <t>Interest Cost Detail</t>
  </si>
  <si>
    <t>7/1-12/31 Calculations</t>
  </si>
  <si>
    <t>Expected contributions 7/1 - 12/31</t>
  </si>
  <si>
    <t>Expected benefit payments 7/1 - 12/31</t>
  </si>
  <si>
    <t>Discount rate (7/1)</t>
  </si>
  <si>
    <t>Immediately Recognize Increase in PBO due to Enhanced Benefits</t>
  </si>
  <si>
    <t>PBO at 7/1 at 4.0% reflecting Enhanced Benefits</t>
  </si>
  <si>
    <t>* same as before since loss from immediate decrement is immediately recognized</t>
  </si>
  <si>
    <t>unamort (gain)/loss at 6/30, after reflecting immediate decrement</t>
  </si>
  <si>
    <t xml:space="preserve">* this must be immediately recognized </t>
  </si>
  <si>
    <t>Loss due to immediate decrement</t>
  </si>
  <si>
    <t>PBO at 7/1 at 4.0% reflecting immediate decrement</t>
  </si>
  <si>
    <t>unamort (gain)/loss at 6/30, prior to ERW</t>
  </si>
  <si>
    <t>unamort (gain)/loss at 1/1</t>
  </si>
  <si>
    <t>Asset (gain)/loss</t>
  </si>
  <si>
    <t>Actual Assets</t>
  </si>
  <si>
    <t>Expected Assets</t>
  </si>
  <si>
    <t>Actual contributions 1/1 - 6/30</t>
  </si>
  <si>
    <t>Actual benefit payments 1/1 - 6/30</t>
  </si>
  <si>
    <t>PBO (gain)/loss</t>
  </si>
  <si>
    <t>PBO at 7/1 at 4.00% before ERW</t>
  </si>
  <si>
    <t>Factor to apply to PBO to adjust from 3.75% to 4.0%</t>
  </si>
  <si>
    <t>Actual PBO at 7/1 at 4.00% (before ERW)</t>
  </si>
  <si>
    <t>Expected PBO at 7/1 at 3.75% (before ERW)</t>
  </si>
  <si>
    <t>(half of full year)</t>
  </si>
  <si>
    <t>Expected employer contributions</t>
  </si>
  <si>
    <t>Expected Benefit Payments - full year</t>
  </si>
  <si>
    <t xml:space="preserve">(i) Revised 2021 Net Periodic Pension Cost </t>
  </si>
  <si>
    <r>
      <t>(</t>
    </r>
    <r>
      <rPr>
        <i/>
        <sz val="12"/>
        <color theme="1"/>
        <rFont val="Times New Roman"/>
        <family val="1"/>
      </rPr>
      <t>3 points</t>
    </r>
    <r>
      <rPr>
        <sz val="12"/>
        <color theme="1"/>
        <rFont val="Times New Roman"/>
        <family val="1"/>
      </rPr>
      <t xml:space="preserve">)  Calculate 2023 Net Periodic Pension Cost under ASC 715 based on these new assumptions.  </t>
    </r>
  </si>
  <si>
    <t>Market Value of Assets at December 31, 2022</t>
  </si>
  <si>
    <t>Discount rate increase at December 31, 2022</t>
  </si>
  <si>
    <t>You are given the following:</t>
  </si>
  <si>
    <r>
      <t>(</t>
    </r>
    <r>
      <rPr>
        <i/>
        <sz val="12"/>
        <color theme="1"/>
        <rFont val="Times New Roman"/>
        <family val="1"/>
      </rPr>
      <t>3 points</t>
    </r>
    <r>
      <rPr>
        <sz val="12"/>
        <color theme="1"/>
        <rFont val="Times New Roman"/>
        <family val="1"/>
      </rPr>
      <t xml:space="preserve">)  Calculate the 2023 Net Periodic Pension Cost under ASC 715 assuming no experience gains or losses.  </t>
    </r>
  </si>
  <si>
    <t xml:space="preserve">(a) </t>
  </si>
  <si>
    <t>10% corridor; amortized over average future working lifetime</t>
  </si>
  <si>
    <t>Market value</t>
  </si>
  <si>
    <t>Assume all expenses paid by company</t>
  </si>
  <si>
    <t>Service Cost Duration</t>
  </si>
  <si>
    <t>PBO Duration</t>
  </si>
  <si>
    <t>Expected Benefit Payments</t>
  </si>
  <si>
    <t>Net Periodic Pension Cost</t>
  </si>
  <si>
    <t>Amortization of Gain Loss</t>
  </si>
  <si>
    <t>Service Cost (Beginning of Year)</t>
  </si>
  <si>
    <t>Projected Benefit Obligation (PBO)</t>
  </si>
  <si>
    <t>December 31, 2021</t>
  </si>
  <si>
    <t xml:space="preserve">Information for the pension plan is provided below for year-end 2021. </t>
  </si>
  <si>
    <t xml:space="preserve">Company ABC is estimating the 2023 Net Periodic Pension Cost under U.S. Accounting Standard ASC 715 (ASC 715) for budget purposes.  </t>
  </si>
  <si>
    <t>Exam RETDAC:  Spring 2022</t>
  </si>
  <si>
    <t>Expected BP</t>
  </si>
  <si>
    <t>Expected Cont</t>
  </si>
  <si>
    <t>Total Expense</t>
  </si>
  <si>
    <t>Amortization</t>
  </si>
  <si>
    <t>IC</t>
  </si>
  <si>
    <t>SC</t>
  </si>
  <si>
    <t>Expense</t>
  </si>
  <si>
    <t>AFWL</t>
  </si>
  <si>
    <t>Net (G)/L Amortization</t>
  </si>
  <si>
    <t>Corridor</t>
  </si>
  <si>
    <t>Net (G)/L EOY</t>
  </si>
  <si>
    <t>Asset (G)/L</t>
  </si>
  <si>
    <t>Liab (G)/L</t>
  </si>
  <si>
    <t>Net (G)/L BOY</t>
  </si>
  <si>
    <t>Net (G)/L</t>
  </si>
  <si>
    <t>Assets EOY</t>
  </si>
  <si>
    <t>RETURN</t>
  </si>
  <si>
    <t>CONT</t>
  </si>
  <si>
    <t>Assets BOY</t>
  </si>
  <si>
    <t>PBO EOY</t>
  </si>
  <si>
    <t>EXPERIENCE</t>
  </si>
  <si>
    <t>PBO BOY</t>
  </si>
  <si>
    <t>SC Sens</t>
  </si>
  <si>
    <t>PBO Sens</t>
  </si>
  <si>
    <t>EROA EOY</t>
  </si>
  <si>
    <t>EROA BOY</t>
  </si>
  <si>
    <t>DR EOY</t>
  </si>
  <si>
    <t>DR BOY</t>
  </si>
  <si>
    <r>
      <t>(ii)</t>
    </r>
    <r>
      <rPr>
        <sz val="7"/>
        <color theme="1"/>
        <rFont val="Times New Roman"/>
        <family val="1"/>
      </rPr>
      <t xml:space="preserve">    </t>
    </r>
    <r>
      <rPr>
        <sz val="12"/>
        <color theme="1"/>
        <rFont val="Times New Roman"/>
        <family val="1"/>
      </rPr>
      <t>Market-related Value of Assets with unrecognized gains and losses smoothed over five years.</t>
    </r>
  </si>
  <si>
    <r>
      <t>(i)</t>
    </r>
    <r>
      <rPr>
        <sz val="7"/>
        <color theme="1"/>
        <rFont val="Times New Roman"/>
        <family val="1"/>
      </rPr>
      <t xml:space="preserve">    </t>
    </r>
    <r>
      <rPr>
        <sz val="12"/>
        <color theme="1"/>
        <rFont val="Times New Roman"/>
        <family val="1"/>
      </rPr>
      <t>Fair Value of Assets</t>
    </r>
  </si>
  <si>
    <r>
      <t>(</t>
    </r>
    <r>
      <rPr>
        <i/>
        <sz val="12"/>
        <color rgb="FF000000"/>
        <rFont val="Times New Roman"/>
        <family val="1"/>
      </rPr>
      <t>5 points</t>
    </r>
    <r>
      <rPr>
        <sz val="12"/>
        <color rgb="FF000000"/>
        <rFont val="Times New Roman"/>
        <family val="1"/>
      </rPr>
      <t xml:space="preserve">)  Calculate the 2022 Net Periodic Pension Cost under U.S. Accounting Standard ASC 715 using the following asset valuation methods:  </t>
    </r>
  </si>
  <si>
    <t>Fair Value of Assets at 1/1</t>
  </si>
  <si>
    <t>Remaining period for prior service cost amortization</t>
  </si>
  <si>
    <t>Average expected future service</t>
  </si>
  <si>
    <t>Expected contributions paid mid-year</t>
  </si>
  <si>
    <t>Expected benefit payments paid mid-year</t>
  </si>
  <si>
    <t>Unrecognized Net Actuarial (Gain)/Loss</t>
  </si>
  <si>
    <t>Unrecognized Net Transition Obligation</t>
  </si>
  <si>
    <t>Market-related Value of Assets at 1/1</t>
  </si>
  <si>
    <r>
      <t>Fair Value of Assets at 1/1</t>
    </r>
    <r>
      <rPr>
        <sz val="8"/>
        <color rgb="FF000000"/>
        <rFont val="Times New Roman"/>
        <family val="1"/>
      </rPr>
      <t> </t>
    </r>
  </si>
  <si>
    <t>Expenses paid mid-year</t>
  </si>
  <si>
    <t>Contributions paid mid-year</t>
  </si>
  <si>
    <t>Actual benefit payments paid mid-year</t>
  </si>
  <si>
    <t xml:space="preserve">Company ABC is reviewing its asset valuation method for accounting purposes for its defined benefit pension plan.  You are given the following:  
</t>
  </si>
  <si>
    <t>Exam RETDAU:  Spring 2022</t>
  </si>
  <si>
    <t>G/L Amortization'</t>
  </si>
  <si>
    <t>amorization period</t>
  </si>
  <si>
    <t>g/l subject to amorization</t>
  </si>
  <si>
    <t>10% of greater</t>
  </si>
  <si>
    <t>MRVA</t>
  </si>
  <si>
    <t>UGL subject to amortization</t>
  </si>
  <si>
    <t>Asset adj</t>
  </si>
  <si>
    <t>FVA</t>
  </si>
  <si>
    <t>UGL</t>
  </si>
  <si>
    <t>Amortization calculation</t>
  </si>
  <si>
    <t>Amotization of UGL</t>
  </si>
  <si>
    <t>Amortization of PSC</t>
  </si>
  <si>
    <t>Amortization of NTA</t>
  </si>
  <si>
    <t>Simple interest or compound interest was accepted in the calculation of NPPC</t>
  </si>
  <si>
    <t>Using MRVA</t>
  </si>
  <si>
    <t>Using FVA</t>
  </si>
  <si>
    <t>Smoothed MRVA</t>
  </si>
  <si>
    <t>Part (ii)</t>
  </si>
  <si>
    <t>Part (i)</t>
  </si>
  <si>
    <t>Asset (Gain)/Loss</t>
  </si>
  <si>
    <t xml:space="preserve">Expected Assets </t>
  </si>
  <si>
    <t>Expected Earnings on MRVA</t>
  </si>
  <si>
    <t>Asset Value at beginning of year</t>
  </si>
  <si>
    <t>Expenses during the year</t>
  </si>
  <si>
    <t>Contributions paid mid year</t>
  </si>
  <si>
    <t>Actual Benefit Payments During the Year</t>
  </si>
  <si>
    <t>Amt Unrecognized</t>
  </si>
  <si>
    <t>Percent Unrecognized</t>
  </si>
  <si>
    <t>Original (Gain)/Loss</t>
  </si>
  <si>
    <t>Smoothed value</t>
  </si>
  <si>
    <t>Provide your response in the space to the right (in Excel).</t>
  </si>
  <si>
    <t>the traditional balance sheet approach used in (a).</t>
  </si>
  <si>
    <t>Describe the advantages of using the holistic corporate balance sheet approach in (b) versus</t>
  </si>
  <si>
    <t>- Asset-to-equity ratio.</t>
  </si>
  <si>
    <t>- Long-term debt to equity ratio; and</t>
  </si>
  <si>
    <t>- Debt-to-equity ratio;</t>
  </si>
  <si>
    <t>approach:</t>
  </si>
  <si>
    <t>Calculate the following ratios for each company using a holistic corporate balance sheet</t>
  </si>
  <si>
    <t>Calculate the following ratios for each company, adjusted for the net pension obligation:</t>
  </si>
  <si>
    <t>Company B</t>
  </si>
  <si>
    <t>Company A</t>
  </si>
  <si>
    <t>Long-Term Debt</t>
  </si>
  <si>
    <t>Pension</t>
  </si>
  <si>
    <t>Company Balance Sheet</t>
  </si>
  <si>
    <t>($ thousands)</t>
  </si>
  <si>
    <t>You are given the following information about two companies:</t>
  </si>
  <si>
    <t>Answer question here.</t>
  </si>
  <si>
    <t>RETRPIRM Spring 2022</t>
  </si>
  <si>
    <t>(iii) Equivalent discount rates that would be disclosed in the ASC 715 report</t>
  </si>
  <si>
    <r>
      <t>(ii)</t>
    </r>
    <r>
      <rPr>
        <sz val="7"/>
        <color theme="1"/>
        <rFont val="Times New Roman"/>
        <family val="1"/>
      </rPr>
      <t xml:space="preserve">  </t>
    </r>
    <r>
      <rPr>
        <sz val="12"/>
        <color theme="1"/>
        <rFont val="Times New Roman"/>
        <family val="1"/>
      </rPr>
      <t>Interest Cost under ASC 715</t>
    </r>
  </si>
  <si>
    <r>
      <t>(i)</t>
    </r>
    <r>
      <rPr>
        <sz val="7"/>
        <color theme="1"/>
        <rFont val="Times New Roman"/>
        <family val="1"/>
      </rPr>
      <t xml:space="preserve">    </t>
    </r>
    <r>
      <rPr>
        <sz val="12"/>
        <color theme="1"/>
        <rFont val="Times New Roman"/>
        <family val="1"/>
      </rPr>
      <t>Projected Benefit Obligation under ASC 715</t>
    </r>
  </si>
  <si>
    <r>
      <rPr>
        <sz val="7"/>
        <color theme="1"/>
        <rFont val="Times New Roman"/>
        <family val="1"/>
      </rPr>
      <t>(</t>
    </r>
    <r>
      <rPr>
        <i/>
        <sz val="12"/>
        <color theme="1"/>
        <rFont val="Times New Roman"/>
        <family val="1"/>
      </rPr>
      <t>6 points</t>
    </r>
    <r>
      <rPr>
        <sz val="12"/>
        <color theme="1"/>
        <rFont val="Times New Roman"/>
        <family val="1"/>
      </rPr>
      <t>) Calculate the following using both the Traditional and Spot Rate Approaches:</t>
    </r>
  </si>
  <si>
    <r>
      <rPr>
        <i/>
        <sz val="12"/>
        <color theme="1"/>
        <rFont val="Times New Roman"/>
        <family val="1"/>
      </rPr>
      <t xml:space="preserve">(6 points) </t>
    </r>
    <r>
      <rPr>
        <sz val="12"/>
        <color theme="1"/>
        <rFont val="Times New Roman"/>
        <family val="1"/>
      </rPr>
      <t>Calculate the following using both the Traditional and Spot Rate Approaches:</t>
    </r>
  </si>
  <si>
    <t>Spot Rate</t>
  </si>
  <si>
    <t>Cash Flow</t>
  </si>
  <si>
    <t>You are given the following cash flows. All cash flows are paid at the end of the year.</t>
  </si>
  <si>
    <t>Traditional: effective discount rate for interest cost</t>
  </si>
  <si>
    <t>Spot Rate: effective discount rate for interest cost</t>
  </si>
  <si>
    <t>use goal seek to deterrmine what interest rate will make value in cell M37 = value in cell M36</t>
  </si>
  <si>
    <t>Traditional: effective discount rate for PBO</t>
  </si>
  <si>
    <t>Spot Rate: effective discount rate for PBO</t>
  </si>
  <si>
    <t>(iii) Equivalent discount rates</t>
  </si>
  <si>
    <t>Traditional IC</t>
  </si>
  <si>
    <t>Spot Rate IC</t>
  </si>
  <si>
    <t>(ii)  Interest Cost under ASC 715</t>
  </si>
  <si>
    <t>Traditional PBO</t>
  </si>
  <si>
    <t>Spot Rate PBO</t>
  </si>
  <si>
    <t>(i)    Projected Benefit Obligation under ASC 715</t>
  </si>
  <si>
    <r>
      <t>(</t>
    </r>
    <r>
      <rPr>
        <i/>
        <sz val="12"/>
        <color rgb="FF000000"/>
        <rFont val="Times New Roman"/>
        <family val="1"/>
      </rPr>
      <t xml:space="preserve">3 points)  </t>
    </r>
    <r>
      <rPr>
        <sz val="12"/>
        <color rgb="FF000000"/>
        <rFont val="Times New Roman"/>
        <family val="1"/>
      </rPr>
      <t>Calculate the revised 2023 Defined Benefit Cost under IAS 19 reflecting the annuity buy-out.</t>
    </r>
  </si>
  <si>
    <t>There are no other gains or losses as of March 31, 2023.</t>
  </si>
  <si>
    <t>Expected 2023 Contributions</t>
  </si>
  <si>
    <t>Service Cost (annualized)</t>
  </si>
  <si>
    <t xml:space="preserve">Retiree Annuity Purchase Premium </t>
  </si>
  <si>
    <t>Retiree Only Defined Benefit Obligation</t>
  </si>
  <si>
    <t>Fair Value of Assets prior to annuity buy-out</t>
  </si>
  <si>
    <t>Defined  Benefit Obligation prior to annuity buy-out</t>
  </si>
  <si>
    <t>March 31, 2023</t>
  </si>
  <si>
    <t>Effective March 31, 2023, Company ABC purchases an annuity buy-out for the retirees in the merged plan.</t>
  </si>
  <si>
    <r>
      <rPr>
        <i/>
        <sz val="12"/>
        <color theme="1"/>
        <rFont val="Times New Roman"/>
        <family val="1"/>
      </rPr>
      <t xml:space="preserve"> (2 points)  </t>
    </r>
    <r>
      <rPr>
        <sz val="12"/>
        <color theme="1"/>
        <rFont val="Times New Roman"/>
        <family val="1"/>
      </rPr>
      <t>Calculate the 2023 Defined Benefit Cost under International Accounting Standard IAS 19, Rev. 2011 (IAS 19) for the merged plan.</t>
    </r>
  </si>
  <si>
    <t>Timing of Contributions</t>
  </si>
  <si>
    <t>Timing of Benefit Payments</t>
  </si>
  <si>
    <t>Expected 2023 Contributions, to be paid mid-year</t>
  </si>
  <si>
    <t>Expected 2023 Benefit Payments</t>
  </si>
  <si>
    <t>Fair Value of Assets</t>
  </si>
  <si>
    <t>Defined Benefit Obligation</t>
  </si>
  <si>
    <t>January 1, 2023 Information</t>
  </si>
  <si>
    <t>Salaried Pension Plan</t>
  </si>
  <si>
    <t>Hourly Pension Plan</t>
  </si>
  <si>
    <r>
      <rPr>
        <i/>
        <sz val="12"/>
        <color theme="1"/>
        <rFont val="Times New Roman"/>
        <family val="1"/>
      </rPr>
      <t xml:space="preserve"> (</t>
    </r>
    <r>
      <rPr>
        <sz val="12"/>
        <color theme="1"/>
        <rFont val="Times New Roman"/>
        <family val="1"/>
      </rPr>
      <t>2 points</t>
    </r>
    <r>
      <rPr>
        <i/>
        <sz val="12"/>
        <color theme="1"/>
        <rFont val="Times New Roman"/>
        <family val="1"/>
      </rPr>
      <t xml:space="preserve">) </t>
    </r>
    <r>
      <rPr>
        <sz val="12"/>
        <color theme="1"/>
        <rFont val="Times New Roman"/>
        <family val="1"/>
      </rPr>
      <t xml:space="preserve"> Calculate the 2023 Defined Benefit Cost under International Accounting Standard IAS 19, Rev. 2011 (IAS 19) for the merged plan.</t>
    </r>
  </si>
  <si>
    <t xml:space="preserve">The Hourly Pension Plan and Salaried Pension Plan are legally merged effective December 31, 2022. </t>
  </si>
  <si>
    <t>Exam RETDAC:  Fall 2022</t>
  </si>
  <si>
    <t>Total Benefit Cost</t>
  </si>
  <si>
    <t>Settlement</t>
  </si>
  <si>
    <t>Current service Cost</t>
  </si>
  <si>
    <t>1/1/23 - 12/31/23</t>
  </si>
  <si>
    <t>4/1/23 - 12/31/23</t>
  </si>
  <si>
    <t>1/1/23 - 3/31/23</t>
  </si>
  <si>
    <t xml:space="preserve">FY2023 Benefit Cost </t>
  </si>
  <si>
    <t>FY2023 Benefit Cost</t>
  </si>
  <si>
    <t>Combined</t>
  </si>
  <si>
    <t>Settlement charge</t>
  </si>
  <si>
    <t>Merged Plan</t>
  </si>
  <si>
    <r>
      <t>(</t>
    </r>
    <r>
      <rPr>
        <i/>
        <sz val="12"/>
        <color rgb="FF000000"/>
        <rFont val="Times New Roman"/>
        <family val="1"/>
      </rPr>
      <t xml:space="preserve">3 points)  </t>
    </r>
    <r>
      <rPr>
        <sz val="12"/>
        <color rgb="FF000000"/>
        <rFont val="Times New Roman"/>
        <family val="1"/>
      </rPr>
      <t>Calculate the settlement charge/(credit) under ASC 715 due to the retiree annuity buy-out as of March 31, 2023.</t>
    </r>
  </si>
  <si>
    <t>Retiree Annuity Purchase Premium</t>
  </si>
  <si>
    <t>Retiree Only Projected Benefit Obligation</t>
  </si>
  <si>
    <t>Projected Benefit Obligation prior to annuity buy-out</t>
  </si>
  <si>
    <t xml:space="preserve">Effective March 31, 2023, Company ABC purchases an annuity buy-out for the retirees in the merged plan. </t>
  </si>
  <si>
    <r>
      <t>(</t>
    </r>
    <r>
      <rPr>
        <i/>
        <sz val="12"/>
        <color theme="1"/>
        <rFont val="Times New Roman"/>
        <family val="1"/>
      </rPr>
      <t>5 points</t>
    </r>
    <r>
      <rPr>
        <sz val="12"/>
        <color theme="1"/>
        <rFont val="Times New Roman"/>
        <family val="1"/>
      </rPr>
      <t xml:space="preserve">)  Calculate the 2023 Net Periodic Pension Cost under U.S. Accounting Standard ASC 715 (ASC 715) for the merged plan.  </t>
    </r>
  </si>
  <si>
    <t>Fair Value</t>
  </si>
  <si>
    <t>Market-related value of assets method</t>
  </si>
  <si>
    <t xml:space="preserve">Discount Rate at 1/1/2023 </t>
  </si>
  <si>
    <t>Discount Rate at 1/1/2022</t>
  </si>
  <si>
    <t>Expected Contributions</t>
  </si>
  <si>
    <t>Average future working lifetime</t>
  </si>
  <si>
    <t>January 1, 2023 Funded Status</t>
  </si>
  <si>
    <t xml:space="preserve">Prior Service Cost Amortization </t>
  </si>
  <si>
    <t xml:space="preserve">January 1, 2022 Information </t>
  </si>
  <si>
    <r>
      <t>(</t>
    </r>
    <r>
      <rPr>
        <i/>
        <sz val="12"/>
        <color rgb="FF000000"/>
        <rFont val="Times New Roman"/>
        <family val="1"/>
      </rPr>
      <t>3 points</t>
    </r>
    <r>
      <rPr>
        <sz val="12"/>
        <color rgb="FF000000"/>
        <rFont val="Times New Roman"/>
        <family val="1"/>
      </rPr>
      <t>)  Calculate the settlement charge/(credit) under ASC 715 due to the retiree annuity buy-out as of March 31, 2023.</t>
    </r>
  </si>
  <si>
    <r>
      <t xml:space="preserve">(5 points)  </t>
    </r>
    <r>
      <rPr>
        <sz val="12"/>
        <color theme="1"/>
        <rFont val="Times New Roman"/>
        <family val="1"/>
      </rPr>
      <t xml:space="preserve">Calculate the 2023 Net Periodic Pension Cost under U.S. Accounting Standard ASC 715 (ASC 715) for the merged plan.  </t>
    </r>
  </si>
  <si>
    <t>The following information is available:</t>
  </si>
  <si>
    <t>(Gain)/Loss</t>
  </si>
  <si>
    <t xml:space="preserve">Amortizations: </t>
  </si>
  <si>
    <t xml:space="preserve">Prior Service Cost </t>
  </si>
  <si>
    <t>FY2022 Net Periodic Pension Cost</t>
  </si>
  <si>
    <t>PBO at 3/31 - post-settlement</t>
  </si>
  <si>
    <t>PBO for settlement calculation</t>
  </si>
  <si>
    <t>Adjustment for settlement</t>
  </si>
  <si>
    <t>Salaried</t>
  </si>
  <si>
    <t>PBO at 3/31 - pre-settlement</t>
  </si>
  <si>
    <t>Gain/Loss for settlement</t>
  </si>
  <si>
    <t>Adjustment due to settlement</t>
  </si>
  <si>
    <t>Unrecognized (Gain)/Loss at 3/31</t>
  </si>
  <si>
    <t>Settlement charge/ (credit)</t>
  </si>
  <si>
    <t>% Settled</t>
  </si>
  <si>
    <t>Post-Settlement</t>
  </si>
  <si>
    <t>Impact of Settlement</t>
  </si>
  <si>
    <t>Pre-Settlement</t>
  </si>
  <si>
    <t>Adj.</t>
  </si>
  <si>
    <t>Amount settled</t>
  </si>
  <si>
    <t>Settlement Threshold</t>
  </si>
  <si>
    <t>Debt to equity ratio</t>
  </si>
  <si>
    <t>Change in equity capital</t>
  </si>
  <si>
    <t>Change in pension asset beta</t>
  </si>
  <si>
    <t>Pension asset beta</t>
  </si>
  <si>
    <t>Debt</t>
  </si>
  <si>
    <t>Equity beta</t>
  </si>
  <si>
    <t>Pension asset</t>
  </si>
  <si>
    <t>Equity allocation in pension assets</t>
  </si>
  <si>
    <t>Link final results below and show all work including formulas in the workspace provided to the right (in Excel).</t>
  </si>
  <si>
    <t>30%, 15% or 0%, by filling out the table below:</t>
  </si>
  <si>
    <t xml:space="preserve">Calculate the change in equity capital and debt-to-equity ratio for Company XYZ if the pension plan's equity allocation were changed to </t>
  </si>
  <si>
    <t>million</t>
  </si>
  <si>
    <r>
      <t>·</t>
    </r>
    <r>
      <rPr>
        <sz val="7"/>
        <color rgb="FF002060"/>
        <rFont val="Times New Roman"/>
        <family val="1"/>
      </rPr>
      <t xml:space="preserve">       </t>
    </r>
    <r>
      <rPr>
        <sz val="11"/>
        <color rgb="FF002060"/>
        <rFont val="Times New Roman"/>
        <family val="1"/>
      </rPr>
      <t>Debt:</t>
    </r>
  </si>
  <si>
    <r>
      <t>·</t>
    </r>
    <r>
      <rPr>
        <sz val="7"/>
        <color rgb="FF002060"/>
        <rFont val="Times New Roman"/>
        <family val="1"/>
      </rPr>
      <t xml:space="preserve">       </t>
    </r>
    <r>
      <rPr>
        <sz val="11"/>
        <color rgb="FF002060"/>
        <rFont val="Times New Roman"/>
        <family val="1"/>
      </rPr>
      <t>Equity beta:</t>
    </r>
  </si>
  <si>
    <r>
      <t>·</t>
    </r>
    <r>
      <rPr>
        <sz val="7"/>
        <color rgb="FF002060"/>
        <rFont val="Times New Roman"/>
        <family val="1"/>
      </rPr>
      <t xml:space="preserve">       </t>
    </r>
    <r>
      <rPr>
        <sz val="11"/>
        <color rgb="FF002060"/>
        <rFont val="Times New Roman"/>
        <family val="1"/>
      </rPr>
      <t>Pension assset:</t>
    </r>
  </si>
  <si>
    <r>
      <t>·</t>
    </r>
    <r>
      <rPr>
        <sz val="7"/>
        <color rgb="FF002060"/>
        <rFont val="Times New Roman"/>
        <family val="1"/>
      </rPr>
      <t xml:space="preserve">       </t>
    </r>
    <r>
      <rPr>
        <sz val="11"/>
        <color rgb="FF002060"/>
        <rFont val="Times New Roman"/>
        <family val="1"/>
      </rPr>
      <t>Operating asset:</t>
    </r>
  </si>
  <si>
    <r>
      <t>·</t>
    </r>
    <r>
      <rPr>
        <sz val="7"/>
        <color rgb="FF002060"/>
        <rFont val="Times New Roman"/>
        <family val="1"/>
      </rPr>
      <t xml:space="preserve">       </t>
    </r>
    <r>
      <rPr>
        <sz val="11"/>
        <color rgb="FF002060"/>
        <rFont val="Times New Roman"/>
        <family val="1"/>
      </rPr>
      <t>Pension liability:</t>
    </r>
  </si>
  <si>
    <r>
      <t>·</t>
    </r>
    <r>
      <rPr>
        <sz val="7"/>
        <color rgb="FF002060"/>
        <rFont val="Times New Roman"/>
        <family val="1"/>
      </rPr>
      <t xml:space="preserve">       </t>
    </r>
    <r>
      <rPr>
        <sz val="11"/>
        <color rgb="FF002060"/>
        <rFont val="Times New Roman"/>
        <family val="1"/>
      </rPr>
      <t>Current equity allocation:</t>
    </r>
  </si>
  <si>
    <t>The following is given for Company XYZ:</t>
  </si>
  <si>
    <t>Answer the question in the space to the right.</t>
  </si>
  <si>
    <t>Justify your recommendation.</t>
  </si>
  <si>
    <t>Company MNO.</t>
  </si>
  <si>
    <t>Recommend the acquisition of either Company B or Company E, taking into account the risk involved for</t>
  </si>
  <si>
    <t>Company E</t>
  </si>
  <si>
    <t>Company D</t>
  </si>
  <si>
    <t>Company C</t>
  </si>
  <si>
    <t>Asset to equity ratio</t>
  </si>
  <si>
    <t>Long term debt to equity ratio</t>
  </si>
  <si>
    <t>Adjusted long term debt</t>
  </si>
  <si>
    <t>Adjusted total liabilties</t>
  </si>
  <si>
    <t>Adjusted total asset</t>
  </si>
  <si>
    <t>Adjusted pension deficit</t>
  </si>
  <si>
    <t>Adjust pension liabilities</t>
  </si>
  <si>
    <t>Adjusted pension asset</t>
  </si>
  <si>
    <t>Pension deficit</t>
  </si>
  <si>
    <t>Long-term debt</t>
  </si>
  <si>
    <t xml:space="preserve">Equity </t>
  </si>
  <si>
    <t>Total Liability</t>
  </si>
  <si>
    <t>Total Asset</t>
  </si>
  <si>
    <t>($ millions)</t>
  </si>
  <si>
    <t>by filling out the table below.</t>
  </si>
  <si>
    <t>Calculate the debt to equity ratios, long-term debt to equity ratios and asset to equity ratios for each Company</t>
  </si>
  <si>
    <t xml:space="preserve">                  80% of the interest rate risk.</t>
  </si>
  <si>
    <r>
      <t>·</t>
    </r>
    <r>
      <rPr>
        <sz val="7"/>
        <color rgb="FF002060"/>
        <rFont val="Times New Roman"/>
        <family val="1"/>
      </rPr>
      <t xml:space="preserve">       </t>
    </r>
    <r>
      <rPr>
        <sz val="11"/>
        <color rgb="FF002060"/>
        <rFont val="Times New Roman"/>
        <family val="1"/>
      </rPr>
      <t>Company D utilizes a dynamic asset liability matching strategy to hedge its pension liability on a PBO basis with a strategy that hedges out</t>
    </r>
  </si>
  <si>
    <r>
      <t>·</t>
    </r>
    <r>
      <rPr>
        <sz val="7"/>
        <color rgb="FF002060"/>
        <rFont val="Times New Roman"/>
        <family val="1"/>
      </rPr>
      <t xml:space="preserve">       </t>
    </r>
    <r>
      <rPr>
        <sz val="11"/>
        <color rgb="FF002060"/>
        <rFont val="Times New Roman"/>
        <family val="1"/>
      </rPr>
      <t>Company B has announced a pension buy out deal, priced in accordance with the buy-out index pricing, that will conclude before the potential acquisition.</t>
    </r>
  </si>
  <si>
    <r>
      <t>·</t>
    </r>
    <r>
      <rPr>
        <sz val="7"/>
        <color rgb="FF002060"/>
        <rFont val="Times New Roman"/>
        <family val="1"/>
      </rPr>
      <t xml:space="preserve">       </t>
    </r>
    <r>
      <rPr>
        <sz val="11"/>
        <color rgb="FF002060"/>
        <rFont val="Times New Roman"/>
        <family val="1"/>
      </rPr>
      <t>The US pension buy out index shows that the pension buyout liability is 110% of PBO.</t>
    </r>
  </si>
  <si>
    <t>You have been hired by Company MNO to evaluate companies for a potential acquisition.</t>
  </si>
  <si>
    <t>Recommend an approach to consolidating pension positions into a balance sheet analysis that is appropriate on an economic basis.</t>
  </si>
  <si>
    <t>RETRPIRM Fall 2022</t>
  </si>
  <si>
    <t xml:space="preserve">Show all work.  </t>
  </si>
  <si>
    <r>
      <t>(ii)</t>
    </r>
    <r>
      <rPr>
        <sz val="7"/>
        <color theme="1"/>
        <rFont val="Times New Roman"/>
        <family val="1"/>
      </rPr>
      <t xml:space="preserve">           </t>
    </r>
    <r>
      <rPr>
        <sz val="12"/>
        <color theme="1"/>
        <rFont val="Times New Roman"/>
        <family val="1"/>
      </rPr>
      <t>2023 Other Comprehensive Income</t>
    </r>
  </si>
  <si>
    <r>
      <t>(i)</t>
    </r>
    <r>
      <rPr>
        <sz val="7"/>
        <color theme="1"/>
        <rFont val="Times New Roman"/>
        <family val="1"/>
      </rPr>
      <t xml:space="preserve">             </t>
    </r>
    <r>
      <rPr>
        <sz val="12"/>
        <color theme="1"/>
        <rFont val="Times New Roman"/>
        <family val="1"/>
      </rPr>
      <t>2023 Net Periodic Pension Cost</t>
    </r>
  </si>
  <si>
    <t>(4 points)  Calculate the following values under ASC 715 reflecting the annuity buy-out</t>
  </si>
  <si>
    <t>All other data and assumptions remain the same as January 1, 2023.</t>
  </si>
  <si>
    <t xml:space="preserve">No participants are expected to decrement during 2023. </t>
  </si>
  <si>
    <t>Annuity Purchase Price</t>
  </si>
  <si>
    <t>Retiree PBO</t>
  </si>
  <si>
    <t>Non-Retiree PBO</t>
  </si>
  <si>
    <t>Duration</t>
  </si>
  <si>
    <t xml:space="preserve">You are given the following as of July 1, 2023:  </t>
  </si>
  <si>
    <t xml:space="preserve">Company ABC purchases buy-out annuities for all retirees.  </t>
  </si>
  <si>
    <t xml:space="preserve">               under U.S. Accounting Standard ASC 715 (ASC 715).</t>
  </si>
  <si>
    <r>
      <t>(a)</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Calculate the 2023 Net Periodic Pension Cost </t>
    </r>
  </si>
  <si>
    <t xml:space="preserve">Assume benefit payments and contributions are uniformly distributed.  </t>
  </si>
  <si>
    <t xml:space="preserve">Gains and losses are recognized immediately in the period in which they arise. </t>
  </si>
  <si>
    <t>2023 Expected Contributions</t>
  </si>
  <si>
    <t>2023 Expected Benefit Payments</t>
  </si>
  <si>
    <t>Retiree</t>
  </si>
  <si>
    <t>Non-Retiree</t>
  </si>
  <si>
    <t>Projected Benefit Obligation (PBO):</t>
  </si>
  <si>
    <r>
      <rPr>
        <i/>
        <sz val="12"/>
        <color theme="1"/>
        <rFont val="Times New Roman"/>
        <family val="1"/>
      </rPr>
      <t>(2 points</t>
    </r>
    <r>
      <rPr>
        <sz val="12"/>
        <color theme="1"/>
        <rFont val="Times New Roman"/>
        <family val="1"/>
      </rPr>
      <t>)  Calculate the 2023 Net Periodic Pension Cost under U.S. Accounting Standard ASC 715 (ASC 715).</t>
    </r>
  </si>
  <si>
    <t xml:space="preserve">You are provided the following as of January 1, 2023:  </t>
  </si>
  <si>
    <t xml:space="preserve">Company ABC sponsors a defined benefit pension plan.  </t>
  </si>
  <si>
    <t>Exam RETDAC: Spring 2023</t>
  </si>
  <si>
    <t>No impact given gains and losses are recognized immediately in the period in which they arise.</t>
  </si>
  <si>
    <t>Jul 1 - Dec 31, 2023 Expense</t>
  </si>
  <si>
    <t>Settlement (gain)/loss recognized</t>
  </si>
  <si>
    <t>Amortization of net (gain)/loss</t>
  </si>
  <si>
    <t>Jan 1 - Jun 30, 2023 Expense</t>
  </si>
  <si>
    <t>Expected return on plan assets</t>
  </si>
  <si>
    <t>Expense for Jul 1 - Dec 31, 2023</t>
  </si>
  <si>
    <t>SC at Jul 1, 2023 (DR = 3.00%)</t>
  </si>
  <si>
    <t>SC at Jul 1, 2023 (DR = 3.30%)</t>
  </si>
  <si>
    <t>SC at Jan 1, 2023 (DR = 3.30%)</t>
  </si>
  <si>
    <t>Determine expense reflecting buy-out</t>
  </si>
  <si>
    <t>MVA at Jul 1, 2023</t>
  </si>
  <si>
    <t>Settlement payments</t>
  </si>
  <si>
    <t>Additional Return on assets</t>
  </si>
  <si>
    <t>MVA at Jan 1, 2023</t>
  </si>
  <si>
    <t>PBO at Jul 1, 2023</t>
  </si>
  <si>
    <t>(Gain)/Loss on settlements</t>
  </si>
  <si>
    <t>PBO at Jul 1, 2023 (DR = 3.00%)</t>
  </si>
  <si>
    <t>DR change</t>
  </si>
  <si>
    <t>PBO at Jul 1, 2023 (DR = 3.30%)</t>
  </si>
  <si>
    <t>PBO at Jan 1, 2023 (DR = 3.30%)</t>
  </si>
  <si>
    <t>Change in PBO/MVA</t>
  </si>
  <si>
    <t>Expense for Jan 1 - Dec 31, 2023</t>
  </si>
  <si>
    <t xml:space="preserve">             under International Accounting Standard IAS 19, Rev. 2011 (IAS 19).</t>
  </si>
  <si>
    <r>
      <t xml:space="preserve">(b)        </t>
    </r>
    <r>
      <rPr>
        <i/>
        <sz val="12"/>
        <color theme="1"/>
        <rFont val="Times New Roman"/>
        <family val="1"/>
      </rPr>
      <t>(2 points)</t>
    </r>
    <r>
      <rPr>
        <sz val="12"/>
        <color theme="1"/>
        <rFont val="Times New Roman"/>
        <family val="1"/>
      </rPr>
      <t xml:space="preserve">  Determine the settlement credit/(cost) of the annuity buy-out</t>
    </r>
  </si>
  <si>
    <t>DBO Discount Rate</t>
  </si>
  <si>
    <t>Annuity Premium</t>
  </si>
  <si>
    <t>at December 31, 2022:</t>
  </si>
  <si>
    <t>of its pension liability at December 31, 2022. You are provided the following</t>
  </si>
  <si>
    <t>Company ABC is considering an annuity buy-out of the retiree portion</t>
  </si>
  <si>
    <t xml:space="preserve">              (ii)          Convexity</t>
  </si>
  <si>
    <t xml:space="preserve">              (i)          Effective Duration</t>
  </si>
  <si>
    <r>
      <t xml:space="preserve">(a)         </t>
    </r>
    <r>
      <rPr>
        <i/>
        <sz val="12"/>
        <color theme="1"/>
        <rFont val="Times New Roman"/>
        <family val="1"/>
      </rPr>
      <t>(2 points)</t>
    </r>
    <r>
      <rPr>
        <sz val="12"/>
        <color theme="1"/>
        <rFont val="Times New Roman"/>
        <family val="1"/>
      </rPr>
      <t xml:space="preserve">  Calculate the following for the retiree DBO:</t>
    </r>
  </si>
  <si>
    <t>DBO at 5%</t>
  </si>
  <si>
    <t>DBO at 4%</t>
  </si>
  <si>
    <t>DBO at 3%</t>
  </si>
  <si>
    <t>(ii) Convexity</t>
  </si>
  <si>
    <t>December 31, 2022</t>
  </si>
  <si>
    <t>Retiree Defined Benefit Obligation (DBO)</t>
  </si>
  <si>
    <t>(i)  Effective Duration</t>
  </si>
  <si>
    <t>You are provided the following:</t>
  </si>
  <si>
    <t>under International Accounting Standard IAS 19, Rev. 2011 (IAS 19).</t>
  </si>
  <si>
    <r>
      <rPr>
        <i/>
        <sz val="12"/>
        <color theme="1"/>
        <rFont val="Times New Roman"/>
        <family val="1"/>
      </rPr>
      <t>(2 points)</t>
    </r>
    <r>
      <rPr>
        <sz val="12"/>
        <color theme="1"/>
        <rFont val="Times New Roman"/>
        <family val="1"/>
      </rPr>
      <t xml:space="preserve"> Determine the settlement credit/(cost) of the annuity buy-out</t>
    </r>
  </si>
  <si>
    <r>
      <t xml:space="preserve"> </t>
    </r>
    <r>
      <rPr>
        <i/>
        <sz val="12"/>
        <color theme="1"/>
        <rFont val="Times New Roman"/>
        <family val="1"/>
      </rPr>
      <t>(2 points)</t>
    </r>
    <r>
      <rPr>
        <sz val="12"/>
        <color theme="1"/>
        <rFont val="Times New Roman"/>
        <family val="1"/>
      </rPr>
      <t xml:space="preserve"> Calculate the following for the retiree DBO:</t>
    </r>
  </si>
  <si>
    <t>Company ABC wishes to de-risk the retiree portion of its pension liability.</t>
  </si>
  <si>
    <t>Answer</t>
  </si>
  <si>
    <r>
      <t>=2*1,000,000*[(5%-3%)/2]</t>
    </r>
    <r>
      <rPr>
        <vertAlign val="superscript"/>
        <sz val="12"/>
        <rFont val="Times New Roman"/>
        <family val="1"/>
      </rPr>
      <t>2</t>
    </r>
  </si>
  <si>
    <t>Denominator</t>
  </si>
  <si>
    <t>=$1,110,000 + $910,000 - 2 ($1,000,000)</t>
  </si>
  <si>
    <t>Numerator</t>
  </si>
  <si>
    <r>
      <t>Coxvexity = (Liability</t>
    </r>
    <r>
      <rPr>
        <vertAlign val="subscript"/>
        <sz val="12"/>
        <color theme="1"/>
        <rFont val="Times New Roman"/>
        <family val="1"/>
      </rPr>
      <t>3%</t>
    </r>
    <r>
      <rPr>
        <sz val="12"/>
        <color theme="1"/>
        <rFont val="Times New Roman"/>
        <family val="1"/>
      </rPr>
      <t xml:space="preserve"> + Liability</t>
    </r>
    <r>
      <rPr>
        <vertAlign val="subscript"/>
        <sz val="12"/>
        <color theme="1"/>
        <rFont val="Times New Roman"/>
        <family val="1"/>
      </rPr>
      <t xml:space="preserve">5% </t>
    </r>
    <r>
      <rPr>
        <sz val="12"/>
        <color theme="1"/>
        <rFont val="Times New Roman"/>
        <family val="1"/>
      </rPr>
      <t>- 2 * Liability</t>
    </r>
    <r>
      <rPr>
        <vertAlign val="subscript"/>
        <sz val="12"/>
        <color theme="1"/>
        <rFont val="Times New Roman"/>
        <family val="1"/>
      </rPr>
      <t>4%</t>
    </r>
    <r>
      <rPr>
        <sz val="12"/>
        <color theme="1"/>
        <rFont val="Times New Roman"/>
        <family val="1"/>
      </rPr>
      <t>)/[2 * Liability</t>
    </r>
    <r>
      <rPr>
        <vertAlign val="subscript"/>
        <sz val="12"/>
        <color theme="1"/>
        <rFont val="Times New Roman"/>
        <family val="1"/>
      </rPr>
      <t>4%</t>
    </r>
    <r>
      <rPr>
        <sz val="12"/>
        <color theme="1"/>
        <rFont val="Times New Roman"/>
        <family val="1"/>
      </rPr>
      <t xml:space="preserve"> * ((5% - 3%)/2)</t>
    </r>
    <r>
      <rPr>
        <vertAlign val="superscript"/>
        <sz val="12"/>
        <color theme="1"/>
        <rFont val="Times New Roman"/>
        <family val="1"/>
      </rPr>
      <t>2</t>
    </r>
    <r>
      <rPr>
        <sz val="12"/>
        <color theme="1"/>
        <rFont val="Times New Roman"/>
        <family val="1"/>
      </rPr>
      <t>]</t>
    </r>
  </si>
  <si>
    <t>= 936,115 - 990,000</t>
  </si>
  <si>
    <t>Settlement Credit/(Cost)</t>
  </si>
  <si>
    <t>Convexity</t>
  </si>
  <si>
    <t>ii)</t>
  </si>
  <si>
    <r>
      <t>=DBO</t>
    </r>
    <r>
      <rPr>
        <vertAlign val="subscript"/>
        <sz val="12"/>
        <color theme="1"/>
        <rFont val="Times New Roman"/>
        <family val="1"/>
      </rPr>
      <t>4%</t>
    </r>
    <r>
      <rPr>
        <sz val="12"/>
        <color theme="1"/>
        <rFont val="Times New Roman"/>
        <family val="1"/>
      </rPr>
      <t xml:space="preserve"> * [(1-9/100)^</t>
    </r>
    <r>
      <rPr>
        <vertAlign val="superscript"/>
        <sz val="12"/>
        <color theme="1"/>
        <rFont val="Times New Roman"/>
        <family val="1"/>
      </rPr>
      <t>.7</t>
    </r>
    <r>
      <rPr>
        <sz val="12"/>
        <color theme="1"/>
        <rFont val="Times New Roman"/>
        <family val="1"/>
      </rPr>
      <t>)</t>
    </r>
  </si>
  <si>
    <t>New Pensioner DBO at 4.70%</t>
  </si>
  <si>
    <t>=2*1,000,000*((5%-3%)/2)</t>
  </si>
  <si>
    <t>=$1,110,000 - $910,000</t>
  </si>
  <si>
    <t>=5%-4%</t>
  </si>
  <si>
    <r>
      <t>1 - (DBO</t>
    </r>
    <r>
      <rPr>
        <vertAlign val="subscript"/>
        <sz val="12"/>
        <color theme="1"/>
        <rFont val="Times New Roman"/>
        <family val="1"/>
      </rPr>
      <t>5%</t>
    </r>
    <r>
      <rPr>
        <sz val="12"/>
        <color theme="1"/>
        <rFont val="Times New Roman"/>
        <family val="1"/>
      </rPr>
      <t>/DBO</t>
    </r>
    <r>
      <rPr>
        <vertAlign val="subscript"/>
        <sz val="12"/>
        <color theme="1"/>
        <rFont val="Times New Roman"/>
        <family val="1"/>
      </rPr>
      <t>4%</t>
    </r>
    <r>
      <rPr>
        <sz val="12"/>
        <color theme="1"/>
        <rFont val="Times New Roman"/>
        <family val="1"/>
      </rPr>
      <t>)</t>
    </r>
  </si>
  <si>
    <r>
      <t>Effective Duration = (Liability</t>
    </r>
    <r>
      <rPr>
        <vertAlign val="subscript"/>
        <sz val="12"/>
        <color theme="1"/>
        <rFont val="Times New Roman"/>
        <family val="1"/>
      </rPr>
      <t>3%</t>
    </r>
    <r>
      <rPr>
        <sz val="12"/>
        <color theme="1"/>
        <rFont val="Times New Roman"/>
        <family val="1"/>
      </rPr>
      <t xml:space="preserve"> - Liability</t>
    </r>
    <r>
      <rPr>
        <vertAlign val="subscript"/>
        <sz val="12"/>
        <color theme="1"/>
        <rFont val="Times New Roman"/>
        <family val="1"/>
      </rPr>
      <t>5%</t>
    </r>
    <r>
      <rPr>
        <sz val="12"/>
        <color theme="1"/>
        <rFont val="Times New Roman"/>
        <family val="1"/>
      </rPr>
      <t>)/(2 * Liability</t>
    </r>
    <r>
      <rPr>
        <vertAlign val="subscript"/>
        <sz val="12"/>
        <color theme="1"/>
        <rFont val="Times New Roman"/>
        <family val="1"/>
      </rPr>
      <t>4%</t>
    </r>
    <r>
      <rPr>
        <sz val="12"/>
        <color theme="1"/>
        <rFont val="Times New Roman"/>
        <family val="1"/>
      </rPr>
      <t xml:space="preserve"> * (5% - 3%)/2)</t>
    </r>
  </si>
  <si>
    <t>Duration for Rate increase</t>
  </si>
  <si>
    <t>Effective Duration</t>
  </si>
  <si>
    <t>i)</t>
  </si>
  <si>
    <t xml:space="preserve">Net Curtailment Gain </t>
  </si>
  <si>
    <t>Curtailment Gain</t>
  </si>
  <si>
    <t>AOCI at Jul 1, 2023</t>
  </si>
  <si>
    <t>Gain on assets</t>
  </si>
  <si>
    <t>Amortization in 1st half of 2023</t>
  </si>
  <si>
    <t xml:space="preserve">AOCI Dec. 31, 2022 </t>
  </si>
  <si>
    <t>AOCI:</t>
  </si>
  <si>
    <t>Amortization in 2023</t>
  </si>
  <si>
    <t>GL outside corridor</t>
  </si>
  <si>
    <t>10% corridor 2023</t>
  </si>
  <si>
    <t>Unamort at Dec. 31, 2022</t>
  </si>
  <si>
    <t>(gain)/loss amortization in 2023:</t>
  </si>
  <si>
    <t>AOCI Dec. 31, 2023</t>
  </si>
  <si>
    <t>Gain/(Loss) on assets in 2023</t>
  </si>
  <si>
    <t>Gain on PBO</t>
  </si>
  <si>
    <t>FVA Jul 1, 2023 (actual)</t>
  </si>
  <si>
    <t>FVA Jul 1, 2023 (expected)</t>
  </si>
  <si>
    <t>FVA Dec. 31, 2022</t>
  </si>
  <si>
    <t>FVA Dec. 31, 2023 (actual)</t>
  </si>
  <si>
    <t>2023 Asset Roll Forward</t>
  </si>
  <si>
    <t>FVA Dec. 31, 2023 (expected)</t>
  </si>
  <si>
    <t>PBO Jul 1, 2023 after freeze</t>
  </si>
  <si>
    <t>Curtailment gain</t>
  </si>
  <si>
    <t>PBO Jul 1, 2023 @ 2.5%</t>
  </si>
  <si>
    <t>PBO Dec. 31, 2023 @ 3.0%</t>
  </si>
  <si>
    <t>PBO Dec. 31, 2023 @ 2.5%</t>
  </si>
  <si>
    <t>EEC</t>
  </si>
  <si>
    <t>PBO Dec. 31, 2022 @ 2.5%</t>
  </si>
  <si>
    <t>SC ER</t>
  </si>
  <si>
    <t>2023 Obligations Roll Forward</t>
  </si>
  <si>
    <t>July 1, 2023 to December 31, 2023</t>
  </si>
  <si>
    <t>December 31, 2022 to July 1, 2023</t>
  </si>
  <si>
    <t>NPPC for 2023:</t>
  </si>
  <si>
    <t>Curtailment Gain/Loss</t>
  </si>
  <si>
    <t>Amortization of G/L</t>
  </si>
  <si>
    <t>IC on Assets</t>
  </si>
  <si>
    <t>IC on Liability</t>
  </si>
  <si>
    <t>Service Cost (EOY)</t>
  </si>
  <si>
    <t>Jul 1 - Dec 31</t>
  </si>
  <si>
    <t>Jan 1 - Jun 30</t>
  </si>
  <si>
    <t>2023 Net Periodic Pension Cost under ASC 715</t>
  </si>
  <si>
    <t>Check:</t>
  </si>
  <si>
    <t>AOCI at Dec. 31, 2024 - Check</t>
  </si>
  <si>
    <t>AOCI at Dec. 31, 2024</t>
  </si>
  <si>
    <t>recognized due to settlement</t>
  </si>
  <si>
    <t>gain/(loss) due to settlement</t>
  </si>
  <si>
    <t>Gain/(Loss) on MVA</t>
  </si>
  <si>
    <t>Gain/(Loss) on PBO</t>
  </si>
  <si>
    <t>Amortization of prior service cost/(credit)</t>
  </si>
  <si>
    <t>Amortization of unrecognized losses/(gains)</t>
  </si>
  <si>
    <t>AOCI at Jan. 1, 2024</t>
  </si>
  <si>
    <t>AOCI as of December 31, 2024</t>
  </si>
  <si>
    <t>at Dec. 31, 2024</t>
  </si>
  <si>
    <t>New PSC</t>
  </si>
  <si>
    <t>in-year amortization</t>
  </si>
  <si>
    <t>at Jan. 1, 2024</t>
  </si>
  <si>
    <t>Unrecognized Prior Service Cost (Credit)</t>
  </si>
  <si>
    <t>(gain)/loss due to settlement</t>
  </si>
  <si>
    <t>(gain)/loss on MVA</t>
  </si>
  <si>
    <t>(gain)/loss on PBO</t>
  </si>
  <si>
    <t>Unrecognized (Gains)/Losses</t>
  </si>
  <si>
    <t>Funded status Dec. 31, 2024</t>
  </si>
  <si>
    <t>MVA at December 31, 2024 after settlement</t>
  </si>
  <si>
    <t>Reduction in assets due to settlement</t>
  </si>
  <si>
    <t>MVA at December 31, 2024 before settlement</t>
  </si>
  <si>
    <t>Gains/(Losses) on MVA</t>
  </si>
  <si>
    <t>Expected MVA at December 31, 2024</t>
  </si>
  <si>
    <t>Benefit payments</t>
  </si>
  <si>
    <t>MVA at January 1, 2024</t>
  </si>
  <si>
    <t>Change in Assets</t>
  </si>
  <si>
    <t>PBO at December 31, 2024 after settlement</t>
  </si>
  <si>
    <t>Reduction in PBO due to settlement</t>
  </si>
  <si>
    <t>PBO at December 31, 2024 before settlement</t>
  </si>
  <si>
    <t>(Gains)/Losses due to discount rate change</t>
  </si>
  <si>
    <t>Expected PBO at December 31, 2024 before settlement</t>
  </si>
  <si>
    <t>Interest expense</t>
  </si>
  <si>
    <t>Service cost</t>
  </si>
  <si>
    <t>PBO at January 1, 2024</t>
  </si>
  <si>
    <t>Change in PBO</t>
  </si>
  <si>
    <t>Amortization amount</t>
  </si>
  <si>
    <t>Unrecognized (Credits)/Costs in AOCI at Jan. 1, 2024</t>
  </si>
  <si>
    <t>2024 Defined Benefit Cost</t>
  </si>
  <si>
    <t>Amortization of Prior Service Costs (Credits)</t>
  </si>
  <si>
    <t>Settlement (Gain)/Loss</t>
  </si>
  <si>
    <t>Amortization of Prior Service Cost/(Credit)</t>
  </si>
  <si>
    <t>Amortization of (Gain)/Loss</t>
  </si>
  <si>
    <t>Amount outside corridor</t>
  </si>
  <si>
    <t xml:space="preserve">Expected Return on Assets </t>
  </si>
  <si>
    <t>Unrecognized (Gains)/Losses in AOCI at January 1, 2024</t>
  </si>
  <si>
    <t>Amortization of Unrecognized (Gains)/Losses</t>
  </si>
  <si>
    <t>2024 Net Periodic Benefit Cost</t>
  </si>
  <si>
    <t>MVA at December 31, 2024</t>
  </si>
  <si>
    <t>(gain) loss recognized due to settlement</t>
  </si>
  <si>
    <t>(gain) loss due to settlement</t>
  </si>
  <si>
    <t>Net (gain)/loss remaining in AOCI before settlement</t>
  </si>
  <si>
    <t>Amounts immediately recognized in pension cost due to settlement</t>
  </si>
  <si>
    <t>% reduction in PBO</t>
  </si>
  <si>
    <t>PBO before settlement</t>
  </si>
  <si>
    <t>Cost of settlement</t>
  </si>
  <si>
    <t>% of PBO settled</t>
  </si>
  <si>
    <t>PBO at December 31, 2024</t>
  </si>
  <si>
    <t>(Gain) / Loss due to Settlement</t>
  </si>
  <si>
    <t>Expected PBO at December 31, 2024</t>
  </si>
  <si>
    <r>
      <rPr>
        <b/>
        <i/>
        <sz val="12"/>
        <rFont val="Times New Roman"/>
        <family val="1"/>
      </rPr>
      <t>Note 2:</t>
    </r>
    <r>
      <rPr>
        <sz val="12"/>
        <rFont val="Times New Roman"/>
        <family val="1"/>
      </rPr>
      <t xml:space="preserve"> An entity shall recognize a gain or loss on settlement of a defined benefit plan when the settlement occurs</t>
    </r>
  </si>
  <si>
    <t>Cost of Settlement</t>
  </si>
  <si>
    <t>Decrease in PBO</t>
  </si>
  <si>
    <t>ii) when the entity recognizes related restructuring costs or termination benefits</t>
  </si>
  <si>
    <t>i) when the plan amendment or curtailment occurs; and</t>
  </si>
  <si>
    <r>
      <rPr>
        <b/>
        <i/>
        <sz val="12"/>
        <rFont val="Times New Roman"/>
        <family val="1"/>
      </rPr>
      <t>Note 1</t>
    </r>
    <r>
      <rPr>
        <b/>
        <sz val="12"/>
        <rFont val="Times New Roman"/>
        <family val="1"/>
      </rPr>
      <t>:</t>
    </r>
    <r>
      <rPr>
        <sz val="12"/>
        <rFont val="Times New Roman"/>
        <family val="1"/>
      </rPr>
      <t xml:space="preserve"> An entity shall recognize past service cost as an expense at the earlier of:</t>
    </r>
  </si>
  <si>
    <t>Settlement date is treated as an interim measurement date</t>
  </si>
  <si>
    <t>Lump sums &gt; SC + IC, therefore settlement under ASC 715</t>
  </si>
  <si>
    <t>AOCI at Dec. 31, 2024 - unrecognized gains/(losses)</t>
  </si>
  <si>
    <t>Note 2</t>
  </si>
  <si>
    <t>Lump Sums</t>
  </si>
  <si>
    <t>Note 1</t>
  </si>
  <si>
    <t>Prior service cost</t>
  </si>
  <si>
    <t>SC + IC</t>
  </si>
  <si>
    <t>Interest (income) on assets</t>
  </si>
  <si>
    <t>Check for settlement</t>
  </si>
  <si>
    <t>Interest expense on defined benefit obligation</t>
  </si>
  <si>
    <t>Immediate recognition is only required if the cost of the settlement during the fiscal year exceeds the sum of SC + IC</t>
  </si>
  <si>
    <t>AOCI at Jan. 1, 2024 - unrecognized gains/(losses)</t>
  </si>
  <si>
    <t>Under ASC 715, lump sums are considered a settlement</t>
  </si>
  <si>
    <t xml:space="preserve">     (iii)   Accumulated Other Comprehensive Income at December 31, 2024</t>
  </si>
  <si>
    <t>Expected Return on Assets for ASC 715</t>
  </si>
  <si>
    <t>The following are the assumptions in effect for the plan under IAS 19 and ASC 715 at January 1, 2024:</t>
  </si>
  <si>
    <t>Assume benefit payments and contributions are paid midway through the year and increase each year by the salary increase assumption.</t>
  </si>
  <si>
    <r>
      <t>·</t>
    </r>
    <r>
      <rPr>
        <sz val="7"/>
        <color theme="1"/>
        <rFont val="Times New Roman"/>
        <family val="1"/>
      </rPr>
      <t xml:space="preserve">       </t>
    </r>
    <r>
      <rPr>
        <sz val="12"/>
        <color theme="1"/>
        <rFont val="Times New Roman"/>
        <family val="1"/>
      </rPr>
      <t>Market-related Value of Assets equals Fair Market Value of Assets under ASC 715</t>
    </r>
  </si>
  <si>
    <r>
      <t>·</t>
    </r>
    <r>
      <rPr>
        <sz val="7"/>
        <color theme="1"/>
        <rFont val="Times New Roman"/>
        <family val="1"/>
      </rPr>
      <t xml:space="preserve">       </t>
    </r>
    <r>
      <rPr>
        <sz val="12"/>
        <color theme="1"/>
        <rFont val="Times New Roman"/>
        <family val="1"/>
      </rPr>
      <t>ASC 715 amortization method: 10% corridor; amortized over average future working lifetime</t>
    </r>
  </si>
  <si>
    <r>
      <t>·</t>
    </r>
    <r>
      <rPr>
        <sz val="7"/>
        <color theme="1"/>
        <rFont val="Times New Roman"/>
        <family val="1"/>
      </rPr>
      <t xml:space="preserve">       </t>
    </r>
    <r>
      <rPr>
        <sz val="12"/>
        <color theme="1"/>
        <rFont val="Times New Roman"/>
        <family val="1"/>
      </rPr>
      <t>uses a projection of the most recently completed valuation results for financial reporting</t>
    </r>
  </si>
  <si>
    <r>
      <t>·</t>
    </r>
    <r>
      <rPr>
        <sz val="7"/>
        <color theme="1"/>
        <rFont val="Times New Roman"/>
        <family val="1"/>
      </rPr>
      <t xml:space="preserve">       </t>
    </r>
    <r>
      <rPr>
        <sz val="12"/>
        <color theme="1"/>
        <rFont val="Times New Roman"/>
        <family val="1"/>
      </rPr>
      <t>reports under both International Accounting Standard IAS 19, Rev. 2011 (IAS 19) and U.S. Accounting Standard ASC 715 (ASC 715)</t>
    </r>
  </si>
  <si>
    <t>Company ABC:</t>
  </si>
  <si>
    <t xml:space="preserve">Unrecognized (Gain)/Loss under ASC 715 </t>
  </si>
  <si>
    <t>2023 Service Cost (before interest)</t>
  </si>
  <si>
    <t xml:space="preserve">Projected/Defined Benefit Obligations </t>
  </si>
  <si>
    <t xml:space="preserve">Liability Duration </t>
  </si>
  <si>
    <t xml:space="preserve">Salary increase assumption </t>
  </si>
  <si>
    <t xml:space="preserve">Expected return on assets for ASC 715 </t>
  </si>
  <si>
    <r>
      <t>(ii)</t>
    </r>
    <r>
      <rPr>
        <sz val="7"/>
        <color theme="1"/>
        <rFont val="Times New Roman"/>
        <family val="1"/>
      </rPr>
      <t xml:space="preserve">           </t>
    </r>
    <r>
      <rPr>
        <sz val="12"/>
        <color theme="1"/>
        <rFont val="Times New Roman"/>
        <family val="1"/>
      </rPr>
      <t>2024 Net Periodic Pension Cost (NPPC) under ASC 715</t>
    </r>
  </si>
  <si>
    <r>
      <t>(i)</t>
    </r>
    <r>
      <rPr>
        <sz val="7"/>
        <color theme="1"/>
        <rFont val="Times New Roman"/>
        <family val="1"/>
      </rPr>
      <t xml:space="preserve">             </t>
    </r>
    <r>
      <rPr>
        <sz val="12"/>
        <color theme="1"/>
        <rFont val="Times New Roman"/>
        <family val="1"/>
      </rPr>
      <t>2024 Defined Benefit Cost under IAS 19</t>
    </r>
  </si>
  <si>
    <r>
      <t>(</t>
    </r>
    <r>
      <rPr>
        <i/>
        <sz val="12"/>
        <color theme="1"/>
        <rFont val="Times New Roman"/>
        <family val="1"/>
      </rPr>
      <t>7 points</t>
    </r>
    <r>
      <rPr>
        <sz val="12"/>
        <color theme="1"/>
        <rFont val="Times New Roman"/>
        <family val="1"/>
      </rPr>
      <t>)  Calculate the following:</t>
    </r>
  </si>
  <si>
    <t>You are provided with the following related to the most recent valuation of the pension plan for Company ABC at January 1, 2023:</t>
  </si>
  <si>
    <t>DB Cost / NPPC</t>
  </si>
  <si>
    <t>Amort</t>
  </si>
  <si>
    <t>IC on Liab</t>
  </si>
  <si>
    <t>IAS 19</t>
  </si>
  <si>
    <t>ASC 715</t>
  </si>
  <si>
    <t>Amortisation 2024</t>
  </si>
  <si>
    <t>G/L outside corridor</t>
  </si>
  <si>
    <t>10% corridor 2024</t>
  </si>
  <si>
    <t>Total Unamort at Jan 1, 2024</t>
  </si>
  <si>
    <t>Additional g/l in 2023</t>
  </si>
  <si>
    <t>Amortisation 2023</t>
  </si>
  <si>
    <t>Unamort at Jan 1, 2023</t>
  </si>
  <si>
    <t>Gain/(Loss) on assets 2023</t>
  </si>
  <si>
    <t>MVA Jan 1, 2024 (actual)</t>
  </si>
  <si>
    <t>MVA Jan 1, 2024 (expected)</t>
  </si>
  <si>
    <t>MVA Jan 1, 2023</t>
  </si>
  <si>
    <t>Assets Roll Forward</t>
  </si>
  <si>
    <t>Amort 2024</t>
  </si>
  <si>
    <t>Contribution 2024</t>
  </si>
  <si>
    <t>BP 2024</t>
  </si>
  <si>
    <t>SC 2024 (4.3%)</t>
  </si>
  <si>
    <t>SC 2024 (6%)</t>
  </si>
  <si>
    <t>Projected 2024</t>
  </si>
  <si>
    <t>DBO Jan 1, 2024 (4.3%)</t>
  </si>
  <si>
    <t>DBO Jan 1, 2024 (6%)</t>
  </si>
  <si>
    <t>DBO Jan 1, 2023</t>
  </si>
  <si>
    <t>No additional contributions are expected to be made as a result of the annuity purchase.</t>
  </si>
  <si>
    <t>The expected benefit payments are $0 for the remainder of 2025.</t>
  </si>
  <si>
    <t>There were no experience gains or losses on the Projected Benefit Obligation.</t>
  </si>
  <si>
    <t>The discount rate remained unchanged at March 31, 2025.</t>
  </si>
  <si>
    <t>There were no other benefit payments paid during the first 3 months of 2025.</t>
  </si>
  <si>
    <t>Annuity Buy-out Premium</t>
  </si>
  <si>
    <t>Beneffit Payments (retirees)</t>
  </si>
  <si>
    <t>Fair Value of Assets as of March 31, 2025</t>
  </si>
  <si>
    <t>The following information has been provided for the first 3 months of 2025:</t>
  </si>
  <si>
    <t>for their retirees through an annuity buy-out contract. The annuity buy-out contract is effective March 31, 2025.</t>
  </si>
  <si>
    <t>Company ABC wants to reduce their risk exposure under the defined benefit pension plan by purchasing annuities</t>
  </si>
  <si>
    <t>Expected Contributions paid mid-year</t>
  </si>
  <si>
    <t>Expected Benefit Payments paid mid-year</t>
  </si>
  <si>
    <t>10% corridor; amortized over
average future working lifetime</t>
  </si>
  <si>
    <t>Expected Return on Plan Assets</t>
  </si>
  <si>
    <t>Retiree % of Liabilities</t>
  </si>
  <si>
    <t>Unrecognized Loss/(Gain)</t>
  </si>
  <si>
    <t>Fair Value of Plan Assets</t>
  </si>
  <si>
    <t>12/31/2024</t>
  </si>
  <si>
    <t>12/31/2023</t>
  </si>
  <si>
    <t>The following information has been provided.</t>
  </si>
  <si>
    <t xml:space="preserve">Company ABC prepares their financial disclosures under U.S. Accounting Standard ASC 715. </t>
  </si>
  <si>
    <r>
      <rPr>
        <i/>
        <sz val="12"/>
        <color theme="1"/>
        <rFont val="Times New Roman"/>
        <family val="1"/>
      </rPr>
      <t>(7 points)</t>
    </r>
    <r>
      <rPr>
        <sz val="12"/>
        <color theme="1"/>
        <rFont val="Times New Roman"/>
        <family val="1"/>
      </rPr>
      <t xml:space="preserve"> Calculate the 2025 Net Periodic Pension Cost.</t>
    </r>
  </si>
  <si>
    <r>
      <rPr>
        <i/>
        <sz val="12"/>
        <color theme="1"/>
        <rFont val="Times New Roman"/>
        <family val="1"/>
      </rPr>
      <t>(3 points)</t>
    </r>
    <r>
      <rPr>
        <sz val="12"/>
        <color theme="1"/>
        <rFont val="Times New Roman"/>
        <family val="1"/>
      </rPr>
      <t xml:space="preserve"> Calculate the 2024 Net Periodic Pension Cost.</t>
    </r>
  </si>
  <si>
    <t xml:space="preserve">Company ABC sponsors a defined benefit pension plan. </t>
  </si>
  <si>
    <t>Question 7</t>
  </si>
  <si>
    <t>Exam RETDAC: Fall 2024</t>
  </si>
  <si>
    <t>All calculations assume simple interest.  Credit was also provided for answers that used compound interest.</t>
  </si>
  <si>
    <t>Accrued/(Prepaid), 3/31/25, after settlement</t>
  </si>
  <si>
    <t>Accrued/(Prepaid), 3/31/25</t>
  </si>
  <si>
    <t>2025 contributions through 3/31/25</t>
  </si>
  <si>
    <t>2025 expense through 3/31/25</t>
  </si>
  <si>
    <t>Accrued/(Prepaid), 12/31/24</t>
  </si>
  <si>
    <t>Settlement Charge</t>
  </si>
  <si>
    <t>Portion of PBO settled</t>
  </si>
  <si>
    <t>PBO, incorporating purchase</t>
  </si>
  <si>
    <t>(Gain)/loss due to purchase</t>
  </si>
  <si>
    <t>PBO before purchase</t>
  </si>
  <si>
    <t>Settlement Calculation</t>
  </si>
  <si>
    <t>Expected Total PBO at Mar. 31, 2025</t>
  </si>
  <si>
    <t>Benefits Paid</t>
  </si>
  <si>
    <t>PBO at Dec. 31, 2024</t>
  </si>
  <si>
    <t>Total PBO at Mar. 31, 2025 (prior to buy out)</t>
  </si>
  <si>
    <t>Expected Retiree APBO as at Mar. 31, 2025</t>
  </si>
  <si>
    <t>Retiree APBO as at Dec. 31, 2024</t>
  </si>
  <si>
    <t>Calculation of Retiree APBO at March 31, 2025</t>
  </si>
  <si>
    <t>Total Net Periodic Benefit Cost</t>
  </si>
  <si>
    <t>Effect of Settlement</t>
  </si>
  <si>
    <t>Amortization of Net Loss/(Gain)</t>
  </si>
  <si>
    <t xml:space="preserve">Total 2025 </t>
  </si>
  <si>
    <t>Annual, Calculated As of 3/31/2025</t>
  </si>
  <si>
    <t>Annual, Calculated as of 1/1/2025</t>
  </si>
  <si>
    <t>Components of Net Periodic Benefit Cost</t>
  </si>
  <si>
    <t>FVA - End of Period</t>
  </si>
  <si>
    <t>Actuarial (Loss)/Gain Due to Remeasurement</t>
  </si>
  <si>
    <t>FVA - Beginning of Period</t>
  </si>
  <si>
    <t>Change in Fair Value of Assets (FVA)</t>
  </si>
  <si>
    <t>APBO - End of Period</t>
  </si>
  <si>
    <t>Annity Purchase Premium</t>
  </si>
  <si>
    <t>Actuarial Loss/(Gain) Due to Annuity Buy-out</t>
  </si>
  <si>
    <t>Actuarial Loss/(Gain) Due to Remeasurements</t>
  </si>
  <si>
    <t>PBO - Beginning of Period</t>
  </si>
  <si>
    <t>Change in Projected Benefit Obligation (PBO)</t>
  </si>
  <si>
    <t>After buy-out</t>
  </si>
  <si>
    <t>Prior to Buy-out</t>
  </si>
  <si>
    <t>Provide response in the workspace provided to the right (in Excel).</t>
  </si>
  <si>
    <t>Calculate how much equity capital is needed by XYZ Company to maintain the same equity beta if the plan no longer invests in equities.</t>
  </si>
  <si>
    <t xml:space="preserve">(e) </t>
  </si>
  <si>
    <t>Pension funded ratio</t>
  </si>
  <si>
    <t>Pension Assets ($ millions)</t>
  </si>
  <si>
    <t>CAPM beta for XYZ stock</t>
  </si>
  <si>
    <t>Shareholder Equity ($ millions)</t>
  </si>
  <si>
    <t>The following year, Company XYZ's financial situation changes as noted in the following table:</t>
  </si>
  <si>
    <t>Provide your answer in the Word file.</t>
  </si>
  <si>
    <t>Explain how the Long-term debt to equity ratio would be impacted if the pension liability is perfectly hedged using the holistic balance sheet.</t>
  </si>
  <si>
    <t xml:space="preserve">(2 points) </t>
  </si>
  <si>
    <t>The holistic balance sheet</t>
  </si>
  <si>
    <t>The accounting balance sheet and</t>
  </si>
  <si>
    <t>Calculate the Weight Adjusted Cost of Capital (WACC) using:</t>
  </si>
  <si>
    <t xml:space="preserve">(c) </t>
  </si>
  <si>
    <t>Describe the shortcomings of including the Net Pension Obligation instead of separating the pension asset and pension liability in the corporate balance sheet.</t>
  </si>
  <si>
    <t xml:space="preserve">(1 point) </t>
  </si>
  <si>
    <t>Describe four adjustments that can be made to the PBO to account for the pension liability under a holistic balance sheet approach.</t>
  </si>
  <si>
    <t>Note that the Net Pension Obligation is included in the Total Corporate Debt.</t>
  </si>
  <si>
    <t>Market return</t>
  </si>
  <si>
    <t>Risk-free rate of return</t>
  </si>
  <si>
    <t>40% in bonds</t>
  </si>
  <si>
    <t>60% in equities;</t>
  </si>
  <si>
    <t>Asset Allocation</t>
  </si>
  <si>
    <t>Pension Liability Adjusted for Holistic Balance Sheet ($ millions)</t>
  </si>
  <si>
    <t>Pension Benefit Obligation (PBO) ($ millions)</t>
  </si>
  <si>
    <t>Long-term Corporate Debt ($ millions)</t>
  </si>
  <si>
    <t>Total Corporate Debt ($ millions)</t>
  </si>
  <si>
    <t>Total Corporate Assets ($ millions)</t>
  </si>
  <si>
    <t>XYZ Company is a publicly traded company that sponsors a defined benefit pension plan.</t>
  </si>
  <si>
    <t xml:space="preserve">(8 points)  </t>
  </si>
  <si>
    <t>RETRPIRM Fall 2024</t>
  </si>
  <si>
    <t>= 2,200 - 720</t>
  </si>
  <si>
    <t>Equity needed = Equity initial + ΔEquity</t>
  </si>
  <si>
    <t>=1,800 x (0%-60%) / 1.5</t>
  </si>
  <si>
    <t>ΔEquity = Pension Assets x Δβ(Pension Assets) / β(Equity)</t>
  </si>
  <si>
    <t>ΔEquity = Pension Assets x (Δβ(Pension Assets) / β(Equity) – Δβ(Pension liab.) / β(Equity) x (Pension Liab./Pension Assets))</t>
  </si>
  <si>
    <t>If Pension Assets, Assets, Debt, Pension Liability, β(Corporate Assets), β(Equity and β(Debt) stay fixed:</t>
  </si>
  <si>
    <t>Equity = (β(Pension Assets) x Pension Assets + β(Corporate Assets) x Corporate Assets – β(Debt) x Debt – β(Pension Liability) x Pension Liability) / β(Equity)</t>
  </si>
  <si>
    <t>e) Calculate how much equity capital is needed by XYZ Company to maintain the same equity beta if the plan no longer invests in equities.</t>
  </si>
  <si>
    <t>= 3% + 0.475 * (7%-3%)</t>
  </si>
  <si>
    <t>WACC = Risk free rate + β (Assets) x (Market return - Risk free rate)</t>
  </si>
  <si>
    <t>= (0 x 3,000 + 1.50 x 2,500 + 0 x 2,250 - 0.60 x 1,500) / 6000</t>
  </si>
  <si>
    <t>β(Assets) = (β(Debt) x Debt + β(Equity) x Equity + β(Pension Liab.) x Pension Liab. - β(Pension Assets) x Pension Assets) / Assets</t>
  </si>
  <si>
    <t>= 3,500 - (2,000 - 1,500)</t>
  </si>
  <si>
    <t>Debt excluding net pension liability = Total Corporate Debt - (PBO - Pension Assets)</t>
  </si>
  <si>
    <t>Under the holistic balance sheet:</t>
  </si>
  <si>
    <t>= 3% + 0.625 * (7%-3%)</t>
  </si>
  <si>
    <t>= (0 x 3,500 + 1.50 x 2,500) / 6000</t>
  </si>
  <si>
    <t>β(Assets) = (β(Debt) x Debt + β(Equity) x Equity) / Assets</t>
  </si>
  <si>
    <t>Under the accouting balance sheet:</t>
  </si>
  <si>
    <t>ii. The holistic balance sheet</t>
  </si>
  <si>
    <t>i. The accounting balance sheet and</t>
  </si>
  <si>
    <t>(c) Calculate the Weight Adjusted Cost of Capital (WACC) using:</t>
  </si>
  <si>
    <t xml:space="preserve">Rubric solution for Excel portion items (c) and (e) </t>
  </si>
  <si>
    <t>•	  A 25% drop in equity markets.</t>
  </si>
  <si>
    <t>•	  A 200-basis point increase in interest rates; and</t>
  </si>
  <si>
    <t>Compare and contrast how the following economic event would have affected the three de-risking options:</t>
  </si>
  <si>
    <t xml:space="preserve">     liability-hedging assets when the plan is 100% funded on a termination basis.</t>
  </si>
  <si>
    <t>iii) 	Purchasing an annuity buy-in for retired members and adopting a glide path for the remaining assets that will have an allocation of 100% in</t>
  </si>
  <si>
    <t>ii)	 Purchasing an annuity buy-out for retired members and keeping the current asset allocation for the remaining assets.</t>
  </si>
  <si>
    <t>i)	  Adopting a glide path that will have an allocation of 100% in liability-hedging assets when the plan is 100% funded on a termination basis.</t>
  </si>
  <si>
    <t>Company ABC’s CFO is considering the following de-risking options:</t>
  </si>
  <si>
    <t>Duration of fixed income assets</t>
  </si>
  <si>
    <t>Funded status hedge ratio</t>
  </si>
  <si>
    <t>Equity assets</t>
  </si>
  <si>
    <t>Fixed income assets</t>
  </si>
  <si>
    <t>You are also given:</t>
  </si>
  <si>
    <t>Liability duration (years)</t>
  </si>
  <si>
    <t>Plan termination liabilities</t>
  </si>
  <si>
    <t xml:space="preserve">Number </t>
  </si>
  <si>
    <t>Retired members</t>
  </si>
  <si>
    <t>Terminated vested members</t>
  </si>
  <si>
    <t>You are given the following about Company ABC’s frozen defined benefit pension plan:</t>
  </si>
  <si>
    <t>RETRPIRM Spring 2023</t>
  </si>
  <si>
    <t xml:space="preserve">after the buy-out transaction  </t>
  </si>
  <si>
    <t>before the buy-out transaction; and</t>
  </si>
  <si>
    <t>Using the duration measures calculated in part (b), calculate the liability.</t>
  </si>
  <si>
    <t>As the plan is preparing to complete the annuity buy-out, the yield curve experiences a parallel shift of 100 basis points down.</t>
  </si>
  <si>
    <t>Calculate the plan’s effective duration</t>
  </si>
  <si>
    <t>29.5+</t>
  </si>
  <si>
    <t>Deferred Vested</t>
  </si>
  <si>
    <t>Annual Spot Rate (%)</t>
  </si>
  <si>
    <t>You are given the following mid-year cash flows for Company XYZ’s frozen defined benefit pension plan and the yield curve information as of the annuity purchase date:</t>
  </si>
  <si>
    <t xml:space="preserve">Company XYZ is considering completing an annuity buy-out for all the existing retirees in the plan.  </t>
  </si>
  <si>
    <t>Annuity buy-out</t>
  </si>
  <si>
    <t>Annuity buy-in</t>
  </si>
  <si>
    <t>Compare and contrast the following pension risk transfer solutions</t>
  </si>
  <si>
    <t>Question 1</t>
  </si>
  <si>
    <t>Post-Transaction:</t>
  </si>
  <si>
    <t>Response to c) ii</t>
  </si>
  <si>
    <t>Total Plan:</t>
  </si>
  <si>
    <t>Response to c) i</t>
  </si>
  <si>
    <t>Geometric calculation</t>
  </si>
  <si>
    <t xml:space="preserve">Part C Solution: </t>
  </si>
  <si>
    <t>16.89 years</t>
  </si>
  <si>
    <t>equals</t>
  </si>
  <si>
    <t>Response to b) ii</t>
  </si>
  <si>
    <t>12.36 years</t>
  </si>
  <si>
    <t>Response to b) i</t>
  </si>
  <si>
    <t>Effective Duration:</t>
  </si>
  <si>
    <t>-1bps</t>
  </si>
  <si>
    <t>+1bps</t>
  </si>
  <si>
    <t>Baseline</t>
  </si>
  <si>
    <t>Total Post-Transaction</t>
  </si>
  <si>
    <t>Total Pre-Transaction</t>
  </si>
  <si>
    <t>Factor -1bps</t>
  </si>
  <si>
    <t>Factor +1bps</t>
  </si>
  <si>
    <t>Base Factor</t>
  </si>
  <si>
    <t>Liabilities:</t>
  </si>
  <si>
    <t>Discount Factors:</t>
  </si>
  <si>
    <t>Part B Solution:</t>
  </si>
  <si>
    <t>Fiduciary responsibilities remain with the sponsor</t>
  </si>
  <si>
    <t>Fiduciary responsibility is transferred to the insurer</t>
  </si>
  <si>
    <t>Plan may still be responsible for administration of benefits/fees for covered participants</t>
  </si>
  <si>
    <t>Removes responsibility for participant administration for covered participants</t>
  </si>
  <si>
    <t>Lives and liability remain in the plan from PBGC perspective, and will require payment of premiums</t>
  </si>
  <si>
    <t>Completely removes lives/liability from the plan for PBGC purposes</t>
  </si>
  <si>
    <t>Typically does not trigger settlement accounting as the assets are still considered to be in the plan and contract generally contains a surrender provision so that it is not irrevocable</t>
  </si>
  <si>
    <t>May trigger an accounting settlement under US GAAP accounting</t>
  </si>
  <si>
    <t>Buy-In</t>
  </si>
  <si>
    <t>Buy-Out</t>
  </si>
  <si>
    <t>Contrast:</t>
  </si>
  <si>
    <t xml:space="preserve">Both often require a premium payment to an insurer at the time the contract is executed </t>
  </si>
  <si>
    <t>Both most-commonly cover retirees-only, but may include TVs and (usually in the case of plan termination) active participants as well</t>
  </si>
  <si>
    <t>Both effectively remove longevity risk from the plan for all participants covered under the contract</t>
  </si>
  <si>
    <t>Both allow the full responsibility of pension benefit costs to be transferred from the plan sponsor to an insurer for a single premium</t>
  </si>
  <si>
    <t>Compare:</t>
  </si>
  <si>
    <t>Part A Solution:</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</si>
  <si>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</si>
  <si>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</si>
  <si>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</si>
  <si>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</si>
  <si>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</si>
  <si>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</si>
  <si>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</si>
  <si>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</si>
  <si>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</si>
  <si>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</si>
  <si>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RET 201 - Retirement Plan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</si>
</sst>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00;[Red]&quot;$&quot;#,##0.00"/>
    <numFmt numFmtId="167" formatCode="_-&quot;$&quot;* #,##0.00_-;\-&quot;$&quot;* #,##0.00_-;_-&quot;$&quot;* &quot;-&quot;??_-;_-@_-"/>
    <numFmt numFmtId="168" formatCode="0.0"/>
    <numFmt numFmtId="169" formatCode="0.0%"/>
    <numFmt numFmtId="170" formatCode="_-* #,##0.00_-;\-* #,##0.00_-;_-* &quot;-&quot;??_-;_-@_-"/>
    <numFmt numFmtId="171" formatCode="_-* #,##0.000_-;\-* #,##0.000_-;_-* &quot;-&quot;??_-;_-@_-"/>
    <numFmt numFmtId="172" formatCode="&quot;$&quot;#,##0;[Red]\-&quot;$&quot;#,##0"/>
    <numFmt numFmtId="173" formatCode="0.00000"/>
    <numFmt numFmtId="174" formatCode="_ * #,##0.00_)\ &quot;$&quot;_ ;_ * \(#,##0.00\)\ &quot;$&quot;_ ;_ * &quot;-&quot;??_)\ &quot;$&quot;_ ;_ @_ "/>
    <numFmt numFmtId="175" formatCode="_ * #,##0_)\ &quot;$&quot;_ ;_ * \(#,##0\)\ &quot;$&quot;_ ;_ * &quot;-&quot;??_)\ &quot;$&quot;_ ;_ @_ "/>
    <numFmt numFmtId="176" formatCode="_ * #,##0.00_)_ ;_ * \(#,##0.00\)_ ;_ * &quot;-&quot;??_)_ ;_ @_ "/>
    <numFmt numFmtId="177" formatCode="_ * #,##0_)_ ;_ * \(#,##0\)_ ;_ * &quot;-&quot;??_)_ ;_ @_ "/>
    <numFmt numFmtId="178" formatCode="0.0000"/>
    <numFmt numFmtId="179" formatCode="#,##0.000"/>
    <numFmt numFmtId="180" formatCode="&quot;$&quot;#,##0"/>
    <numFmt numFmtId="181" formatCode="_-* #,##0_-;\-* #,##0_-;_-* &quot;-&quot;??_-;_-@_-"/>
    <numFmt numFmtId="182" formatCode="0.000%"/>
    <numFmt numFmtId="183" formatCode="#,##0.00_ ;\-#,##0.00\ "/>
    <numFmt numFmtId="184" formatCode="_-* #,##0.0_-;\-* #,##0.0_-;_-* &quot;-&quot;??_-;_-@_-"/>
    <numFmt numFmtId="185" formatCode="&quot;$&quot;#,##0.00"/>
    <numFmt numFmtId="186" formatCode="_-&quot;$&quot;* #,##0_-;\-&quot;$&quot;* #,##0_-;_-&quot;$&quot;* &quot;-&quot;??_-;_-@_-"/>
    <numFmt numFmtId="187" formatCode="_(* #,##0.0_);_(* \(#,##0.0\);_(* &quot;-&quot;??_);_(@_)"/>
    <numFmt numFmtId="188" formatCode="_(* #,##0_);_(* \(#,##0\);_(* &quot;-&quot;?_);_(@_)"/>
    <numFmt numFmtId="189" formatCode="&quot;$&quot;#,##0.0"/>
    <numFmt numFmtId="190" formatCode="#,##0_ ;\-#,##0\ "/>
    <numFmt numFmtId="191" formatCode="_-* #,##0_-;\-* #,##0_-;_-* &quot;-&quot;?_-;_-@_-"/>
    <numFmt numFmtId="192" formatCode="0.0000%"/>
    <numFmt numFmtId="193" formatCode="[$-1009]mmmm\ d\,\ yyyy;@"/>
    <numFmt numFmtId="194" formatCode="_-* #,##0.0_-;\-* #,##0.0_-;_-* &quot;-&quot;?_-;_-@_-"/>
    <numFmt numFmtId="195" formatCode="_ * #,##0.0_)_ ;_ * \(#,##0.0\)_ ;_ * &quot;-&quot;??_)_ ;_ @_ "/>
    <numFmt numFmtId="196" formatCode="0.000"/>
    <numFmt numFmtId="197" formatCode="_(* #,##0.0000_);_(* \(#,##0.0000\);_(* &quot;-&quot;??_);_(@_)"/>
  </numFmts>
  <fonts count="132">
    <font>
      <sz val="11"/>
      <color theme="1"/>
      <name val="Aptos Narrow"/>
      <family val="2"/>
      <scheme val="minor"/>
    </font>
    <font>
      <sz val="11"/>
      <color theme="1"/>
      <name val="Aptos Narrow"/>
      <family val="2"/>
      <scheme val="minor"/>
    </font>
    <font>
      <sz val="11"/>
      <color rgb="FFFF0000"/>
      <name val="Aptos Narrow"/>
      <family val="2"/>
      <scheme val="minor"/>
    </font>
    <font>
      <b/>
      <sz val="12"/>
      <color theme="1"/>
      <name val="Times New Roman"/>
      <family val="1"/>
    </font>
    <font>
      <sz val="12"/>
      <color theme="1"/>
      <name val="Times New Roman"/>
      <family val="1"/>
    </font>
    <font>
      <b/>
      <i/>
      <sz val="12"/>
      <color theme="1"/>
      <name val="Times New Roman"/>
      <family val="1"/>
    </font>
    <font>
      <sz val="7"/>
      <color theme="1"/>
      <name val="Times New Roman"/>
      <family val="1"/>
    </font>
    <font>
      <i/>
      <sz val="12"/>
      <color theme="1"/>
      <name val="Times New Roman"/>
      <family val="1"/>
    </font>
    <font>
      <b/>
      <sz val="10"/>
      <color theme="1"/>
      <name val="Arial"/>
      <family val="2"/>
    </font>
    <font>
      <sz val="10"/>
      <color rgb="FF7030A0"/>
      <name val="Arial"/>
      <family val="2"/>
    </font>
    <font>
      <sz val="10"/>
      <color rgb="FFFF0000"/>
      <name val="Arial"/>
      <family val="2"/>
    </font>
    <font>
      <b/>
      <sz val="12"/>
      <color rgb="FF002060"/>
      <name val="Times New Roman"/>
      <family val="1"/>
    </font>
    <font>
      <sz val="12"/>
      <color rgb="FF002060"/>
      <name val="Times New Roman"/>
      <family val="1"/>
    </font>
    <font>
      <b/>
      <sz val="14"/>
      <color rgb="FF002060"/>
      <name val="Times New Roman"/>
      <family val="1"/>
    </font>
    <font>
      <sz val="12"/>
      <color rgb="FF0070C0"/>
      <name val="Times New Roman"/>
      <family val="1"/>
    </font>
    <font>
      <i/>
      <sz val="12"/>
      <color rgb="FF002060"/>
      <name val="Times New Roman"/>
      <family val="1"/>
    </font>
    <font>
      <b/>
      <u/>
      <sz val="12"/>
      <color rgb="FF002060"/>
      <name val="Times New Roman"/>
      <family val="1"/>
    </font>
    <font>
      <vertAlign val="subscript"/>
      <sz val="12"/>
      <color rgb="FF002060"/>
      <name val="Times New Roman"/>
      <family val="1"/>
    </font>
    <font>
      <vertAlign val="superscript"/>
      <sz val="12"/>
      <color rgb="FF002060"/>
      <name val="Times New Roman"/>
      <family val="1"/>
    </font>
    <font>
      <sz val="11"/>
      <name val="Aptos Narrow"/>
      <family val="2"/>
      <scheme val="minor"/>
    </font>
    <font>
      <b/>
      <sz val="11"/>
      <name val="Aptos Narrow"/>
      <family val="2"/>
      <scheme val="minor"/>
    </font>
    <font>
      <b/>
      <sz val="11"/>
      <name val="Times New Roman"/>
      <family val="1"/>
    </font>
    <font>
      <sz val="11"/>
      <name val="Times New Roman"/>
      <family val="1"/>
    </font>
    <font>
      <u/>
      <sz val="11"/>
      <name val="Times New Roman"/>
      <family val="1"/>
    </font>
    <font>
      <i/>
      <sz val="11"/>
      <name val="Times New Roman"/>
      <family val="1"/>
    </font>
    <font>
      <i/>
      <sz val="11"/>
      <color theme="1"/>
      <name val="Aptos Narrow"/>
      <family val="2"/>
      <scheme val="minor"/>
    </font>
    <font>
      <strike/>
      <sz val="11"/>
      <name val="Times New Roman"/>
      <family val="1"/>
    </font>
    <font>
      <sz val="11"/>
      <color rgb="FF002060"/>
      <name val="Times New Roman"/>
      <family val="1"/>
    </font>
    <font>
      <i/>
      <sz val="11"/>
      <color rgb="FF002060"/>
      <name val="Times New Roman"/>
      <family val="1"/>
    </font>
    <font>
      <b/>
      <sz val="11"/>
      <color rgb="FFFF0000"/>
      <name val="Aptos Narrow"/>
      <family val="2"/>
      <scheme val="minor"/>
    </font>
    <font>
      <sz val="10"/>
      <color theme="1"/>
      <name val="Times New Roman"/>
      <family val="1"/>
    </font>
    <font>
      <b/>
      <sz val="11"/>
      <color theme="1"/>
      <name val="Aptos Narrow"/>
      <family val="2"/>
      <scheme val="minor"/>
    </font>
    <font>
      <sz val="12"/>
      <color theme="4" tint="-0.249977111117893"/>
      <name val="Times New Roman"/>
      <family val="1"/>
    </font>
    <font>
      <b/>
      <sz val="14"/>
      <color theme="4" tint="-0.249977111117893"/>
      <name val="Times New Roman"/>
      <family val="1"/>
    </font>
    <font>
      <b/>
      <sz val="12"/>
      <color theme="4" tint="-0.249977111117893"/>
      <name val="Times New Roman"/>
      <family val="1"/>
    </font>
    <font>
      <i/>
      <sz val="12"/>
      <color theme="4" tint="-0.249977111117893"/>
      <name val="Times New Roman"/>
      <family val="1"/>
    </font>
    <font>
      <b/>
      <u/>
      <sz val="12"/>
      <color theme="4" tint="-0.249977111117893"/>
      <name val="Times New Roman"/>
      <family val="1"/>
    </font>
    <font>
      <sz val="11"/>
      <color theme="4" tint="-0.249977111117893"/>
      <name val="Aptos Narrow"/>
      <family val="2"/>
      <scheme val="minor"/>
    </font>
    <font>
      <b/>
      <i/>
      <sz val="12"/>
      <color theme="4" tint="-0.249977111117893"/>
      <name val="Times New Roman"/>
      <family val="1"/>
    </font>
    <font>
      <i/>
      <sz val="12"/>
      <color rgb="FF0070C0"/>
      <name val="Times New Roman"/>
      <family val="1"/>
    </font>
    <font>
      <sz val="11"/>
      <color theme="4" tint="-0.249977111117893"/>
      <name val="Times New Roman"/>
      <family val="1"/>
    </font>
    <font>
      <sz val="12"/>
      <color rgb="FF305496"/>
      <name val="Times New Roman"/>
      <family val="1"/>
    </font>
    <font>
      <b/>
      <sz val="12"/>
      <color rgb="FF305496"/>
      <name val="Times New Roman"/>
      <family val="1"/>
    </font>
    <font>
      <b/>
      <u/>
      <sz val="12"/>
      <color rgb="FF305496"/>
      <name val="Times New Roman"/>
      <family val="1"/>
    </font>
    <font>
      <vertAlign val="subscript"/>
      <sz val="12"/>
      <color rgb="FF305496"/>
      <name val="Times New Roman"/>
      <family val="1"/>
    </font>
    <font>
      <vertAlign val="superscript"/>
      <sz val="12"/>
      <color rgb="FF305496"/>
      <name val="Times New Roman"/>
      <family val="1"/>
    </font>
    <font>
      <sz val="12"/>
      <color rgb="FF002060"/>
      <name val="Symbol"/>
      <family val="1"/>
      <charset val="2"/>
    </font>
    <font>
      <sz val="7"/>
      <color rgb="FF002060"/>
      <name val="Times New Roman"/>
      <family val="1"/>
    </font>
    <font>
      <u/>
      <sz val="12"/>
      <color rgb="FF002060"/>
      <name val="Times New Roman"/>
      <family val="1"/>
    </font>
    <font>
      <i/>
      <sz val="12"/>
      <color rgb="FF305496"/>
      <name val="Times New Roman"/>
      <family val="1"/>
    </font>
    <font>
      <vertAlign val="subscript"/>
      <sz val="12"/>
      <color theme="4" tint="-0.249977111117893"/>
      <name val="Times New Roman"/>
      <family val="1"/>
    </font>
    <font>
      <vertAlign val="superscript"/>
      <sz val="12"/>
      <color theme="4" tint="-0.249977111117893"/>
      <name val="Times New Roman"/>
      <family val="1"/>
    </font>
    <font>
      <sz val="12"/>
      <color theme="4" tint="-0.249977111117893"/>
      <name val="Symbol"/>
      <family val="1"/>
      <charset val="2"/>
    </font>
    <font>
      <sz val="7"/>
      <color theme="4" tint="-0.249977111117893"/>
      <name val="Times New Roman"/>
      <family val="1"/>
    </font>
    <font>
      <sz val="10"/>
      <color theme="1"/>
      <name val="Arial"/>
      <family val="2"/>
    </font>
    <font>
      <sz val="10"/>
      <name val="Arial"/>
      <family val="2"/>
    </font>
    <font>
      <sz val="10"/>
      <color theme="4"/>
      <name val="Arial"/>
      <family val="2"/>
    </font>
    <font>
      <b/>
      <sz val="11"/>
      <color theme="9"/>
      <name val="Aptos Narrow"/>
      <family val="2"/>
      <scheme val="minor"/>
    </font>
    <font>
      <b/>
      <i/>
      <sz val="12"/>
      <color rgb="FF002060"/>
      <name val="Times New Roman"/>
      <family val="1"/>
    </font>
    <font>
      <sz val="12"/>
      <color theme="1"/>
      <name val="Times New Roman"/>
      <family val="2"/>
    </font>
    <font>
      <strike/>
      <sz val="11"/>
      <name val="Aptos Narrow"/>
      <family val="2"/>
      <scheme val="minor"/>
    </font>
    <font>
      <sz val="11"/>
      <color rgb="FF0070C0"/>
      <name val="Times New Roman"/>
      <family val="1"/>
    </font>
    <font>
      <b/>
      <sz val="11"/>
      <color rgb="FF0070C0"/>
      <name val="Times New Roman"/>
      <family val="1"/>
    </font>
    <font>
      <b/>
      <i/>
      <sz val="12"/>
      <color rgb="FF0070C0"/>
      <name val="Times New Roman"/>
      <family val="1"/>
    </font>
    <font>
      <i/>
      <sz val="11"/>
      <color rgb="FF0070C0"/>
      <name val="Calibri"/>
      <family val="2"/>
    </font>
    <font>
      <b/>
      <sz val="12"/>
      <color rgb="FF0070C0"/>
      <name val="Times New Roman"/>
      <family val="1"/>
    </font>
    <font>
      <u val="singleAccounting"/>
      <sz val="12"/>
      <color theme="1"/>
      <name val="Times New Roman"/>
      <family val="1"/>
    </font>
    <font>
      <sz val="12"/>
      <color theme="1"/>
      <name val="Aptos Narrow"/>
      <family val="2"/>
      <scheme val="minor"/>
    </font>
    <font>
      <sz val="12"/>
      <color rgb="FFFF0000"/>
      <name val="Times New Roman"/>
      <family val="1"/>
    </font>
    <font>
      <b/>
      <sz val="12"/>
      <color rgb="FFFF0000"/>
      <name val="Times New Roman"/>
      <family val="1"/>
    </font>
    <font>
      <sz val="12"/>
      <name val="Times New Roman"/>
      <family val="1"/>
    </font>
    <font>
      <i/>
      <sz val="12"/>
      <name val="Times New Roman"/>
      <family val="1"/>
    </font>
    <font>
      <sz val="12"/>
      <color theme="1"/>
      <name val="Times New Roman"/>
      <family val="1"/>
      <charset val="2"/>
    </font>
    <font>
      <sz val="8"/>
      <color theme="1"/>
      <name val="Wingdings"/>
      <charset val="2"/>
    </font>
    <font>
      <sz val="12"/>
      <color rgb="FF7030A0"/>
      <name val="Times New Roman"/>
      <family val="1"/>
    </font>
    <font>
      <i/>
      <sz val="12"/>
      <color rgb="FFFF0000"/>
      <name val="Times New Roman"/>
      <family val="1"/>
    </font>
    <font>
      <b/>
      <sz val="12"/>
      <name val="Times New Roman"/>
      <family val="1"/>
    </font>
    <font>
      <sz val="12"/>
      <color theme="1"/>
      <name val="Calibri Light"/>
      <family val="2"/>
    </font>
    <font>
      <sz val="11"/>
      <color theme="1"/>
      <name val="Times New Roman"/>
      <family val="1"/>
    </font>
    <font>
      <sz val="11"/>
      <color rgb="FFFF0000"/>
      <name val="Times New Roman"/>
      <family val="1"/>
    </font>
    <font>
      <sz val="10"/>
      <color rgb="FF0000FF"/>
      <name val="Arial"/>
      <family val="2"/>
    </font>
    <font>
      <i/>
      <u/>
      <sz val="10"/>
      <color theme="1"/>
      <name val="Arial"/>
      <family val="2"/>
    </font>
    <font>
      <i/>
      <u/>
      <sz val="10"/>
      <name val="Arial"/>
      <family val="2"/>
    </font>
    <font>
      <b/>
      <sz val="10"/>
      <name val="Arial"/>
      <family val="2"/>
    </font>
    <font>
      <b/>
      <i/>
      <sz val="10"/>
      <color theme="1"/>
      <name val="Arial"/>
      <family val="2"/>
    </font>
    <font>
      <i/>
      <sz val="10"/>
      <name val="Arial"/>
      <family val="2"/>
    </font>
    <font>
      <u val="singleAccounting"/>
      <sz val="11"/>
      <color theme="1"/>
      <name val="Aptos Narrow"/>
      <family val="2"/>
      <scheme val="minor"/>
    </font>
    <font>
      <sz val="11"/>
      <color rgb="FF7030A0"/>
      <name val="Aptos Narrow"/>
      <family val="2"/>
      <scheme val="minor"/>
    </font>
    <font>
      <sz val="12"/>
      <color rgb="FF000000"/>
      <name val="Times New Roman"/>
      <family val="1"/>
    </font>
    <font>
      <b/>
      <sz val="12"/>
      <color rgb="FF000000"/>
      <name val="Times New Roman"/>
      <family val="1"/>
    </font>
    <font>
      <sz val="12"/>
      <color rgb="FFFF0000"/>
      <name val="Aptos Narrow"/>
      <family val="2"/>
      <scheme val="minor"/>
    </font>
    <font>
      <u/>
      <sz val="12"/>
      <color theme="1"/>
      <name val="Times New Roman"/>
      <family val="1"/>
    </font>
    <font>
      <b/>
      <u/>
      <sz val="12"/>
      <color theme="1"/>
      <name val="Times New Roman"/>
      <family val="1"/>
    </font>
    <font>
      <i/>
      <sz val="12"/>
      <color rgb="FF000000"/>
      <name val="Times New Roman"/>
      <family val="1"/>
    </font>
    <font>
      <sz val="8"/>
      <color rgb="FF000000"/>
      <name val="Times New Roman"/>
      <family val="1"/>
    </font>
    <font>
      <b/>
      <sz val="12"/>
      <color theme="1"/>
      <name val="Aptos Narrow"/>
      <family val="2"/>
      <scheme val="minor"/>
    </font>
    <font>
      <sz val="12"/>
      <color theme="9"/>
      <name val="Times New Roman"/>
      <family val="1"/>
    </font>
    <font>
      <b/>
      <sz val="11"/>
      <color rgb="FF002060"/>
      <name val="Times New Roman"/>
      <family val="1"/>
    </font>
    <font>
      <b/>
      <u/>
      <sz val="11"/>
      <color rgb="FF002060"/>
      <name val="Times New Roman"/>
      <family val="1"/>
    </font>
    <font>
      <b/>
      <u/>
      <sz val="16"/>
      <color theme="1"/>
      <name val="Times New Roman"/>
      <family val="1"/>
    </font>
    <font>
      <vertAlign val="superscript"/>
      <sz val="12"/>
      <name val="Times New Roman"/>
      <family val="1"/>
    </font>
    <font>
      <vertAlign val="subscript"/>
      <sz val="12"/>
      <color theme="1"/>
      <name val="Times New Roman"/>
      <family val="1"/>
    </font>
    <font>
      <vertAlign val="superscript"/>
      <sz val="12"/>
      <color theme="1"/>
      <name val="Times New Roman"/>
      <family val="1"/>
    </font>
    <font>
      <b/>
      <u/>
      <sz val="12"/>
      <name val="Times New Roman"/>
      <family val="1"/>
    </font>
    <font>
      <b/>
      <i/>
      <sz val="12"/>
      <name val="Times New Roman"/>
      <family val="1"/>
    </font>
    <font>
      <b/>
      <i/>
      <sz val="12"/>
      <color rgb="FFFF0000"/>
      <name val="Times New Roman"/>
      <family val="1"/>
    </font>
    <font>
      <sz val="12"/>
      <color theme="1"/>
      <name val="Symbol"/>
      <family val="1"/>
      <charset val="2"/>
    </font>
    <font>
      <b/>
      <u/>
      <sz val="11"/>
      <color theme="1"/>
      <name val="Aptos Narrow"/>
      <family val="2"/>
      <scheme val="minor"/>
    </font>
    <font>
      <b/>
      <u val="doubleAccounting"/>
      <sz val="11"/>
      <color theme="1"/>
      <name val="Aptos Narrow"/>
      <family val="2"/>
      <scheme val="minor"/>
    </font>
    <font>
      <u val="doubleAccounting"/>
      <sz val="11"/>
      <color theme="1"/>
      <name val="Aptos Narrow"/>
      <family val="2"/>
      <scheme val="minor"/>
    </font>
    <font>
      <b/>
      <sz val="11"/>
      <color theme="1"/>
      <name val="Times New Roman"/>
      <family val="1"/>
    </font>
    <font>
      <sz val="10"/>
      <color rgb="FF000000"/>
      <name val="Aptos Narrow"/>
      <scheme val="minor"/>
    </font>
    <font>
      <sz val="10"/>
      <color theme="1"/>
      <name val="Aptos Narrow"/>
      <family val="2"/>
      <scheme val="minor"/>
    </font>
    <font>
      <sz val="11"/>
      <color rgb="FF000000"/>
      <name val="Aptos Narrow"/>
      <family val="2"/>
      <scheme val="minor"/>
    </font>
    <font>
      <u/>
      <sz val="10"/>
      <color rgb="FF1F1F1F"/>
      <name val="Aptos Narrow"/>
      <family val="2"/>
      <scheme val="minor"/>
    </font>
    <font>
      <sz val="10"/>
      <color rgb="FF000000"/>
      <name val="Aptos Narrow"/>
      <family val="2"/>
      <scheme val="minor"/>
    </font>
    <font>
      <sz val="10"/>
      <color rgb="FF1F1F1F"/>
      <name val="Aptos Narrow"/>
      <family val="2"/>
      <scheme val="minor"/>
    </font>
    <font>
      <u/>
      <sz val="10"/>
      <color rgb="FF1F1F1F"/>
      <name val="Times New Roman"/>
      <family val="1"/>
    </font>
    <font>
      <sz val="10"/>
      <color rgb="FF000000"/>
      <name val="Times New Roman"/>
      <family val="1"/>
    </font>
    <font>
      <sz val="11"/>
      <color rgb="FF000000"/>
      <name val="Times New Roman"/>
      <family val="1"/>
    </font>
    <font>
      <sz val="11"/>
      <color rgb="FF1F1F1F"/>
      <name val="Times New Roman"/>
      <family val="1"/>
    </font>
    <font>
      <u/>
      <sz val="11"/>
      <color rgb="FF1F1F1F"/>
      <name val="Times New Roman"/>
      <family val="1"/>
    </font>
    <font>
      <sz val="11"/>
      <color rgb="FF002060"/>
      <name val="Aptos Narrow"/>
      <family val="2"/>
      <scheme val="minor"/>
    </font>
    <font>
      <i/>
      <sz val="10"/>
      <color theme="1"/>
      <name val="Arial"/>
      <family val="2"/>
    </font>
    <font>
      <b/>
      <u/>
      <sz val="10"/>
      <color theme="1"/>
      <name val="Arial"/>
      <family val="2"/>
    </font>
    <font>
      <u/>
      <sz val="10"/>
      <color theme="1"/>
      <name val="Arial"/>
      <family val="2"/>
    </font>
    <font>
      <i/>
      <sz val="10"/>
      <color rgb="FFFF0000"/>
      <name val="Arial"/>
      <family val="2"/>
    </font>
    <font>
      <b/>
      <sz val="26"/>
      <color theme="4"/>
      <name val="Calibri Light"/>
      <family val="2"/>
    </font>
    <font>
      <sz val="11"/>
      <color theme="4"/>
      <name val="Aptos Narrow"/>
      <family val="2"/>
      <scheme val="minor"/>
    </font>
    <font>
      <sz val="16"/>
      <color theme="4"/>
      <name val="Aptos Display"/>
      <family val="2"/>
      <scheme val="major"/>
    </font>
    <font>
      <sz val="11"/>
      <name val="Aptos Narrow"/>
      <family val="2"/>
    </font>
    <font>
      <u/>
      <sz val="11"/>
      <color theme="10"/>
      <name val="Aptos Narrow"/>
      <family val="2"/>
      <scheme val="minor"/>
    </font>
  </fonts>
  <fills count="23">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
      <patternFill patternType="solid">
        <fgColor rgb="FFCCCCFF"/>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CCFFFF"/>
        <bgColor indexed="64"/>
      </patternFill>
    </fill>
    <fill>
      <patternFill patternType="solid">
        <fgColor theme="5" tint="0.59999389629810485"/>
        <bgColor indexed="64"/>
      </patternFill>
    </fill>
    <fill>
      <patternFill patternType="solid">
        <fgColor theme="1"/>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92D050"/>
        <bgColor indexed="64"/>
      </patternFill>
    </fill>
    <fill>
      <patternFill patternType="solid">
        <fgColor rgb="FFFFC000"/>
        <bgColor indexed="64"/>
      </patternFill>
    </fill>
    <fill>
      <patternFill patternType="solid">
        <fgColor rgb="FFF2F2F2"/>
        <bgColor rgb="FF000000"/>
      </patternFill>
    </fill>
    <fill>
      <patternFill patternType="solid">
        <fgColor theme="2" tint="-0.14999847407452621"/>
        <bgColor indexed="6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auto="1"/>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auto="1"/>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3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0" fontId="1" fillId="0" borderId="0"/>
    <xf numFmtId="174" fontId="1" fillId="0" borderId="0" applyFont="0" applyFill="0" applyBorder="0" applyAlignment="0" applyProtection="0"/>
    <xf numFmtId="176" fontId="1" fillId="0" borderId="0" applyFont="0" applyFill="0" applyBorder="0" applyAlignment="0" applyProtection="0"/>
    <xf numFmtId="9" fontId="1" fillId="0" borderId="0" applyFont="0" applyFill="0" applyBorder="0" applyAlignment="0" applyProtection="0"/>
    <xf numFmtId="0" fontId="1" fillId="0" borderId="0"/>
    <xf numFmtId="170"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67" fillId="0" borderId="0"/>
    <xf numFmtId="43"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67" fontId="1" fillId="0" borderId="0" applyFont="0" applyFill="0" applyBorder="0" applyAlignment="0" applyProtection="0"/>
    <xf numFmtId="43" fontId="67" fillId="0" borderId="0" applyFont="0" applyFill="0" applyBorder="0" applyAlignment="0" applyProtection="0"/>
    <xf numFmtId="0" fontId="111" fillId="0" borderId="0"/>
    <xf numFmtId="9" fontId="115" fillId="0" borderId="0" applyFont="0" applyFill="0" applyBorder="0" applyAlignment="0" applyProtection="0"/>
    <xf numFmtId="176" fontId="115" fillId="0" borderId="0" applyFont="0" applyFill="0" applyBorder="0" applyAlignment="0" applyProtection="0"/>
    <xf numFmtId="0" fontId="115" fillId="0" borderId="0"/>
    <xf numFmtId="9" fontId="115" fillId="0" borderId="0" applyFont="0" applyFill="0" applyBorder="0" applyAlignment="0" applyProtection="0"/>
    <xf numFmtId="176" fontId="115" fillId="0" borderId="0" applyFont="0" applyFill="0" applyBorder="0" applyAlignment="0" applyProtection="0"/>
    <xf numFmtId="176" fontId="1" fillId="0" borderId="0" applyFont="0" applyFill="0" applyBorder="0" applyAlignment="0" applyProtection="0"/>
    <xf numFmtId="43" fontId="1" fillId="0" borderId="0" applyFont="0" applyFill="0" applyBorder="0" applyAlignment="0" applyProtection="0"/>
    <xf numFmtId="0" fontId="131" fillId="0" borderId="0" applyNumberFormat="0" applyFill="0" applyBorder="0" applyAlignment="0" applyProtection="0"/>
  </cellStyleXfs>
  <cellXfs count="1735">
    <xf numFmtId="0" fontId="0" fillId="0" borderId="0" xfId="0"/>
    <xf numFmtId="0" fontId="3" fillId="2" borderId="0" xfId="0" applyFont="1" applyFill="1"/>
    <xf numFmtId="0" fontId="4" fillId="2" borderId="0" xfId="0" applyFont="1" applyFill="1"/>
    <xf numFmtId="0" fontId="4" fillId="3" borderId="0" xfId="0" applyFont="1" applyFill="1"/>
    <xf numFmtId="0" fontId="4" fillId="0" borderId="0" xfId="0" applyFont="1"/>
    <xf numFmtId="0" fontId="4" fillId="2" borderId="0" xfId="0" applyFont="1" applyFill="1" applyAlignment="1">
      <alignment horizontal="left" vertical="top" wrapText="1"/>
    </xf>
    <xf numFmtId="0" fontId="5" fillId="2" borderId="0" xfId="0" applyFont="1" applyFill="1"/>
    <xf numFmtId="0" fontId="4" fillId="2" borderId="0" xfId="0" applyFont="1" applyFill="1" applyAlignment="1">
      <alignment wrapText="1"/>
    </xf>
    <xf numFmtId="0" fontId="4" fillId="2" borderId="0" xfId="0" applyFont="1" applyFill="1" applyAlignment="1">
      <alignment vertical="top"/>
    </xf>
    <xf numFmtId="0" fontId="4" fillId="2" borderId="0" xfId="0" applyFont="1" applyFill="1" applyAlignment="1">
      <alignment vertical="top" wrapText="1"/>
    </xf>
    <xf numFmtId="0" fontId="0" fillId="2" borderId="0" xfId="0" applyFill="1"/>
    <xf numFmtId="0" fontId="4" fillId="2" borderId="0" xfId="0" applyFont="1" applyFill="1" applyAlignment="1">
      <alignment horizontal="left" vertical="center" indent="4"/>
    </xf>
    <xf numFmtId="0" fontId="3" fillId="2" borderId="1" xfId="0" applyFont="1" applyFill="1" applyBorder="1" applyAlignment="1">
      <alignment horizontal="center" wrapText="1"/>
    </xf>
    <xf numFmtId="0" fontId="4" fillId="2" borderId="1" xfId="0" applyFont="1" applyFill="1" applyBorder="1" applyAlignment="1">
      <alignment horizontal="center"/>
    </xf>
    <xf numFmtId="6" fontId="4" fillId="2" borderId="1" xfId="0" applyNumberFormat="1" applyFont="1" applyFill="1" applyBorder="1" applyAlignment="1">
      <alignment horizontal="center"/>
    </xf>
    <xf numFmtId="10" fontId="4" fillId="2" borderId="1" xfId="3" applyNumberFormat="1" applyFont="1" applyFill="1" applyBorder="1" applyAlignment="1">
      <alignment horizontal="center"/>
    </xf>
    <xf numFmtId="9" fontId="0" fillId="4" borderId="0" xfId="0" applyNumberFormat="1" applyFill="1"/>
    <xf numFmtId="0" fontId="1" fillId="0" borderId="0" xfId="4" applyProtection="1">
      <protection locked="0"/>
    </xf>
    <xf numFmtId="0" fontId="8" fillId="0" borderId="2" xfId="0" applyFont="1" applyBorder="1"/>
    <xf numFmtId="0" fontId="8" fillId="0" borderId="2" xfId="0" applyFont="1" applyBorder="1" applyAlignment="1">
      <alignment horizontal="center" wrapText="1"/>
    </xf>
    <xf numFmtId="6" fontId="0" fillId="0" borderId="0" xfId="0" applyNumberFormat="1"/>
    <xf numFmtId="10" fontId="0" fillId="0" borderId="0" xfId="0" applyNumberFormat="1"/>
    <xf numFmtId="3" fontId="0" fillId="0" borderId="0" xfId="0" applyNumberFormat="1" applyAlignment="1">
      <alignment horizontal="center"/>
    </xf>
    <xf numFmtId="5" fontId="4" fillId="2" borderId="0" xfId="2" applyNumberFormat="1" applyFont="1" applyFill="1" applyBorder="1" applyAlignment="1">
      <alignment horizontal="center"/>
    </xf>
    <xf numFmtId="0" fontId="0" fillId="0" borderId="0" xfId="0" applyAlignment="1">
      <alignment horizontal="center"/>
    </xf>
    <xf numFmtId="0" fontId="9" fillId="0" borderId="0" xfId="0" applyFont="1" applyAlignment="1">
      <alignment horizontal="center"/>
    </xf>
    <xf numFmtId="0" fontId="10" fillId="0" borderId="0" xfId="0" applyFont="1" applyAlignment="1">
      <alignment horizontal="center"/>
    </xf>
    <xf numFmtId="0" fontId="10" fillId="0" borderId="0" xfId="0" applyFont="1"/>
    <xf numFmtId="0" fontId="4" fillId="2" borderId="0" xfId="0" applyFont="1" applyFill="1" applyAlignment="1">
      <alignment horizontal="left" vertical="top"/>
    </xf>
    <xf numFmtId="0" fontId="5" fillId="2" borderId="0" xfId="0" applyFont="1" applyFill="1" applyAlignment="1">
      <alignment horizontal="left" vertical="top"/>
    </xf>
    <xf numFmtId="0" fontId="1" fillId="0" borderId="0" xfId="4"/>
    <xf numFmtId="164" fontId="1" fillId="0" borderId="0" xfId="5" applyNumberFormat="1" applyFont="1" applyProtection="1">
      <protection locked="0"/>
    </xf>
    <xf numFmtId="164" fontId="1" fillId="0" borderId="0" xfId="4" applyNumberFormat="1" applyProtection="1">
      <protection locked="0"/>
    </xf>
    <xf numFmtId="0" fontId="0" fillId="0" borderId="0" xfId="0" applyProtection="1">
      <protection locked="0"/>
    </xf>
    <xf numFmtId="164" fontId="0" fillId="0" borderId="0" xfId="0" applyNumberFormat="1" applyProtection="1">
      <protection locked="0"/>
    </xf>
    <xf numFmtId="164" fontId="0" fillId="0" borderId="0" xfId="1" applyNumberFormat="1" applyFont="1" applyProtection="1">
      <protection locked="0"/>
    </xf>
    <xf numFmtId="43" fontId="0" fillId="0" borderId="0" xfId="1" applyFont="1" applyProtection="1">
      <protection locked="0"/>
    </xf>
    <xf numFmtId="165" fontId="0" fillId="0" borderId="0" xfId="0" applyNumberFormat="1" applyProtection="1">
      <protection locked="0"/>
    </xf>
    <xf numFmtId="165" fontId="0" fillId="0" borderId="0" xfId="2" applyNumberFormat="1" applyFont="1" applyProtection="1">
      <protection locked="0"/>
    </xf>
    <xf numFmtId="44" fontId="0" fillId="0" borderId="0" xfId="2" applyFont="1" applyProtection="1">
      <protection locked="0"/>
    </xf>
    <xf numFmtId="16" fontId="0" fillId="0" borderId="0" xfId="0" quotePrefix="1" applyNumberFormat="1" applyProtection="1">
      <protection locked="0"/>
    </xf>
    <xf numFmtId="16" fontId="0" fillId="0" borderId="0" xfId="0" applyNumberFormat="1" applyAlignment="1" applyProtection="1">
      <alignment wrapText="1"/>
      <protection locked="0"/>
    </xf>
    <xf numFmtId="10" fontId="0" fillId="0" borderId="0" xfId="3" applyNumberFormat="1" applyFont="1" applyProtection="1">
      <protection locked="0"/>
    </xf>
    <xf numFmtId="13" fontId="0" fillId="0" borderId="0" xfId="1" applyNumberFormat="1" applyFont="1" applyFill="1" applyProtection="1">
      <protection locked="0"/>
    </xf>
    <xf numFmtId="43" fontId="0" fillId="0" borderId="0" xfId="0" applyNumberFormat="1" applyProtection="1">
      <protection locked="0"/>
    </xf>
    <xf numFmtId="0" fontId="0" fillId="0" borderId="0" xfId="0" quotePrefix="1" applyAlignment="1" applyProtection="1">
      <alignment horizontal="center"/>
      <protection locked="0"/>
    </xf>
    <xf numFmtId="0" fontId="0" fillId="0" borderId="0" xfId="0" applyAlignment="1" applyProtection="1">
      <alignment horizontal="center"/>
      <protection locked="0"/>
    </xf>
    <xf numFmtId="164" fontId="0" fillId="0" borderId="3" xfId="0" applyNumberFormat="1" applyBorder="1" applyProtection="1">
      <protection locked="0"/>
    </xf>
    <xf numFmtId="0" fontId="0" fillId="0" borderId="2" xfId="0" applyBorder="1" applyProtection="1">
      <protection locked="0"/>
    </xf>
    <xf numFmtId="164" fontId="0" fillId="0" borderId="4" xfId="0" applyNumberFormat="1" applyBorder="1" applyProtection="1">
      <protection locked="0"/>
    </xf>
    <xf numFmtId="0" fontId="2" fillId="0" borderId="0" xfId="0" applyFont="1" applyProtection="1">
      <protection locked="0"/>
    </xf>
    <xf numFmtId="0" fontId="11" fillId="5" borderId="0" xfId="0" applyFont="1" applyFill="1"/>
    <xf numFmtId="0" fontId="12" fillId="5" borderId="0" xfId="0" applyFont="1" applyFill="1"/>
    <xf numFmtId="0" fontId="13" fillId="5" borderId="0" xfId="0" applyFont="1" applyFill="1"/>
    <xf numFmtId="0" fontId="14" fillId="0" borderId="0" xfId="0" applyFont="1"/>
    <xf numFmtId="0" fontId="15" fillId="5" borderId="0" xfId="0" applyFont="1" applyFill="1"/>
    <xf numFmtId="0" fontId="3" fillId="0" borderId="0" xfId="0" applyFont="1"/>
    <xf numFmtId="0" fontId="16" fillId="5" borderId="0" xfId="0" applyFont="1" applyFill="1"/>
    <xf numFmtId="6" fontId="4" fillId="0" borderId="0" xfId="0" applyNumberFormat="1" applyFont="1"/>
    <xf numFmtId="166" fontId="4" fillId="0" borderId="0" xfId="0" applyNumberFormat="1" applyFont="1"/>
    <xf numFmtId="0" fontId="12" fillId="5" borderId="9" xfId="0" applyFont="1" applyFill="1" applyBorder="1"/>
    <xf numFmtId="0" fontId="12" fillId="5" borderId="11" xfId="0" applyFont="1" applyFill="1" applyBorder="1"/>
    <xf numFmtId="10" fontId="12" fillId="5" borderId="9" xfId="0" applyNumberFormat="1" applyFont="1" applyFill="1" applyBorder="1" applyAlignment="1">
      <alignment horizontal="left"/>
    </xf>
    <xf numFmtId="0" fontId="12" fillId="5" borderId="10" xfId="0" applyFont="1" applyFill="1" applyBorder="1" applyAlignment="1">
      <alignment horizontal="left"/>
    </xf>
    <xf numFmtId="0" fontId="12" fillId="5" borderId="11" xfId="0" applyFont="1" applyFill="1" applyBorder="1" applyAlignment="1">
      <alignment horizontal="left"/>
    </xf>
    <xf numFmtId="0" fontId="12" fillId="5" borderId="0" xfId="0" applyFont="1" applyFill="1" applyAlignment="1">
      <alignment horizontal="center" vertical="top"/>
    </xf>
    <xf numFmtId="0" fontId="12" fillId="5" borderId="5" xfId="0" applyFont="1" applyFill="1" applyBorder="1" applyAlignment="1">
      <alignment horizontal="left" vertical="top"/>
    </xf>
    <xf numFmtId="0" fontId="12" fillId="5" borderId="6" xfId="0" applyFont="1" applyFill="1" applyBorder="1" applyAlignment="1">
      <alignment horizontal="left" vertical="top"/>
    </xf>
    <xf numFmtId="0" fontId="12" fillId="5" borderId="12" xfId="0" applyFont="1" applyFill="1" applyBorder="1" applyAlignment="1">
      <alignment horizontal="left" vertical="top"/>
    </xf>
    <xf numFmtId="0" fontId="12" fillId="5" borderId="3" xfId="0" applyFont="1" applyFill="1" applyBorder="1" applyAlignment="1">
      <alignment horizontal="left" vertical="top"/>
    </xf>
    <xf numFmtId="0" fontId="12" fillId="5" borderId="10" xfId="0" applyFont="1" applyFill="1" applyBorder="1"/>
    <xf numFmtId="167" fontId="3" fillId="0" borderId="0" xfId="0" applyNumberFormat="1" applyFont="1"/>
    <xf numFmtId="10" fontId="4" fillId="0" borderId="0" xfId="3" applyNumberFormat="1" applyFont="1"/>
    <xf numFmtId="168" fontId="4" fillId="0" borderId="0" xfId="0" applyNumberFormat="1" applyFont="1"/>
    <xf numFmtId="0" fontId="12" fillId="5" borderId="1" xfId="0" applyFont="1" applyFill="1" applyBorder="1" applyAlignment="1">
      <alignment vertical="center" wrapText="1"/>
    </xf>
    <xf numFmtId="15" fontId="12" fillId="5" borderId="1" xfId="0" applyNumberFormat="1" applyFont="1" applyFill="1" applyBorder="1" applyAlignment="1">
      <alignment horizontal="left" vertical="center" wrapText="1"/>
    </xf>
    <xf numFmtId="0" fontId="11" fillId="5" borderId="0" xfId="0" applyFont="1" applyFill="1" applyAlignment="1">
      <alignment horizontal="center" vertical="center" wrapText="1"/>
    </xf>
    <xf numFmtId="0" fontId="11" fillId="5" borderId="0" xfId="0" applyFont="1" applyFill="1" applyAlignment="1">
      <alignment vertical="center" wrapText="1"/>
    </xf>
    <xf numFmtId="0" fontId="12" fillId="5" borderId="1" xfId="0" applyFont="1" applyFill="1" applyBorder="1" applyAlignment="1">
      <alignment horizontal="left" vertical="center" wrapText="1"/>
    </xf>
    <xf numFmtId="0" fontId="12" fillId="5" borderId="0" xfId="0" applyFont="1" applyFill="1" applyAlignment="1">
      <alignment horizontal="center" vertical="center" wrapText="1"/>
    </xf>
    <xf numFmtId="0" fontId="12" fillId="5" borderId="0" xfId="0" applyFont="1" applyFill="1" applyAlignment="1">
      <alignment vertical="center" wrapText="1"/>
    </xf>
    <xf numFmtId="167" fontId="4" fillId="0" borderId="0" xfId="0" applyNumberFormat="1" applyFont="1"/>
    <xf numFmtId="6" fontId="12" fillId="5" borderId="1" xfId="0" applyNumberFormat="1" applyFont="1" applyFill="1" applyBorder="1" applyAlignment="1">
      <alignment horizontal="left" vertical="center" wrapText="1"/>
    </xf>
    <xf numFmtId="167" fontId="12" fillId="5" borderId="0" xfId="0" applyNumberFormat="1" applyFont="1" applyFill="1"/>
    <xf numFmtId="165" fontId="12" fillId="5" borderId="0" xfId="0" applyNumberFormat="1" applyFont="1" applyFill="1"/>
    <xf numFmtId="6" fontId="12" fillId="5" borderId="0" xfId="0" applyNumberFormat="1" applyFont="1" applyFill="1"/>
    <xf numFmtId="6" fontId="12" fillId="5" borderId="0" xfId="0" applyNumberFormat="1" applyFont="1" applyFill="1" applyAlignment="1">
      <alignment vertical="center" wrapText="1"/>
    </xf>
    <xf numFmtId="166" fontId="12" fillId="5" borderId="0" xfId="0" applyNumberFormat="1" applyFont="1" applyFill="1"/>
    <xf numFmtId="0" fontId="16" fillId="5" borderId="0" xfId="0" applyFont="1" applyFill="1" applyAlignment="1">
      <alignment vertical="center"/>
    </xf>
    <xf numFmtId="165" fontId="12" fillId="5" borderId="0" xfId="0" applyNumberFormat="1" applyFont="1" applyFill="1" applyAlignment="1">
      <alignment vertical="center" wrapText="1"/>
    </xf>
    <xf numFmtId="0" fontId="12" fillId="5" borderId="9" xfId="0" applyFont="1" applyFill="1" applyBorder="1" applyAlignment="1">
      <alignment vertical="center" wrapText="1"/>
    </xf>
    <xf numFmtId="0" fontId="12" fillId="5" borderId="11" xfId="0" applyFont="1" applyFill="1" applyBorder="1" applyAlignment="1">
      <alignment vertical="center" wrapText="1"/>
    </xf>
    <xf numFmtId="168" fontId="12" fillId="5" borderId="11" xfId="0" applyNumberFormat="1" applyFont="1" applyFill="1" applyBorder="1" applyAlignment="1">
      <alignment vertical="center" wrapText="1"/>
    </xf>
    <xf numFmtId="2" fontId="4" fillId="0" borderId="0" xfId="0" applyNumberFormat="1" applyFont="1"/>
    <xf numFmtId="166" fontId="4" fillId="0" borderId="2" xfId="0" applyNumberFormat="1" applyFont="1" applyBorder="1"/>
    <xf numFmtId="0" fontId="12" fillId="5" borderId="1" xfId="0" applyFont="1" applyFill="1" applyBorder="1"/>
    <xf numFmtId="6" fontId="12" fillId="5" borderId="0" xfId="0" applyNumberFormat="1" applyFont="1" applyFill="1" applyAlignment="1">
      <alignment horizontal="left" vertical="center" wrapText="1"/>
    </xf>
    <xf numFmtId="0" fontId="12" fillId="5" borderId="0" xfId="0" applyFont="1" applyFill="1" applyAlignment="1">
      <alignment vertical="center"/>
    </xf>
    <xf numFmtId="0" fontId="12" fillId="5" borderId="9" xfId="0" applyFont="1" applyFill="1" applyBorder="1" applyAlignment="1">
      <alignment vertical="center"/>
    </xf>
    <xf numFmtId="0" fontId="12" fillId="5" borderId="10" xfId="0" applyFont="1" applyFill="1" applyBorder="1" applyAlignment="1">
      <alignment vertical="center" wrapText="1"/>
    </xf>
    <xf numFmtId="166" fontId="12" fillId="5" borderId="0" xfId="0" applyNumberFormat="1" applyFont="1" applyFill="1" applyAlignment="1">
      <alignment vertical="center" wrapText="1"/>
    </xf>
    <xf numFmtId="169" fontId="12" fillId="5" borderId="1" xfId="3" applyNumberFormat="1" applyFont="1" applyFill="1" applyBorder="1" applyAlignment="1">
      <alignment horizontal="left" vertical="center" wrapText="1"/>
    </xf>
    <xf numFmtId="10" fontId="12" fillId="5" borderId="1" xfId="3" applyNumberFormat="1" applyFont="1" applyFill="1" applyBorder="1" applyAlignment="1">
      <alignment horizontal="left" vertical="center" wrapText="1"/>
    </xf>
    <xf numFmtId="0" fontId="12" fillId="5" borderId="1" xfId="0" applyFont="1" applyFill="1" applyBorder="1" applyAlignment="1">
      <alignment vertical="center"/>
    </xf>
    <xf numFmtId="171" fontId="4" fillId="0" borderId="0" xfId="7" applyNumberFormat="1" applyFont="1"/>
    <xf numFmtId="10" fontId="12" fillId="5" borderId="0" xfId="3" applyNumberFormat="1" applyFont="1" applyFill="1" applyBorder="1" applyAlignment="1">
      <alignment vertical="center" wrapText="1"/>
    </xf>
    <xf numFmtId="0" fontId="7" fillId="0" borderId="0" xfId="0" applyFont="1"/>
    <xf numFmtId="0" fontId="12" fillId="5" borderId="0" xfId="0" quotePrefix="1" applyFont="1" applyFill="1"/>
    <xf numFmtId="8" fontId="7" fillId="0" borderId="0" xfId="0" applyNumberFormat="1" applyFont="1"/>
    <xf numFmtId="0" fontId="12" fillId="5" borderId="5" xfId="0" applyFont="1" applyFill="1" applyBorder="1"/>
    <xf numFmtId="0" fontId="15" fillId="5" borderId="7" xfId="0" applyFont="1" applyFill="1" applyBorder="1" applyAlignment="1">
      <alignment horizontal="left" wrapText="1"/>
    </xf>
    <xf numFmtId="0" fontId="15" fillId="5" borderId="6" xfId="0" applyFont="1" applyFill="1" applyBorder="1" applyAlignment="1">
      <alignment horizontal="left" wrapText="1"/>
    </xf>
    <xf numFmtId="0" fontId="15" fillId="5" borderId="0" xfId="0" applyFont="1" applyFill="1" applyAlignment="1">
      <alignment horizontal="left" wrapText="1"/>
    </xf>
    <xf numFmtId="165" fontId="7" fillId="0" borderId="0" xfId="0" applyNumberFormat="1" applyFont="1"/>
    <xf numFmtId="0" fontId="15" fillId="5" borderId="8" xfId="0" applyFont="1" applyFill="1" applyBorder="1"/>
    <xf numFmtId="0" fontId="15" fillId="5" borderId="2" xfId="0" applyFont="1" applyFill="1" applyBorder="1" applyAlignment="1">
      <alignment horizontal="left" wrapText="1"/>
    </xf>
    <xf numFmtId="0" fontId="15" fillId="5" borderId="4" xfId="0" applyFont="1" applyFill="1" applyBorder="1" applyAlignment="1">
      <alignment horizontal="left" wrapText="1"/>
    </xf>
    <xf numFmtId="6" fontId="7" fillId="0" borderId="0" xfId="0" applyNumberFormat="1" applyFont="1"/>
    <xf numFmtId="165" fontId="12" fillId="5" borderId="0" xfId="2" applyNumberFormat="1" applyFont="1" applyFill="1" applyBorder="1" applyAlignment="1">
      <alignment horizontal="center" vertical="center" wrapText="1"/>
    </xf>
    <xf numFmtId="165" fontId="12" fillId="5" borderId="1" xfId="2" applyNumberFormat="1" applyFont="1" applyFill="1" applyBorder="1" applyAlignment="1">
      <alignment horizontal="left" vertical="center" wrapText="1"/>
    </xf>
    <xf numFmtId="0" fontId="19" fillId="0" borderId="0" xfId="0" applyFont="1"/>
    <xf numFmtId="0" fontId="20" fillId="0" borderId="0" xfId="0" applyFont="1" applyAlignment="1">
      <alignment horizontal="center"/>
    </xf>
    <xf numFmtId="0" fontId="21" fillId="0" borderId="0" xfId="0" applyFont="1"/>
    <xf numFmtId="0" fontId="22" fillId="0" borderId="0" xfId="0" applyFont="1"/>
    <xf numFmtId="166" fontId="22" fillId="0" borderId="0" xfId="0" applyNumberFormat="1" applyFont="1"/>
    <xf numFmtId="0" fontId="22" fillId="0" borderId="0" xfId="0" applyFont="1" applyAlignment="1">
      <alignment horizontal="right"/>
    </xf>
    <xf numFmtId="166" fontId="22" fillId="0" borderId="0" xfId="0" applyNumberFormat="1" applyFont="1" applyAlignment="1">
      <alignment horizontal="right"/>
    </xf>
    <xf numFmtId="0" fontId="0" fillId="0" borderId="0" xfId="0" applyAlignment="1">
      <alignment horizontal="right"/>
    </xf>
    <xf numFmtId="0" fontId="23" fillId="0" borderId="5" xfId="0" applyFont="1" applyBorder="1" applyAlignment="1">
      <alignment horizontal="left"/>
    </xf>
    <xf numFmtId="0" fontId="22" fillId="0" borderId="7" xfId="0" applyFont="1" applyBorder="1" applyAlignment="1">
      <alignment horizontal="right"/>
    </xf>
    <xf numFmtId="0" fontId="24" fillId="0" borderId="7" xfId="0" applyFont="1" applyBorder="1" applyAlignment="1">
      <alignment horizontal="right"/>
    </xf>
    <xf numFmtId="0" fontId="24" fillId="0" borderId="12" xfId="0" applyFont="1" applyBorder="1" applyAlignment="1">
      <alignment horizontal="right"/>
    </xf>
    <xf numFmtId="0" fontId="24" fillId="0" borderId="0" xfId="0" applyFont="1" applyAlignment="1">
      <alignment horizontal="right"/>
    </xf>
    <xf numFmtId="0" fontId="24" fillId="0" borderId="3" xfId="0" applyFont="1" applyBorder="1" applyAlignment="1">
      <alignment horizontal="right"/>
    </xf>
    <xf numFmtId="0" fontId="25" fillId="0" borderId="0" xfId="0" applyFont="1" applyAlignment="1">
      <alignment horizontal="right"/>
    </xf>
    <xf numFmtId="0" fontId="22" fillId="0" borderId="0" xfId="0" quotePrefix="1" applyFont="1"/>
    <xf numFmtId="0" fontId="22" fillId="0" borderId="12" xfId="0" applyFont="1" applyBorder="1" applyAlignment="1">
      <alignment horizontal="right"/>
    </xf>
    <xf numFmtId="172" fontId="22" fillId="0" borderId="0" xfId="0" applyNumberFormat="1" applyFont="1" applyAlignment="1">
      <alignment horizontal="right"/>
    </xf>
    <xf numFmtId="168" fontId="22" fillId="0" borderId="0" xfId="0" applyNumberFormat="1" applyFont="1" applyAlignment="1">
      <alignment horizontal="right"/>
    </xf>
    <xf numFmtId="166" fontId="22" fillId="0" borderId="3" xfId="0" applyNumberFormat="1" applyFont="1" applyBorder="1" applyAlignment="1">
      <alignment horizontal="right"/>
    </xf>
    <xf numFmtId="166" fontId="22" fillId="0" borderId="3" xfId="0" applyNumberFormat="1" applyFont="1" applyBorder="1"/>
    <xf numFmtId="0" fontId="21" fillId="0" borderId="0" xfId="0" quotePrefix="1" applyFont="1"/>
    <xf numFmtId="0" fontId="22" fillId="0" borderId="8" xfId="0" applyFont="1" applyBorder="1" applyAlignment="1">
      <alignment horizontal="right"/>
    </xf>
    <xf numFmtId="0" fontId="22" fillId="0" borderId="2" xfId="0" applyFont="1" applyBorder="1" applyAlignment="1">
      <alignment horizontal="right"/>
    </xf>
    <xf numFmtId="166" fontId="22" fillId="0" borderId="2" xfId="0" applyNumberFormat="1" applyFont="1" applyBorder="1" applyAlignment="1">
      <alignment horizontal="right"/>
    </xf>
    <xf numFmtId="168" fontId="22" fillId="0" borderId="2" xfId="0" applyNumberFormat="1" applyFont="1" applyBorder="1" applyAlignment="1">
      <alignment horizontal="right"/>
    </xf>
    <xf numFmtId="166" fontId="22" fillId="0" borderId="2" xfId="0" applyNumberFormat="1" applyFont="1" applyBorder="1"/>
    <xf numFmtId="166" fontId="22" fillId="0" borderId="4" xfId="0" applyNumberFormat="1" applyFont="1" applyBorder="1"/>
    <xf numFmtId="0" fontId="26" fillId="0" borderId="0" xfId="0" quotePrefix="1" applyFont="1"/>
    <xf numFmtId="0" fontId="22" fillId="0" borderId="5" xfId="0" applyFont="1" applyBorder="1" applyAlignment="1">
      <alignment horizontal="left"/>
    </xf>
    <xf numFmtId="166" fontId="22" fillId="0" borderId="6" xfId="0" applyNumberFormat="1" applyFont="1" applyBorder="1" applyAlignment="1">
      <alignment horizontal="right"/>
    </xf>
    <xf numFmtId="0" fontId="11" fillId="5" borderId="0" xfId="0" applyFont="1" applyFill="1" applyAlignment="1">
      <alignment horizontal="center"/>
    </xf>
    <xf numFmtId="0" fontId="22" fillId="0" borderId="8" xfId="0" applyFont="1" applyBorder="1" applyAlignment="1">
      <alignment horizontal="left"/>
    </xf>
    <xf numFmtId="166" fontId="22" fillId="0" borderId="4" xfId="0" applyNumberFormat="1" applyFont="1" applyBorder="1" applyAlignment="1">
      <alignment horizontal="right"/>
    </xf>
    <xf numFmtId="0" fontId="22" fillId="0" borderId="0" xfId="0" applyFont="1" applyAlignment="1">
      <alignment horizontal="left"/>
    </xf>
    <xf numFmtId="0" fontId="11" fillId="5" borderId="0" xfId="0" applyFont="1" applyFill="1" applyAlignment="1">
      <alignment vertical="center"/>
    </xf>
    <xf numFmtId="0" fontId="12"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2" fillId="5" borderId="0" xfId="0" applyFont="1" applyFill="1" applyAlignment="1">
      <alignment horizontal="center"/>
    </xf>
    <xf numFmtId="172" fontId="12" fillId="5" borderId="1" xfId="0" applyNumberFormat="1" applyFont="1" applyFill="1" applyBorder="1" applyAlignment="1">
      <alignment horizontal="center" vertical="center" wrapText="1"/>
    </xf>
    <xf numFmtId="168" fontId="12" fillId="5" borderId="0" xfId="0" applyNumberFormat="1" applyFont="1" applyFill="1"/>
    <xf numFmtId="0" fontId="19" fillId="5" borderId="0" xfId="0" applyFont="1" applyFill="1"/>
    <xf numFmtId="0" fontId="27" fillId="5" borderId="0" xfId="0" applyFont="1" applyFill="1"/>
    <xf numFmtId="0" fontId="11" fillId="5" borderId="0" xfId="0" applyFont="1" applyFill="1" applyAlignment="1">
      <alignment horizontal="right"/>
    </xf>
    <xf numFmtId="0" fontId="12" fillId="5" borderId="0" xfId="0" applyFont="1" applyFill="1" applyAlignment="1">
      <alignment horizontal="right"/>
    </xf>
    <xf numFmtId="6" fontId="12" fillId="5" borderId="0" xfId="0" applyNumberFormat="1" applyFont="1" applyFill="1" applyAlignment="1">
      <alignment horizontal="right"/>
    </xf>
    <xf numFmtId="0" fontId="29" fillId="0" borderId="0" xfId="0" applyFont="1" applyAlignment="1">
      <alignment horizontal="center"/>
    </xf>
    <xf numFmtId="0" fontId="2" fillId="0" borderId="0" xfId="0" applyFont="1"/>
    <xf numFmtId="0" fontId="22" fillId="0" borderId="5" xfId="0" applyFont="1" applyBorder="1"/>
    <xf numFmtId="0" fontId="22" fillId="0" borderId="8" xfId="0" applyFont="1" applyBorder="1"/>
    <xf numFmtId="173" fontId="22" fillId="0" borderId="0" xfId="0" applyNumberFormat="1" applyFont="1" applyAlignment="1">
      <alignment horizontal="right"/>
    </xf>
    <xf numFmtId="0" fontId="30" fillId="0" borderId="0" xfId="0" applyFont="1"/>
    <xf numFmtId="0" fontId="32" fillId="5" borderId="0" xfId="0" applyFont="1" applyFill="1"/>
    <xf numFmtId="0" fontId="4" fillId="5" borderId="0" xfId="0" applyFont="1" applyFill="1"/>
    <xf numFmtId="0" fontId="33" fillId="5" borderId="0" xfId="0" applyFont="1" applyFill="1"/>
    <xf numFmtId="0" fontId="34" fillId="5" borderId="0" xfId="0" applyFont="1" applyFill="1"/>
    <xf numFmtId="0" fontId="35" fillId="5" borderId="0" xfId="0" applyFont="1" applyFill="1"/>
    <xf numFmtId="0" fontId="35" fillId="5" borderId="0" xfId="0" applyFont="1" applyFill="1" applyAlignment="1">
      <alignment vertical="center"/>
    </xf>
    <xf numFmtId="0" fontId="32" fillId="5" borderId="0" xfId="0" applyFont="1" applyFill="1" applyAlignment="1">
      <alignment vertical="center"/>
    </xf>
    <xf numFmtId="0" fontId="36" fillId="5" borderId="0" xfId="0" applyFont="1" applyFill="1" applyAlignment="1">
      <alignment vertical="center"/>
    </xf>
    <xf numFmtId="0" fontId="37" fillId="5" borderId="0" xfId="0" applyFont="1" applyFill="1"/>
    <xf numFmtId="0" fontId="32" fillId="5" borderId="1" xfId="0" applyFont="1" applyFill="1" applyBorder="1" applyAlignment="1">
      <alignment vertical="center" wrapText="1"/>
    </xf>
    <xf numFmtId="0" fontId="32" fillId="5" borderId="0" xfId="0" applyFont="1" applyFill="1" applyAlignment="1">
      <alignment horizontal="center" vertical="center" wrapText="1"/>
    </xf>
    <xf numFmtId="10" fontId="32" fillId="5" borderId="0" xfId="0" applyNumberFormat="1" applyFont="1" applyFill="1" applyAlignment="1">
      <alignment horizontal="center" vertical="center" wrapText="1"/>
    </xf>
    <xf numFmtId="0" fontId="32" fillId="5" borderId="0" xfId="0" applyFont="1" applyFill="1" applyAlignment="1">
      <alignment horizontal="left" vertical="center" indent="5"/>
    </xf>
    <xf numFmtId="0" fontId="32" fillId="5" borderId="0" xfId="0" applyFont="1" applyFill="1" applyAlignment="1">
      <alignment horizontal="right"/>
    </xf>
    <xf numFmtId="0" fontId="32" fillId="5" borderId="0" xfId="0" applyFont="1" applyFill="1" applyAlignment="1">
      <alignment horizontal="left" vertical="center" indent="10"/>
    </xf>
    <xf numFmtId="0" fontId="32" fillId="5" borderId="1" xfId="0" applyFont="1" applyFill="1" applyBorder="1" applyAlignment="1">
      <alignment vertical="center"/>
    </xf>
    <xf numFmtId="0" fontId="38" fillId="5" borderId="0" xfId="0" applyFont="1" applyFill="1" applyAlignment="1">
      <alignment vertical="center"/>
    </xf>
    <xf numFmtId="0" fontId="34" fillId="5" borderId="1" xfId="0" applyFont="1" applyFill="1" applyBorder="1" applyAlignment="1">
      <alignment vertical="center" wrapText="1"/>
    </xf>
    <xf numFmtId="0" fontId="34" fillId="5" borderId="1" xfId="0" applyFont="1" applyFill="1" applyBorder="1" applyAlignment="1">
      <alignment horizontal="center" vertical="center" wrapText="1"/>
    </xf>
    <xf numFmtId="0" fontId="32" fillId="5" borderId="1" xfId="0" applyFont="1" applyFill="1" applyBorder="1" applyAlignment="1">
      <alignment horizontal="center" vertical="center" wrapText="1"/>
    </xf>
    <xf numFmtId="6" fontId="32" fillId="5" borderId="1" xfId="0" applyNumberFormat="1" applyFont="1" applyFill="1" applyBorder="1" applyAlignment="1">
      <alignment horizontal="center" vertical="center" wrapText="1"/>
    </xf>
    <xf numFmtId="0" fontId="37" fillId="5" borderId="13" xfId="0" applyFont="1" applyFill="1" applyBorder="1"/>
    <xf numFmtId="0" fontId="32" fillId="5" borderId="14" xfId="0" applyFont="1" applyFill="1" applyBorder="1"/>
    <xf numFmtId="6" fontId="32" fillId="5" borderId="1" xfId="0" applyNumberFormat="1" applyFont="1" applyFill="1" applyBorder="1" applyAlignment="1">
      <alignment vertical="center" wrapText="1"/>
    </xf>
    <xf numFmtId="0" fontId="39" fillId="0" borderId="0" xfId="0" applyFont="1"/>
    <xf numFmtId="0" fontId="32" fillId="5" borderId="0" xfId="0" applyFont="1" applyFill="1" applyAlignment="1">
      <alignment horizontal="left" vertical="center"/>
    </xf>
    <xf numFmtId="9" fontId="32" fillId="5" borderId="1" xfId="0" applyNumberFormat="1" applyFont="1" applyFill="1" applyBorder="1"/>
    <xf numFmtId="165" fontId="32" fillId="5" borderId="1" xfId="2" applyNumberFormat="1" applyFont="1" applyFill="1" applyBorder="1"/>
    <xf numFmtId="9" fontId="32" fillId="5" borderId="1" xfId="0" applyNumberFormat="1" applyFont="1" applyFill="1" applyBorder="1" applyAlignment="1">
      <alignment vertical="center"/>
    </xf>
    <xf numFmtId="0" fontId="37" fillId="5" borderId="1" xfId="0" applyFont="1" applyFill="1" applyBorder="1"/>
    <xf numFmtId="10" fontId="37" fillId="5" borderId="1" xfId="0" applyNumberFormat="1" applyFont="1" applyFill="1" applyBorder="1"/>
    <xf numFmtId="0" fontId="37" fillId="5" borderId="1" xfId="0" applyFont="1" applyFill="1" applyBorder="1" applyAlignment="1">
      <alignment horizontal="right"/>
    </xf>
    <xf numFmtId="0" fontId="40" fillId="5" borderId="0" xfId="0" applyFont="1" applyFill="1" applyAlignment="1">
      <alignment vertical="center" wrapText="1"/>
    </xf>
    <xf numFmtId="0" fontId="32" fillId="5" borderId="0" xfId="0" applyFont="1" applyFill="1" applyAlignment="1">
      <alignment vertical="center" wrapText="1"/>
    </xf>
    <xf numFmtId="0" fontId="34" fillId="5" borderId="1" xfId="0" applyFont="1" applyFill="1" applyBorder="1" applyAlignment="1">
      <alignment horizontal="right" vertical="center" wrapText="1"/>
    </xf>
    <xf numFmtId="0" fontId="32" fillId="0" borderId="0" xfId="0" applyFont="1"/>
    <xf numFmtId="0" fontId="32" fillId="5" borderId="1" xfId="0" applyFont="1" applyFill="1" applyBorder="1" applyAlignment="1">
      <alignment horizontal="right" vertical="center" wrapText="1"/>
    </xf>
    <xf numFmtId="6" fontId="32" fillId="5" borderId="1" xfId="0" applyNumberFormat="1" applyFont="1" applyFill="1" applyBorder="1" applyAlignment="1">
      <alignment horizontal="right" vertical="center" wrapText="1"/>
    </xf>
    <xf numFmtId="9" fontId="32" fillId="5" borderId="9" xfId="0" applyNumberFormat="1" applyFont="1" applyFill="1" applyBorder="1" applyAlignment="1">
      <alignment vertical="center"/>
    </xf>
    <xf numFmtId="0" fontId="32" fillId="5" borderId="11" xfId="0" applyFont="1" applyFill="1" applyBorder="1" applyAlignment="1">
      <alignment vertical="center"/>
    </xf>
    <xf numFmtId="0" fontId="34" fillId="5" borderId="14" xfId="0" applyFont="1" applyFill="1" applyBorder="1" applyAlignment="1">
      <alignment horizontal="center" vertical="center"/>
    </xf>
    <xf numFmtId="0" fontId="34" fillId="5" borderId="1" xfId="0" applyFont="1" applyFill="1" applyBorder="1" applyAlignment="1">
      <alignment horizontal="center"/>
    </xf>
    <xf numFmtId="0" fontId="32" fillId="5" borderId="1" xfId="0" applyFont="1" applyFill="1" applyBorder="1" applyAlignment="1">
      <alignment horizontal="center" vertical="center"/>
    </xf>
    <xf numFmtId="9" fontId="32" fillId="5" borderId="1" xfId="0" applyNumberFormat="1" applyFont="1" applyFill="1" applyBorder="1" applyAlignment="1">
      <alignment horizontal="center"/>
    </xf>
    <xf numFmtId="0" fontId="34" fillId="5" borderId="1" xfId="0" applyFont="1" applyFill="1" applyBorder="1" applyAlignment="1">
      <alignment horizontal="center" vertical="center"/>
    </xf>
    <xf numFmtId="9" fontId="34" fillId="5" borderId="1" xfId="0" applyNumberFormat="1" applyFont="1" applyFill="1" applyBorder="1" applyAlignment="1">
      <alignment horizontal="center"/>
    </xf>
    <xf numFmtId="0" fontId="32" fillId="5" borderId="0" xfId="0" applyFont="1" applyFill="1" applyAlignment="1">
      <alignment horizontal="center" vertical="center"/>
    </xf>
    <xf numFmtId="0" fontId="32" fillId="5" borderId="13" xfId="0" applyFont="1" applyFill="1" applyBorder="1"/>
    <xf numFmtId="0" fontId="3" fillId="5" borderId="0" xfId="0" applyFont="1" applyFill="1"/>
    <xf numFmtId="44" fontId="32" fillId="5" borderId="9" xfId="2" applyFont="1" applyFill="1" applyBorder="1" applyAlignment="1">
      <alignment horizontal="left"/>
    </xf>
    <xf numFmtId="44" fontId="32" fillId="5" borderId="10" xfId="2" applyFont="1" applyFill="1" applyBorder="1" applyAlignment="1">
      <alignment horizontal="left"/>
    </xf>
    <xf numFmtId="44" fontId="32" fillId="5" borderId="11" xfId="2" applyFont="1" applyFill="1" applyBorder="1" applyAlignment="1">
      <alignment horizontal="left"/>
    </xf>
    <xf numFmtId="0" fontId="36" fillId="5" borderId="0" xfId="0" applyFont="1" applyFill="1"/>
    <xf numFmtId="0" fontId="32" fillId="5" borderId="5" xfId="0" applyFont="1" applyFill="1" applyBorder="1"/>
    <xf numFmtId="0" fontId="32" fillId="5" borderId="6" xfId="0" applyFont="1" applyFill="1" applyBorder="1"/>
    <xf numFmtId="0" fontId="32" fillId="5" borderId="1" xfId="0" applyFont="1" applyFill="1" applyBorder="1"/>
    <xf numFmtId="0" fontId="32" fillId="5" borderId="9" xfId="0" applyFont="1" applyFill="1" applyBorder="1" applyAlignment="1">
      <alignment horizontal="left"/>
    </xf>
    <xf numFmtId="0" fontId="32" fillId="5" borderId="11" xfId="0" applyFont="1" applyFill="1" applyBorder="1" applyAlignment="1">
      <alignment horizontal="left"/>
    </xf>
    <xf numFmtId="0" fontId="32" fillId="5" borderId="9" xfId="0" applyFont="1" applyFill="1" applyBorder="1"/>
    <xf numFmtId="0" fontId="32" fillId="5" borderId="10" xfId="0" applyFont="1" applyFill="1" applyBorder="1"/>
    <xf numFmtId="0" fontId="32" fillId="5" borderId="11" xfId="0" applyFont="1" applyFill="1" applyBorder="1"/>
    <xf numFmtId="10" fontId="32" fillId="5" borderId="9" xfId="0" applyNumberFormat="1" applyFont="1" applyFill="1" applyBorder="1"/>
    <xf numFmtId="9" fontId="32" fillId="5" borderId="9" xfId="0" applyNumberFormat="1" applyFont="1" applyFill="1" applyBorder="1"/>
    <xf numFmtId="9" fontId="32" fillId="5" borderId="0" xfId="0" applyNumberFormat="1" applyFont="1" applyFill="1"/>
    <xf numFmtId="0" fontId="32" fillId="5" borderId="3" xfId="0" applyFont="1" applyFill="1" applyBorder="1"/>
    <xf numFmtId="0" fontId="41" fillId="5" borderId="1" xfId="0" applyFont="1" applyFill="1" applyBorder="1" applyAlignment="1">
      <alignment vertical="center" wrapText="1"/>
    </xf>
    <xf numFmtId="0" fontId="42" fillId="5" borderId="1" xfId="0" applyFont="1" applyFill="1" applyBorder="1" applyAlignment="1">
      <alignment horizontal="center" vertical="center" wrapText="1"/>
    </xf>
    <xf numFmtId="0" fontId="42" fillId="5" borderId="0" xfId="0" applyFont="1" applyFill="1" applyAlignment="1">
      <alignment vertical="center" wrapText="1"/>
    </xf>
    <xf numFmtId="0" fontId="41" fillId="5" borderId="1" xfId="0" applyFont="1" applyFill="1" applyBorder="1" applyAlignment="1">
      <alignment horizontal="center" vertical="center" wrapText="1"/>
    </xf>
    <xf numFmtId="0" fontId="41" fillId="5" borderId="0" xfId="0" applyFont="1" applyFill="1" applyAlignment="1">
      <alignment vertical="center" wrapText="1"/>
    </xf>
    <xf numFmtId="0" fontId="43" fillId="5" borderId="0" xfId="0" applyFont="1" applyFill="1" applyAlignment="1">
      <alignment vertical="center"/>
    </xf>
    <xf numFmtId="0" fontId="41" fillId="5" borderId="9" xfId="0" applyFont="1" applyFill="1" applyBorder="1" applyAlignment="1">
      <alignment vertical="center" wrapText="1"/>
    </xf>
    <xf numFmtId="0" fontId="41" fillId="5" borderId="11" xfId="0" applyFont="1" applyFill="1" applyBorder="1" applyAlignment="1">
      <alignment vertical="center" wrapText="1"/>
    </xf>
    <xf numFmtId="0" fontId="41" fillId="5" borderId="0" xfId="0" applyFont="1" applyFill="1" applyAlignment="1">
      <alignment vertical="center"/>
    </xf>
    <xf numFmtId="6" fontId="41" fillId="5" borderId="0" xfId="0" applyNumberFormat="1" applyFont="1" applyFill="1" applyAlignment="1">
      <alignment vertical="center" wrapText="1"/>
    </xf>
    <xf numFmtId="0" fontId="32" fillId="5" borderId="0" xfId="0" quotePrefix="1" applyFont="1" applyFill="1"/>
    <xf numFmtId="0" fontId="12" fillId="5" borderId="1" xfId="0" applyFont="1" applyFill="1" applyBorder="1" applyAlignment="1">
      <alignment wrapText="1"/>
    </xf>
    <xf numFmtId="10" fontId="12" fillId="5" borderId="9" xfId="0" applyNumberFormat="1" applyFont="1" applyFill="1" applyBorder="1"/>
    <xf numFmtId="165" fontId="12" fillId="5" borderId="1" xfId="2" applyNumberFormat="1" applyFont="1" applyFill="1" applyBorder="1" applyAlignment="1">
      <alignment horizontal="center" vertical="center" wrapText="1"/>
    </xf>
    <xf numFmtId="0" fontId="12" fillId="5" borderId="5" xfId="0" applyFont="1" applyFill="1" applyBorder="1" applyAlignment="1">
      <alignment vertical="center" wrapText="1"/>
    </xf>
    <xf numFmtId="0" fontId="12" fillId="5" borderId="7" xfId="0" applyFont="1" applyFill="1" applyBorder="1" applyAlignment="1">
      <alignment vertical="center" wrapText="1"/>
    </xf>
    <xf numFmtId="6" fontId="12" fillId="5" borderId="1" xfId="0" applyNumberFormat="1" applyFont="1" applyFill="1" applyBorder="1" applyAlignment="1">
      <alignment vertical="center" wrapText="1"/>
    </xf>
    <xf numFmtId="0" fontId="46" fillId="5" borderId="0" xfId="0" applyFont="1" applyFill="1" applyAlignment="1">
      <alignment horizontal="left" vertical="center" indent="7"/>
    </xf>
    <xf numFmtId="0" fontId="12" fillId="0" borderId="0" xfId="0" applyFont="1"/>
    <xf numFmtId="0" fontId="12" fillId="5" borderId="9" xfId="0" applyFont="1" applyFill="1" applyBorder="1" applyAlignment="1">
      <alignment vertical="top"/>
    </xf>
    <xf numFmtId="0" fontId="12" fillId="5" borderId="11" xfId="0" applyFont="1" applyFill="1" applyBorder="1" applyAlignment="1">
      <alignment vertical="top"/>
    </xf>
    <xf numFmtId="9" fontId="12" fillId="5" borderId="10" xfId="0" applyNumberFormat="1" applyFont="1" applyFill="1" applyBorder="1" applyAlignment="1">
      <alignment vertical="top"/>
    </xf>
    <xf numFmtId="9" fontId="12" fillId="5" borderId="11" xfId="0" applyNumberFormat="1" applyFont="1" applyFill="1" applyBorder="1" applyAlignment="1">
      <alignment vertical="top"/>
    </xf>
    <xf numFmtId="0" fontId="12" fillId="5" borderId="0" xfId="0" applyFont="1" applyFill="1" applyAlignment="1">
      <alignment horizontal="left" vertical="center" indent="7"/>
    </xf>
    <xf numFmtId="0" fontId="11" fillId="5" borderId="0" xfId="8" applyFont="1" applyFill="1"/>
    <xf numFmtId="0" fontId="12" fillId="5" borderId="0" xfId="8" applyFont="1" applyFill="1"/>
    <xf numFmtId="0" fontId="4" fillId="0" borderId="0" xfId="8" applyFont="1"/>
    <xf numFmtId="0" fontId="13" fillId="5" borderId="0" xfId="8" applyFont="1" applyFill="1"/>
    <xf numFmtId="0" fontId="15" fillId="5" borderId="0" xfId="8" applyFont="1" applyFill="1"/>
    <xf numFmtId="0" fontId="16" fillId="5" borderId="0" xfId="8" applyFont="1" applyFill="1"/>
    <xf numFmtId="0" fontId="12" fillId="5" borderId="9" xfId="8" applyFont="1" applyFill="1" applyBorder="1"/>
    <xf numFmtId="0" fontId="12" fillId="5" borderId="11" xfId="8" applyFont="1" applyFill="1" applyBorder="1"/>
    <xf numFmtId="0" fontId="12" fillId="5" borderId="9" xfId="8" applyFont="1" applyFill="1" applyBorder="1" applyAlignment="1">
      <alignment horizontal="left" wrapText="1"/>
    </xf>
    <xf numFmtId="0" fontId="12" fillId="5" borderId="10" xfId="8" applyFont="1" applyFill="1" applyBorder="1" applyAlignment="1">
      <alignment wrapText="1"/>
    </xf>
    <xf numFmtId="0" fontId="12" fillId="5" borderId="11" xfId="8" applyFont="1" applyFill="1" applyBorder="1" applyAlignment="1">
      <alignment wrapText="1"/>
    </xf>
    <xf numFmtId="0" fontId="12" fillId="5" borderId="12" xfId="8" applyFont="1" applyFill="1" applyBorder="1"/>
    <xf numFmtId="0" fontId="12" fillId="5" borderId="3" xfId="8" applyFont="1" applyFill="1" applyBorder="1"/>
    <xf numFmtId="0" fontId="12" fillId="5" borderId="0" xfId="8" applyFont="1" applyFill="1" applyAlignment="1">
      <alignment wrapText="1"/>
    </xf>
    <xf numFmtId="0" fontId="12" fillId="5" borderId="3" xfId="8" applyFont="1" applyFill="1" applyBorder="1" applyAlignment="1">
      <alignment wrapText="1"/>
    </xf>
    <xf numFmtId="0" fontId="12" fillId="5" borderId="5" xfId="8" applyFont="1" applyFill="1" applyBorder="1"/>
    <xf numFmtId="0" fontId="12" fillId="5" borderId="7" xfId="8" applyFont="1" applyFill="1" applyBorder="1"/>
    <xf numFmtId="0" fontId="12" fillId="5" borderId="6" xfId="8" applyFont="1" applyFill="1" applyBorder="1"/>
    <xf numFmtId="0" fontId="12" fillId="5" borderId="7" xfId="8" applyFont="1" applyFill="1" applyBorder="1" applyAlignment="1">
      <alignment wrapText="1"/>
    </xf>
    <xf numFmtId="0" fontId="12" fillId="5" borderId="6" xfId="8" applyFont="1" applyFill="1" applyBorder="1" applyAlignment="1">
      <alignment wrapText="1"/>
    </xf>
    <xf numFmtId="0" fontId="12" fillId="5" borderId="8" xfId="8" applyFont="1" applyFill="1" applyBorder="1"/>
    <xf numFmtId="0" fontId="12" fillId="5" borderId="2" xfId="8" applyFont="1" applyFill="1" applyBorder="1" applyAlignment="1">
      <alignment wrapText="1"/>
    </xf>
    <xf numFmtId="0" fontId="12" fillId="5" borderId="4" xfId="8" applyFont="1" applyFill="1" applyBorder="1" applyAlignment="1">
      <alignment wrapText="1"/>
    </xf>
    <xf numFmtId="0" fontId="12" fillId="5" borderId="0" xfId="8" applyFont="1" applyFill="1" applyAlignment="1">
      <alignment horizontal="left" vertical="top"/>
    </xf>
    <xf numFmtId="0" fontId="48" fillId="5" borderId="0" xfId="8" applyFont="1" applyFill="1"/>
    <xf numFmtId="169" fontId="12" fillId="5" borderId="9" xfId="8" applyNumberFormat="1" applyFont="1" applyFill="1" applyBorder="1" applyAlignment="1">
      <alignment horizontal="left"/>
    </xf>
    <xf numFmtId="0" fontId="12" fillId="5" borderId="10" xfId="8" applyFont="1" applyFill="1" applyBorder="1"/>
    <xf numFmtId="10" fontId="12" fillId="5" borderId="9" xfId="8" applyNumberFormat="1" applyFont="1" applyFill="1" applyBorder="1"/>
    <xf numFmtId="10" fontId="12" fillId="5" borderId="9" xfId="8" applyNumberFormat="1" applyFont="1" applyFill="1" applyBorder="1" applyAlignment="1">
      <alignment horizontal="left"/>
    </xf>
    <xf numFmtId="175" fontId="12" fillId="5" borderId="9" xfId="9" applyNumberFormat="1" applyFont="1" applyFill="1" applyBorder="1" applyAlignment="1">
      <alignment horizontal="left"/>
    </xf>
    <xf numFmtId="10" fontId="12" fillId="5" borderId="0" xfId="8" applyNumberFormat="1" applyFont="1" applyFill="1"/>
    <xf numFmtId="0" fontId="11" fillId="5" borderId="9" xfId="8" applyFont="1" applyFill="1" applyBorder="1" applyAlignment="1">
      <alignment horizontal="center" wrapText="1"/>
    </xf>
    <xf numFmtId="0" fontId="11" fillId="5" borderId="9" xfId="8" applyFont="1" applyFill="1" applyBorder="1" applyAlignment="1">
      <alignment wrapText="1"/>
    </xf>
    <xf numFmtId="0" fontId="11" fillId="5" borderId="1" xfId="8" applyFont="1" applyFill="1" applyBorder="1" applyAlignment="1">
      <alignment wrapText="1"/>
    </xf>
    <xf numFmtId="0" fontId="12" fillId="5" borderId="9" xfId="8" applyFont="1" applyFill="1" applyBorder="1" applyAlignment="1">
      <alignment horizontal="center"/>
    </xf>
    <xf numFmtId="177" fontId="12" fillId="5" borderId="9" xfId="10" applyNumberFormat="1" applyFont="1" applyFill="1" applyBorder="1" applyAlignment="1">
      <alignment horizontal="center"/>
    </xf>
    <xf numFmtId="177" fontId="12" fillId="5" borderId="1" xfId="10" applyNumberFormat="1" applyFont="1" applyFill="1" applyBorder="1" applyAlignment="1">
      <alignment horizontal="center"/>
    </xf>
    <xf numFmtId="175" fontId="12" fillId="5" borderId="1" xfId="9" applyNumberFormat="1" applyFont="1" applyFill="1" applyBorder="1" applyAlignment="1">
      <alignment horizontal="center"/>
    </xf>
    <xf numFmtId="9" fontId="12" fillId="5" borderId="1" xfId="11" applyFont="1" applyFill="1" applyBorder="1" applyAlignment="1">
      <alignment horizontal="center"/>
    </xf>
    <xf numFmtId="9" fontId="12" fillId="5" borderId="0" xfId="11" applyFont="1" applyFill="1" applyBorder="1"/>
    <xf numFmtId="0" fontId="11" fillId="5" borderId="1" xfId="8" applyFont="1" applyFill="1" applyBorder="1" applyAlignment="1">
      <alignment horizontal="center" wrapText="1"/>
    </xf>
    <xf numFmtId="0" fontId="12" fillId="5" borderId="1" xfId="8" applyFont="1" applyFill="1" applyBorder="1" applyAlignment="1">
      <alignment horizontal="center"/>
    </xf>
    <xf numFmtId="9" fontId="12" fillId="5" borderId="13" xfId="11" applyFont="1" applyFill="1" applyBorder="1" applyAlignment="1">
      <alignment horizontal="center"/>
    </xf>
    <xf numFmtId="168" fontId="12" fillId="5" borderId="1" xfId="8" applyNumberFormat="1" applyFont="1" applyFill="1" applyBorder="1" applyAlignment="1">
      <alignment horizontal="center"/>
    </xf>
    <xf numFmtId="3" fontId="12" fillId="5" borderId="1" xfId="8" applyNumberFormat="1" applyFont="1" applyFill="1" applyBorder="1" applyAlignment="1">
      <alignment horizontal="center"/>
    </xf>
    <xf numFmtId="3" fontId="12" fillId="5" borderId="0" xfId="8" applyNumberFormat="1" applyFont="1" applyFill="1"/>
    <xf numFmtId="0" fontId="12" fillId="5" borderId="0" xfId="8" applyFont="1" applyFill="1" applyAlignment="1">
      <alignment vertical="center" wrapText="1"/>
    </xf>
    <xf numFmtId="0" fontId="12" fillId="5" borderId="0" xfId="8" applyFont="1" applyFill="1" applyAlignment="1">
      <alignment vertical="center"/>
    </xf>
    <xf numFmtId="175" fontId="12" fillId="5" borderId="1" xfId="9" applyNumberFormat="1" applyFont="1" applyFill="1" applyBorder="1"/>
    <xf numFmtId="9" fontId="12" fillId="5" borderId="1" xfId="11" applyFont="1" applyFill="1" applyBorder="1"/>
    <xf numFmtId="0" fontId="16" fillId="5" borderId="13" xfId="8" applyFont="1" applyFill="1" applyBorder="1"/>
    <xf numFmtId="0" fontId="12" fillId="5" borderId="13" xfId="8" applyFont="1" applyFill="1" applyBorder="1" applyAlignment="1">
      <alignment vertical="center" wrapText="1"/>
    </xf>
    <xf numFmtId="0" fontId="11" fillId="5" borderId="14" xfId="8" applyFont="1" applyFill="1" applyBorder="1"/>
    <xf numFmtId="0" fontId="12" fillId="5" borderId="14" xfId="8" applyFont="1" applyFill="1" applyBorder="1" applyAlignment="1">
      <alignment vertical="center" wrapText="1"/>
    </xf>
    <xf numFmtId="169" fontId="12" fillId="5" borderId="1" xfId="8" applyNumberFormat="1" applyFont="1" applyFill="1" applyBorder="1" applyAlignment="1">
      <alignment horizontal="left"/>
    </xf>
    <xf numFmtId="0" fontId="12" fillId="5" borderId="1" xfId="8" applyFont="1" applyFill="1" applyBorder="1" applyAlignment="1">
      <alignment vertical="center" wrapText="1"/>
    </xf>
    <xf numFmtId="0" fontId="11" fillId="5" borderId="1" xfId="8" applyFont="1" applyFill="1" applyBorder="1" applyAlignment="1">
      <alignment horizontal="center" vertical="center" wrapText="1"/>
    </xf>
    <xf numFmtId="0" fontId="16" fillId="5" borderId="15" xfId="8" applyFont="1" applyFill="1" applyBorder="1"/>
    <xf numFmtId="168" fontId="12" fillId="5" borderId="1" xfId="8" applyNumberFormat="1" applyFont="1" applyFill="1" applyBorder="1" applyAlignment="1">
      <alignment vertical="center" wrapText="1"/>
    </xf>
    <xf numFmtId="0" fontId="16" fillId="5" borderId="14" xfId="8" applyFont="1" applyFill="1" applyBorder="1"/>
    <xf numFmtId="0" fontId="16" fillId="5" borderId="5" xfId="8" applyFont="1" applyFill="1" applyBorder="1"/>
    <xf numFmtId="0" fontId="12" fillId="5" borderId="8" xfId="8" applyFont="1" applyFill="1" applyBorder="1" applyAlignment="1">
      <alignment vertical="center"/>
    </xf>
    <xf numFmtId="0" fontId="12" fillId="5" borderId="5" xfId="8" applyFont="1" applyFill="1" applyBorder="1" applyAlignment="1">
      <alignment vertical="center"/>
    </xf>
    <xf numFmtId="0" fontId="12" fillId="5" borderId="12" xfId="8" applyFont="1" applyFill="1" applyBorder="1" applyAlignment="1">
      <alignment vertical="center" wrapText="1"/>
    </xf>
    <xf numFmtId="0" fontId="12" fillId="5" borderId="15" xfId="8" applyFont="1" applyFill="1" applyBorder="1" applyAlignment="1">
      <alignment vertical="center" wrapText="1"/>
    </xf>
    <xf numFmtId="0" fontId="12" fillId="5" borderId="14" xfId="8" applyFont="1" applyFill="1" applyBorder="1"/>
    <xf numFmtId="0" fontId="12" fillId="5" borderId="0" xfId="8" quotePrefix="1" applyFont="1" applyFill="1"/>
    <xf numFmtId="0" fontId="12" fillId="7" borderId="1" xfId="8" applyFont="1" applyFill="1" applyBorder="1"/>
    <xf numFmtId="0" fontId="46" fillId="5" borderId="0" xfId="8" applyFont="1" applyFill="1" applyAlignment="1">
      <alignment horizontal="left" vertical="center" indent="7"/>
    </xf>
    <xf numFmtId="0" fontId="15" fillId="5" borderId="0" xfId="8" applyFont="1" applyFill="1" applyAlignment="1">
      <alignment horizontal="left"/>
    </xf>
    <xf numFmtId="0" fontId="15" fillId="5" borderId="0" xfId="8" applyFont="1" applyFill="1" applyAlignment="1">
      <alignment horizontal="left" wrapText="1"/>
    </xf>
    <xf numFmtId="3" fontId="15" fillId="5" borderId="0" xfId="8" applyNumberFormat="1" applyFont="1" applyFill="1" applyAlignment="1">
      <alignment horizontal="left" wrapText="1"/>
    </xf>
    <xf numFmtId="0" fontId="12" fillId="5" borderId="0" xfId="8" applyFont="1" applyFill="1" applyAlignment="1">
      <alignment horizontal="left" indent="1"/>
    </xf>
    <xf numFmtId="3" fontId="12" fillId="7" borderId="1" xfId="8" applyNumberFormat="1" applyFont="1" applyFill="1" applyBorder="1"/>
    <xf numFmtId="9" fontId="12" fillId="5" borderId="0" xfId="8" applyNumberFormat="1" applyFont="1" applyFill="1"/>
    <xf numFmtId="0" fontId="12" fillId="5" borderId="0" xfId="8" applyFont="1" applyFill="1" applyAlignment="1">
      <alignment horizontal="right"/>
    </xf>
    <xf numFmtId="0" fontId="49" fillId="6" borderId="0" xfId="8" applyFont="1" applyFill="1" applyAlignment="1">
      <alignment horizontal="left" wrapText="1"/>
    </xf>
    <xf numFmtId="0" fontId="12" fillId="7" borderId="9" xfId="8" applyFont="1" applyFill="1" applyBorder="1"/>
    <xf numFmtId="0" fontId="12" fillId="7" borderId="10" xfId="8" applyFont="1" applyFill="1" applyBorder="1"/>
    <xf numFmtId="0" fontId="12" fillId="7" borderId="11" xfId="8" applyFont="1" applyFill="1" applyBorder="1"/>
    <xf numFmtId="0" fontId="34" fillId="5" borderId="0" xfId="12" applyFont="1" applyFill="1"/>
    <xf numFmtId="0" fontId="34" fillId="5" borderId="0" xfId="4" applyFont="1" applyFill="1"/>
    <xf numFmtId="0" fontId="32" fillId="5" borderId="0" xfId="4" applyFont="1" applyFill="1"/>
    <xf numFmtId="0" fontId="4" fillId="0" borderId="0" xfId="4" applyFont="1"/>
    <xf numFmtId="0" fontId="33" fillId="5" borderId="0" xfId="4" applyFont="1" applyFill="1"/>
    <xf numFmtId="0" fontId="35" fillId="5" borderId="0" xfId="4" applyFont="1" applyFill="1"/>
    <xf numFmtId="0" fontId="36" fillId="5" borderId="0" xfId="4" applyFont="1" applyFill="1"/>
    <xf numFmtId="0" fontId="32" fillId="5" borderId="10" xfId="4" applyFont="1" applyFill="1" applyBorder="1"/>
    <xf numFmtId="0" fontId="32" fillId="5" borderId="11" xfId="4" applyFont="1" applyFill="1" applyBorder="1"/>
    <xf numFmtId="0" fontId="12" fillId="5" borderId="0" xfId="4" applyFont="1" applyFill="1"/>
    <xf numFmtId="0" fontId="32" fillId="5" borderId="9" xfId="4" applyFont="1" applyFill="1" applyBorder="1"/>
    <xf numFmtId="169" fontId="32" fillId="5" borderId="9" xfId="4" applyNumberFormat="1" applyFont="1" applyFill="1" applyBorder="1"/>
    <xf numFmtId="0" fontId="32" fillId="5" borderId="12" xfId="4" applyFont="1" applyFill="1" applyBorder="1" applyAlignment="1">
      <alignment horizontal="left" vertical="top"/>
    </xf>
    <xf numFmtId="0" fontId="32" fillId="5" borderId="3" xfId="4" applyFont="1" applyFill="1" applyBorder="1" applyAlignment="1">
      <alignment horizontal="left" vertical="top"/>
    </xf>
    <xf numFmtId="0" fontId="36" fillId="5" borderId="0" xfId="4" applyFont="1" applyFill="1" applyAlignment="1">
      <alignment vertical="center"/>
    </xf>
    <xf numFmtId="0" fontId="32" fillId="5" borderId="0" xfId="4" applyFont="1" applyFill="1" applyAlignment="1">
      <alignment vertical="center" wrapText="1"/>
    </xf>
    <xf numFmtId="0" fontId="32" fillId="5" borderId="9" xfId="4" applyFont="1" applyFill="1" applyBorder="1" applyAlignment="1">
      <alignment vertical="center" wrapText="1"/>
    </xf>
    <xf numFmtId="0" fontId="32" fillId="5" borderId="11" xfId="4" applyFont="1" applyFill="1" applyBorder="1" applyAlignment="1">
      <alignment vertical="center" wrapText="1"/>
    </xf>
    <xf numFmtId="0" fontId="32" fillId="5" borderId="7" xfId="4" applyFont="1" applyFill="1" applyBorder="1" applyAlignment="1">
      <alignment vertical="center" wrapText="1"/>
    </xf>
    <xf numFmtId="0" fontId="32" fillId="5" borderId="1" xfId="4" applyFont="1" applyFill="1" applyBorder="1" applyAlignment="1">
      <alignment vertical="center" wrapText="1"/>
    </xf>
    <xf numFmtId="0" fontId="34" fillId="5" borderId="1" xfId="4" applyFont="1" applyFill="1" applyBorder="1" applyAlignment="1">
      <alignment horizontal="center" vertical="center" wrapText="1"/>
    </xf>
    <xf numFmtId="0" fontId="34" fillId="5" borderId="0" xfId="4" applyFont="1" applyFill="1" applyAlignment="1">
      <alignment vertical="center" wrapText="1"/>
    </xf>
    <xf numFmtId="0" fontId="32" fillId="5" borderId="1" xfId="4" applyFont="1" applyFill="1" applyBorder="1" applyAlignment="1">
      <alignment horizontal="center" vertical="center" wrapText="1"/>
    </xf>
    <xf numFmtId="6" fontId="32" fillId="5" borderId="1" xfId="4" applyNumberFormat="1" applyFont="1" applyFill="1" applyBorder="1" applyAlignment="1">
      <alignment horizontal="center" vertical="center" wrapText="1"/>
    </xf>
    <xf numFmtId="0" fontId="32" fillId="5" borderId="9" xfId="4" applyFont="1" applyFill="1" applyBorder="1" applyAlignment="1">
      <alignment vertical="center"/>
    </xf>
    <xf numFmtId="0" fontId="32" fillId="5" borderId="10" xfId="4" applyFont="1" applyFill="1" applyBorder="1" applyAlignment="1">
      <alignment vertical="center" wrapText="1"/>
    </xf>
    <xf numFmtId="6" fontId="32" fillId="5" borderId="1" xfId="4" applyNumberFormat="1" applyFont="1" applyFill="1" applyBorder="1" applyAlignment="1">
      <alignment vertical="center" wrapText="1"/>
    </xf>
    <xf numFmtId="0" fontId="52" fillId="5" borderId="0" xfId="4" applyFont="1" applyFill="1" applyAlignment="1">
      <alignment horizontal="left" vertical="center" indent="7"/>
    </xf>
    <xf numFmtId="0" fontId="32" fillId="5" borderId="0" xfId="4" applyFont="1" applyFill="1" applyAlignment="1">
      <alignment horizontal="left" vertical="center" indent="7"/>
    </xf>
    <xf numFmtId="0" fontId="32" fillId="5" borderId="0" xfId="4" applyFont="1" applyFill="1" applyAlignment="1">
      <alignment horizontal="left"/>
    </xf>
    <xf numFmtId="0" fontId="54" fillId="0" borderId="0" xfId="0" applyFont="1"/>
    <xf numFmtId="0" fontId="54" fillId="8" borderId="0" xfId="0" applyFont="1" applyFill="1"/>
    <xf numFmtId="164" fontId="54" fillId="0" borderId="0" xfId="0" applyNumberFormat="1" applyFont="1"/>
    <xf numFmtId="164" fontId="54" fillId="0" borderId="2" xfId="0" applyNumberFormat="1" applyFont="1" applyBorder="1"/>
    <xf numFmtId="164" fontId="12" fillId="7" borderId="1" xfId="1" applyNumberFormat="1" applyFont="1" applyFill="1" applyBorder="1"/>
    <xf numFmtId="9" fontId="54" fillId="0" borderId="0" xfId="3" applyFont="1"/>
    <xf numFmtId="164" fontId="8" fillId="8" borderId="0" xfId="1" applyNumberFormat="1" applyFont="1" applyFill="1"/>
    <xf numFmtId="0" fontId="54" fillId="9" borderId="0" xfId="0" applyFont="1" applyFill="1"/>
    <xf numFmtId="0" fontId="54" fillId="0" borderId="0" xfId="8" applyFont="1"/>
    <xf numFmtId="0" fontId="54" fillId="0" borderId="2" xfId="8" applyFont="1" applyBorder="1" applyAlignment="1">
      <alignment horizontal="center"/>
    </xf>
    <xf numFmtId="0" fontId="54" fillId="0" borderId="0" xfId="8" applyFont="1" applyAlignment="1">
      <alignment horizontal="center"/>
    </xf>
    <xf numFmtId="1" fontId="54" fillId="0" borderId="0" xfId="8" applyNumberFormat="1" applyFont="1" applyAlignment="1">
      <alignment horizontal="center"/>
    </xf>
    <xf numFmtId="178" fontId="54" fillId="0" borderId="0" xfId="8" applyNumberFormat="1" applyFont="1" applyAlignment="1">
      <alignment horizontal="center"/>
    </xf>
    <xf numFmtId="2" fontId="54" fillId="0" borderId="0" xfId="8" applyNumberFormat="1" applyFont="1" applyAlignment="1">
      <alignment horizontal="center"/>
    </xf>
    <xf numFmtId="164" fontId="54" fillId="0" borderId="0" xfId="1" applyNumberFormat="1" applyFont="1" applyAlignment="1">
      <alignment horizontal="center"/>
    </xf>
    <xf numFmtId="164" fontId="54" fillId="0" borderId="2" xfId="1" applyNumberFormat="1" applyFont="1" applyBorder="1" applyAlignment="1">
      <alignment horizontal="center"/>
    </xf>
    <xf numFmtId="0" fontId="4" fillId="0" borderId="0" xfId="8" applyFont="1" applyAlignment="1">
      <alignment horizontal="center"/>
    </xf>
    <xf numFmtId="164" fontId="8" fillId="9" borderId="0" xfId="1" applyNumberFormat="1" applyFont="1" applyFill="1" applyAlignment="1">
      <alignment horizontal="center"/>
    </xf>
    <xf numFmtId="164" fontId="54" fillId="0" borderId="0" xfId="1" applyNumberFormat="1" applyFont="1"/>
    <xf numFmtId="0" fontId="54" fillId="0" borderId="2" xfId="8" applyFont="1" applyBorder="1"/>
    <xf numFmtId="0" fontId="54" fillId="10" borderId="0" xfId="0" applyFont="1" applyFill="1"/>
    <xf numFmtId="164" fontId="8" fillId="0" borderId="0" xfId="1" applyNumberFormat="1" applyFont="1" applyAlignment="1">
      <alignment horizontal="center"/>
    </xf>
    <xf numFmtId="178" fontId="54" fillId="0" borderId="0" xfId="0" applyNumberFormat="1" applyFont="1"/>
    <xf numFmtId="43" fontId="54" fillId="0" borderId="0" xfId="1" applyFont="1" applyBorder="1" applyAlignment="1">
      <alignment horizontal="center"/>
    </xf>
    <xf numFmtId="0" fontId="54" fillId="0" borderId="2" xfId="0" applyFont="1" applyBorder="1"/>
    <xf numFmtId="164" fontId="55" fillId="0" borderId="0" xfId="1" applyNumberFormat="1" applyFont="1" applyFill="1"/>
    <xf numFmtId="164" fontId="55" fillId="0" borderId="0" xfId="0" applyNumberFormat="1" applyFont="1"/>
    <xf numFmtId="0" fontId="55" fillId="0" borderId="0" xfId="0" applyFont="1"/>
    <xf numFmtId="164" fontId="55" fillId="0" borderId="2" xfId="1" applyNumberFormat="1" applyFont="1" applyFill="1" applyBorder="1"/>
    <xf numFmtId="164" fontId="55" fillId="0" borderId="2" xfId="0" applyNumberFormat="1" applyFont="1" applyBorder="1"/>
    <xf numFmtId="0" fontId="54" fillId="11" borderId="2" xfId="0" applyFont="1" applyFill="1" applyBorder="1"/>
    <xf numFmtId="0" fontId="54" fillId="11" borderId="2" xfId="0" applyFont="1" applyFill="1" applyBorder="1" applyAlignment="1">
      <alignment horizontal="center"/>
    </xf>
    <xf numFmtId="0" fontId="8" fillId="11" borderId="2" xfId="0" applyFont="1" applyFill="1" applyBorder="1" applyAlignment="1">
      <alignment horizontal="center"/>
    </xf>
    <xf numFmtId="14" fontId="54" fillId="11" borderId="0" xfId="0" applyNumberFormat="1" applyFont="1" applyFill="1" applyAlignment="1">
      <alignment horizontal="left"/>
    </xf>
    <xf numFmtId="164" fontId="54" fillId="11" borderId="0" xfId="0" applyNumberFormat="1" applyFont="1" applyFill="1" applyAlignment="1">
      <alignment horizontal="right"/>
    </xf>
    <xf numFmtId="164" fontId="8" fillId="11" borderId="0" xfId="0" applyNumberFormat="1" applyFont="1" applyFill="1" applyAlignment="1">
      <alignment horizontal="right"/>
    </xf>
    <xf numFmtId="0" fontId="54" fillId="11" borderId="0" xfId="0" applyFont="1" applyFill="1" applyAlignment="1">
      <alignment horizontal="left"/>
    </xf>
    <xf numFmtId="3" fontId="54" fillId="11" borderId="0" xfId="0" applyNumberFormat="1" applyFont="1" applyFill="1" applyAlignment="1">
      <alignment horizontal="right"/>
    </xf>
    <xf numFmtId="164" fontId="54" fillId="11" borderId="0" xfId="1" applyNumberFormat="1" applyFont="1" applyFill="1" applyAlignment="1">
      <alignment horizontal="right"/>
    </xf>
    <xf numFmtId="0" fontId="54" fillId="11" borderId="0" xfId="0" applyFont="1" applyFill="1" applyAlignment="1">
      <alignment horizontal="right"/>
    </xf>
    <xf numFmtId="1" fontId="54" fillId="0" borderId="0" xfId="0" applyNumberFormat="1" applyFont="1"/>
    <xf numFmtId="0" fontId="54" fillId="11" borderId="0" xfId="0" applyFont="1" applyFill="1"/>
    <xf numFmtId="0" fontId="54" fillId="11" borderId="2" xfId="0" applyFont="1" applyFill="1" applyBorder="1" applyAlignment="1">
      <alignment horizontal="left"/>
    </xf>
    <xf numFmtId="164" fontId="54" fillId="11" borderId="2" xfId="0" applyNumberFormat="1" applyFont="1" applyFill="1" applyBorder="1" applyAlignment="1">
      <alignment horizontal="right"/>
    </xf>
    <xf numFmtId="164" fontId="8" fillId="11" borderId="2" xfId="0" applyNumberFormat="1" applyFont="1" applyFill="1" applyBorder="1" applyAlignment="1">
      <alignment horizontal="right"/>
    </xf>
    <xf numFmtId="0" fontId="54" fillId="12" borderId="0" xfId="0" applyFont="1" applyFill="1"/>
    <xf numFmtId="9" fontId="54" fillId="0" borderId="0" xfId="0" applyNumberFormat="1" applyFont="1"/>
    <xf numFmtId="0" fontId="54" fillId="0" borderId="0" xfId="0" applyFont="1" applyAlignment="1">
      <alignment horizontal="right"/>
    </xf>
    <xf numFmtId="0" fontId="54" fillId="0" borderId="2" xfId="0" applyFont="1" applyBorder="1" applyAlignment="1">
      <alignment horizontal="center"/>
    </xf>
    <xf numFmtId="0" fontId="54" fillId="0" borderId="0" xfId="0" applyFont="1" applyAlignment="1">
      <alignment horizontal="center"/>
    </xf>
    <xf numFmtId="43" fontId="54" fillId="0" borderId="0" xfId="1" applyFont="1"/>
    <xf numFmtId="164" fontId="54" fillId="0" borderId="0" xfId="1" applyNumberFormat="1" applyFont="1" applyFill="1"/>
    <xf numFmtId="164" fontId="54" fillId="0" borderId="2" xfId="1" applyNumberFormat="1" applyFont="1" applyFill="1" applyBorder="1"/>
    <xf numFmtId="164" fontId="8" fillId="0" borderId="0" xfId="1" applyNumberFormat="1" applyFont="1" applyFill="1"/>
    <xf numFmtId="164" fontId="8" fillId="0" borderId="0" xfId="1" applyNumberFormat="1" applyFont="1" applyFill="1" applyAlignment="1">
      <alignment horizontal="center"/>
    </xf>
    <xf numFmtId="164" fontId="54" fillId="0" borderId="0" xfId="1" applyNumberFormat="1" applyFont="1" applyFill="1" applyAlignment="1">
      <alignment horizontal="center"/>
    </xf>
    <xf numFmtId="164" fontId="54" fillId="0" borderId="2" xfId="1" applyNumberFormat="1" applyFont="1" applyFill="1" applyBorder="1" applyAlignment="1">
      <alignment horizontal="center"/>
    </xf>
    <xf numFmtId="0" fontId="54" fillId="13" borderId="0" xfId="0" applyFont="1" applyFill="1"/>
    <xf numFmtId="169" fontId="54" fillId="0" borderId="0" xfId="0" applyNumberFormat="1" applyFont="1"/>
    <xf numFmtId="3" fontId="55" fillId="0" borderId="0" xfId="0" applyNumberFormat="1" applyFont="1"/>
    <xf numFmtId="164" fontId="8" fillId="13" borderId="0" xfId="0" applyNumberFormat="1" applyFont="1" applyFill="1"/>
    <xf numFmtId="0" fontId="56" fillId="0" borderId="0" xfId="0" applyFont="1"/>
    <xf numFmtId="0" fontId="8" fillId="0" borderId="0" xfId="0" applyFont="1"/>
    <xf numFmtId="164" fontId="54" fillId="14" borderId="0" xfId="0" applyNumberFormat="1" applyFont="1" applyFill="1"/>
    <xf numFmtId="164" fontId="8" fillId="14" borderId="0" xfId="0" applyNumberFormat="1" applyFont="1" applyFill="1"/>
    <xf numFmtId="0" fontId="57" fillId="0" borderId="0" xfId="0" applyFont="1"/>
    <xf numFmtId="0" fontId="0" fillId="0" borderId="0" xfId="0" quotePrefix="1"/>
    <xf numFmtId="0" fontId="31" fillId="0" borderId="0" xfId="0" applyFont="1"/>
    <xf numFmtId="164" fontId="0" fillId="0" borderId="0" xfId="1" applyNumberFormat="1" applyFont="1" applyFill="1"/>
    <xf numFmtId="164" fontId="0" fillId="0" borderId="0" xfId="0" applyNumberFormat="1"/>
    <xf numFmtId="0" fontId="25" fillId="0" borderId="0" xfId="0" applyFont="1"/>
    <xf numFmtId="0" fontId="0" fillId="0" borderId="0" xfId="0" applyAlignment="1">
      <alignment horizontal="left" indent="1"/>
    </xf>
    <xf numFmtId="43" fontId="0" fillId="0" borderId="0" xfId="0" applyNumberFormat="1"/>
    <xf numFmtId="9" fontId="0" fillId="0" borderId="0" xfId="0" applyNumberFormat="1"/>
    <xf numFmtId="14" fontId="0" fillId="0" borderId="0" xfId="0" applyNumberFormat="1"/>
    <xf numFmtId="3" fontId="12" fillId="5" borderId="1" xfId="0" applyNumberFormat="1" applyFont="1" applyFill="1" applyBorder="1"/>
    <xf numFmtId="0" fontId="15" fillId="5" borderId="1" xfId="0" applyFont="1" applyFill="1" applyBorder="1" applyAlignment="1">
      <alignment wrapText="1"/>
    </xf>
    <xf numFmtId="10" fontId="0" fillId="0" borderId="0" xfId="3" applyNumberFormat="1" applyFont="1" applyFill="1"/>
    <xf numFmtId="10" fontId="12" fillId="5" borderId="1" xfId="0" applyNumberFormat="1" applyFont="1" applyFill="1" applyBorder="1"/>
    <xf numFmtId="9" fontId="0" fillId="0" borderId="0" xfId="3" applyFont="1" applyFill="1"/>
    <xf numFmtId="0" fontId="31" fillId="0" borderId="0" xfId="0" applyFont="1" applyAlignment="1">
      <alignment horizontal="center"/>
    </xf>
    <xf numFmtId="0" fontId="20" fillId="0" borderId="0" xfId="0" applyFont="1"/>
    <xf numFmtId="0" fontId="0" fillId="0" borderId="0" xfId="0" applyAlignment="1">
      <alignment wrapText="1"/>
    </xf>
    <xf numFmtId="0" fontId="59" fillId="0" borderId="0" xfId="0" applyFont="1"/>
    <xf numFmtId="6" fontId="3" fillId="0" borderId="0" xfId="0" applyNumberFormat="1" applyFont="1"/>
    <xf numFmtId="3" fontId="4" fillId="0" borderId="0" xfId="0" applyNumberFormat="1" applyFont="1"/>
    <xf numFmtId="9" fontId="4" fillId="0" borderId="0" xfId="0" applyNumberFormat="1" applyFont="1"/>
    <xf numFmtId="16" fontId="4" fillId="0" borderId="0" xfId="0" applyNumberFormat="1" applyFont="1" applyAlignment="1">
      <alignment horizontal="center"/>
    </xf>
    <xf numFmtId="0" fontId="4" fillId="0" borderId="0" xfId="0" applyFont="1" applyAlignment="1">
      <alignment horizontal="center"/>
    </xf>
    <xf numFmtId="0" fontId="4" fillId="0" borderId="0" xfId="0" applyFont="1" applyAlignment="1">
      <alignment horizontal="center" vertical="center"/>
    </xf>
    <xf numFmtId="3" fontId="4" fillId="0" borderId="0" xfId="0" applyNumberFormat="1" applyFont="1" applyAlignment="1">
      <alignment horizontal="center" vertical="center"/>
    </xf>
    <xf numFmtId="179" fontId="4" fillId="0" borderId="0" xfId="0" applyNumberFormat="1" applyFont="1" applyAlignment="1">
      <alignment horizontal="center" vertical="center"/>
    </xf>
    <xf numFmtId="0" fontId="12" fillId="5" borderId="7" xfId="0" applyFont="1" applyFill="1" applyBorder="1" applyAlignment="1">
      <alignment horizontal="left" vertical="top"/>
    </xf>
    <xf numFmtId="0" fontId="12" fillId="5" borderId="5" xfId="0" quotePrefix="1" applyFont="1" applyFill="1" applyBorder="1" applyAlignment="1">
      <alignment vertical="top" wrapText="1"/>
    </xf>
    <xf numFmtId="0" fontId="12" fillId="5" borderId="9" xfId="0" quotePrefix="1" applyFont="1" applyFill="1" applyBorder="1" applyAlignment="1">
      <alignment vertical="top" wrapText="1"/>
    </xf>
    <xf numFmtId="0" fontId="12" fillId="5" borderId="10" xfId="0" quotePrefix="1" applyFont="1" applyFill="1" applyBorder="1" applyAlignment="1">
      <alignment vertical="top" wrapText="1"/>
    </xf>
    <xf numFmtId="0" fontId="12" fillId="5" borderId="11" xfId="0" quotePrefix="1" applyFont="1" applyFill="1" applyBorder="1" applyAlignment="1">
      <alignment vertical="top" wrapText="1"/>
    </xf>
    <xf numFmtId="0" fontId="12" fillId="5" borderId="8" xfId="0" quotePrefix="1" applyFont="1" applyFill="1" applyBorder="1" applyAlignment="1">
      <alignment vertical="top" wrapText="1"/>
    </xf>
    <xf numFmtId="0" fontId="12" fillId="5" borderId="2" xfId="0" quotePrefix="1" applyFont="1" applyFill="1" applyBorder="1" applyAlignment="1">
      <alignment vertical="top" wrapText="1"/>
    </xf>
    <xf numFmtId="0" fontId="12" fillId="5" borderId="4" xfId="0" quotePrefix="1" applyFont="1" applyFill="1" applyBorder="1" applyAlignment="1">
      <alignment vertical="top" wrapText="1"/>
    </xf>
    <xf numFmtId="0" fontId="12" fillId="5" borderId="12" xfId="0" applyFont="1" applyFill="1" applyBorder="1" applyAlignment="1">
      <alignment vertical="center" wrapText="1"/>
    </xf>
    <xf numFmtId="180" fontId="12" fillId="5" borderId="1" xfId="0" applyNumberFormat="1" applyFont="1" applyFill="1" applyBorder="1" applyAlignment="1">
      <alignment horizontal="center" vertical="center" wrapText="1"/>
    </xf>
    <xf numFmtId="0" fontId="15" fillId="5" borderId="0" xfId="0" applyFont="1" applyFill="1" applyAlignment="1">
      <alignment wrapText="1"/>
    </xf>
    <xf numFmtId="0" fontId="15" fillId="0" borderId="0" xfId="0" applyFont="1" applyAlignment="1">
      <alignment horizontal="left" wrapText="1"/>
    </xf>
    <xf numFmtId="0" fontId="8" fillId="0" borderId="0" xfId="0" applyFont="1" applyAlignment="1">
      <alignment vertical="center"/>
    </xf>
    <xf numFmtId="0" fontId="19" fillId="0" borderId="0" xfId="0" quotePrefix="1" applyFont="1"/>
    <xf numFmtId="0" fontId="20" fillId="0" borderId="0" xfId="0" quotePrefix="1" applyFont="1"/>
    <xf numFmtId="0" fontId="60" fillId="0" borderId="0" xfId="0" quotePrefix="1" applyFont="1"/>
    <xf numFmtId="165" fontId="12" fillId="5" borderId="0" xfId="6" applyNumberFormat="1" applyFont="1" applyFill="1" applyBorder="1" applyAlignment="1">
      <alignment horizontal="center" vertical="center" wrapText="1"/>
    </xf>
    <xf numFmtId="165" fontId="12" fillId="5" borderId="1" xfId="6" applyNumberFormat="1" applyFont="1" applyFill="1" applyBorder="1" applyAlignment="1">
      <alignment horizontal="left" vertical="center" wrapText="1"/>
    </xf>
    <xf numFmtId="0" fontId="0" fillId="5" borderId="0" xfId="0" applyFill="1"/>
    <xf numFmtId="5" fontId="12" fillId="5" borderId="1" xfId="0" applyNumberFormat="1" applyFont="1" applyFill="1" applyBorder="1" applyAlignment="1">
      <alignment horizontal="left" vertical="center" wrapText="1"/>
    </xf>
    <xf numFmtId="0" fontId="14" fillId="5" borderId="0" xfId="0" applyFont="1" applyFill="1"/>
    <xf numFmtId="0" fontId="39" fillId="5" borderId="0" xfId="0" applyFont="1" applyFill="1"/>
    <xf numFmtId="0" fontId="21" fillId="7" borderId="16" xfId="0" applyFont="1" applyFill="1" applyBorder="1" applyAlignment="1">
      <alignment horizontal="center" vertical="center"/>
    </xf>
    <xf numFmtId="0" fontId="61" fillId="15" borderId="16" xfId="0" applyFont="1" applyFill="1" applyBorder="1" applyAlignment="1">
      <alignment vertical="center"/>
    </xf>
    <xf numFmtId="0" fontId="61" fillId="5" borderId="16" xfId="0" applyFont="1" applyFill="1" applyBorder="1" applyAlignment="1">
      <alignment vertical="center"/>
    </xf>
    <xf numFmtId="0" fontId="61" fillId="5" borderId="17" xfId="0" applyFont="1" applyFill="1" applyBorder="1" applyAlignment="1">
      <alignment vertical="center"/>
    </xf>
    <xf numFmtId="0" fontId="61" fillId="15" borderId="18" xfId="0" applyFont="1" applyFill="1" applyBorder="1" applyAlignment="1">
      <alignment vertical="center"/>
    </xf>
    <xf numFmtId="0" fontId="61" fillId="15" borderId="19" xfId="0" applyFont="1" applyFill="1" applyBorder="1" applyAlignment="1">
      <alignment vertical="center"/>
    </xf>
    <xf numFmtId="0" fontId="61" fillId="5" borderId="16" xfId="0" applyFont="1" applyFill="1" applyBorder="1" applyAlignment="1">
      <alignment horizontal="left" vertical="center" indent="5"/>
    </xf>
    <xf numFmtId="0" fontId="61" fillId="5" borderId="20" xfId="0" applyFont="1" applyFill="1" applyBorder="1" applyAlignment="1">
      <alignment horizontal="left" vertical="center" indent="5"/>
    </xf>
    <xf numFmtId="0" fontId="61" fillId="5" borderId="19" xfId="0" applyFont="1" applyFill="1" applyBorder="1" applyAlignment="1">
      <alignment horizontal="right" vertical="center"/>
    </xf>
    <xf numFmtId="0" fontId="61" fillId="5" borderId="19" xfId="0" applyFont="1" applyFill="1" applyBorder="1" applyAlignment="1">
      <alignment horizontal="left" vertical="center" indent="5"/>
    </xf>
    <xf numFmtId="0" fontId="62" fillId="5" borderId="16" xfId="0" applyFont="1" applyFill="1" applyBorder="1" applyAlignment="1">
      <alignment horizontal="center" vertical="center"/>
    </xf>
    <xf numFmtId="0" fontId="62" fillId="5" borderId="17" xfId="0" applyFont="1" applyFill="1" applyBorder="1" applyAlignment="1">
      <alignment vertical="center"/>
    </xf>
    <xf numFmtId="0" fontId="62" fillId="5" borderId="26" xfId="0" applyFont="1" applyFill="1" applyBorder="1" applyAlignment="1">
      <alignment vertical="center"/>
    </xf>
    <xf numFmtId="0" fontId="21" fillId="7" borderId="16" xfId="13" applyNumberFormat="1" applyFont="1" applyFill="1" applyBorder="1" applyAlignment="1">
      <alignment horizontal="center" vertical="center"/>
    </xf>
    <xf numFmtId="0" fontId="61" fillId="5" borderId="19" xfId="0" applyFont="1" applyFill="1" applyBorder="1" applyAlignment="1">
      <alignment vertical="center"/>
    </xf>
    <xf numFmtId="0" fontId="63" fillId="5" borderId="0" xfId="0" applyFont="1" applyFill="1" applyAlignment="1">
      <alignment vertical="center"/>
    </xf>
    <xf numFmtId="0" fontId="14" fillId="5" borderId="0" xfId="0" applyFont="1" applyFill="1" applyAlignment="1">
      <alignment horizontal="left" vertical="center" indent="10"/>
    </xf>
    <xf numFmtId="0" fontId="14" fillId="5" borderId="0" xfId="0" applyFont="1" applyFill="1" applyAlignment="1">
      <alignment horizontal="left" vertical="center" indent="5"/>
    </xf>
    <xf numFmtId="0" fontId="14" fillId="5" borderId="0" xfId="0" applyFont="1" applyFill="1" applyAlignment="1">
      <alignment horizontal="center" vertical="center" wrapText="1"/>
    </xf>
    <xf numFmtId="10" fontId="14" fillId="5" borderId="0" xfId="0" applyNumberFormat="1" applyFont="1" applyFill="1" applyAlignment="1">
      <alignment horizontal="center" vertical="center" wrapText="1"/>
    </xf>
    <xf numFmtId="0" fontId="14" fillId="5" borderId="0" xfId="0" applyFont="1" applyFill="1" applyAlignment="1">
      <alignment vertical="center" wrapText="1"/>
    </xf>
    <xf numFmtId="0" fontId="14" fillId="5" borderId="0" xfId="0" applyFont="1" applyFill="1" applyAlignment="1">
      <alignment vertical="center"/>
    </xf>
    <xf numFmtId="0" fontId="39" fillId="5" borderId="0" xfId="0" applyFont="1" applyFill="1" applyAlignment="1">
      <alignment vertical="center" wrapText="1"/>
    </xf>
    <xf numFmtId="0" fontId="14" fillId="5" borderId="0" xfId="0" applyFont="1" applyFill="1" applyAlignment="1">
      <alignment horizontal="left" vertical="center" indent="6"/>
    </xf>
    <xf numFmtId="0" fontId="64" fillId="5" borderId="0" xfId="0" quotePrefix="1" applyFont="1" applyFill="1" applyAlignment="1">
      <alignment vertical="center"/>
    </xf>
    <xf numFmtId="0" fontId="64" fillId="5" borderId="0" xfId="0" applyFont="1" applyFill="1" applyAlignment="1">
      <alignment vertical="center"/>
    </xf>
    <xf numFmtId="0" fontId="14" fillId="0" borderId="0" xfId="0" applyFont="1" applyAlignment="1">
      <alignment vertical="center" wrapText="1"/>
    </xf>
    <xf numFmtId="0" fontId="14" fillId="15" borderId="16" xfId="0" applyFont="1" applyFill="1" applyBorder="1" applyAlignment="1">
      <alignment vertical="center" wrapText="1"/>
    </xf>
    <xf numFmtId="181" fontId="14" fillId="5" borderId="16" xfId="13" applyNumberFormat="1" applyFont="1" applyFill="1" applyBorder="1" applyAlignment="1">
      <alignment vertical="center" wrapText="1"/>
    </xf>
    <xf numFmtId="0" fontId="14" fillId="5" borderId="17" xfId="0" applyFont="1" applyFill="1" applyBorder="1" applyAlignment="1">
      <alignment vertical="center" wrapText="1"/>
    </xf>
    <xf numFmtId="9" fontId="14" fillId="0" borderId="0" xfId="0" applyNumberFormat="1" applyFont="1" applyAlignment="1">
      <alignment vertical="center" wrapText="1"/>
    </xf>
    <xf numFmtId="9" fontId="14" fillId="5" borderId="16" xfId="0" applyNumberFormat="1" applyFont="1" applyFill="1" applyBorder="1" applyAlignment="1">
      <alignment vertical="center" wrapText="1"/>
    </xf>
    <xf numFmtId="0" fontId="14" fillId="0" borderId="0" xfId="0" applyFont="1" applyAlignment="1">
      <alignment horizontal="right" vertical="center" wrapText="1"/>
    </xf>
    <xf numFmtId="0" fontId="14" fillId="15" borderId="16" xfId="0" applyFont="1" applyFill="1" applyBorder="1" applyAlignment="1">
      <alignment horizontal="right" vertical="center" wrapText="1"/>
    </xf>
    <xf numFmtId="0" fontId="14" fillId="5" borderId="16" xfId="0" applyFont="1" applyFill="1" applyBorder="1" applyAlignment="1">
      <alignment vertical="center" wrapText="1"/>
    </xf>
    <xf numFmtId="0" fontId="14" fillId="5" borderId="28" xfId="0" applyFont="1" applyFill="1" applyBorder="1" applyAlignment="1">
      <alignment vertical="center" wrapText="1"/>
    </xf>
    <xf numFmtId="172" fontId="14" fillId="5" borderId="0" xfId="0" applyNumberFormat="1" applyFont="1" applyFill="1" applyAlignment="1">
      <alignment vertical="center" wrapText="1"/>
    </xf>
    <xf numFmtId="0" fontId="14" fillId="5" borderId="0" xfId="0" applyFont="1" applyFill="1" applyAlignment="1">
      <alignment horizontal="right" vertical="center" wrapText="1"/>
    </xf>
    <xf numFmtId="0" fontId="14" fillId="5" borderId="0" xfId="0" applyFont="1" applyFill="1" applyAlignment="1">
      <alignment horizontal="right"/>
    </xf>
    <xf numFmtId="0" fontId="39" fillId="5" borderId="0" xfId="0" applyFont="1" applyFill="1" applyAlignment="1">
      <alignment vertical="center"/>
    </xf>
    <xf numFmtId="0" fontId="65" fillId="5" borderId="0" xfId="0" applyFont="1" applyFill="1"/>
    <xf numFmtId="0" fontId="4" fillId="0" borderId="0" xfId="14" applyFont="1" applyProtection="1">
      <protection locked="0"/>
    </xf>
    <xf numFmtId="0" fontId="4" fillId="3" borderId="0" xfId="14" applyFont="1" applyFill="1" applyProtection="1">
      <protection locked="0"/>
    </xf>
    <xf numFmtId="0" fontId="4" fillId="3" borderId="0" xfId="14" applyFont="1" applyFill="1"/>
    <xf numFmtId="0" fontId="4" fillId="2" borderId="0" xfId="14" applyFont="1" applyFill="1"/>
    <xf numFmtId="0" fontId="4" fillId="0" borderId="0" xfId="14" applyFont="1" applyAlignment="1" applyProtection="1">
      <alignment horizontal="right"/>
      <protection locked="0"/>
    </xf>
    <xf numFmtId="0" fontId="66" fillId="0" borderId="0" xfId="15" applyNumberFormat="1" applyFont="1" applyProtection="1">
      <protection locked="0"/>
    </xf>
    <xf numFmtId="0" fontId="4" fillId="0" borderId="0" xfId="15" applyNumberFormat="1" applyFont="1" applyProtection="1">
      <protection locked="0"/>
    </xf>
    <xf numFmtId="0" fontId="4" fillId="0" borderId="0" xfId="14" applyFont="1" applyAlignment="1" applyProtection="1">
      <alignment horizontal="right" wrapText="1"/>
      <protection locked="0"/>
    </xf>
    <xf numFmtId="0" fontId="3" fillId="0" borderId="0" xfId="14" applyFont="1" applyAlignment="1" applyProtection="1">
      <alignment horizontal="left" vertical="center" indent="4"/>
      <protection locked="0"/>
    </xf>
    <xf numFmtId="0" fontId="4" fillId="0" borderId="0" xfId="16" applyNumberFormat="1" applyFont="1" applyProtection="1">
      <protection locked="0"/>
    </xf>
    <xf numFmtId="0" fontId="4" fillId="0" borderId="0" xfId="14" quotePrefix="1" applyFont="1" applyProtection="1">
      <protection locked="0"/>
    </xf>
    <xf numFmtId="0" fontId="4" fillId="0" borderId="0" xfId="14" quotePrefix="1" applyFont="1" applyAlignment="1" applyProtection="1">
      <alignment vertical="center"/>
      <protection locked="0"/>
    </xf>
    <xf numFmtId="0" fontId="3" fillId="0" borderId="0" xfId="14" applyFont="1" applyAlignment="1" applyProtection="1">
      <alignment horizontal="left" vertical="center"/>
      <protection locked="0"/>
    </xf>
    <xf numFmtId="0" fontId="4" fillId="0" borderId="0" xfId="14" applyFont="1" applyAlignment="1" applyProtection="1">
      <alignment vertical="center"/>
      <protection locked="0"/>
    </xf>
    <xf numFmtId="0" fontId="4" fillId="2" borderId="0" xfId="14" applyFont="1" applyFill="1" applyAlignment="1">
      <alignment horizontal="left" vertical="top" wrapText="1"/>
    </xf>
    <xf numFmtId="0" fontId="4" fillId="2" borderId="0" xfId="14" applyFont="1" applyFill="1" applyAlignment="1">
      <alignment horizontal="left" vertical="top"/>
    </xf>
    <xf numFmtId="9" fontId="4" fillId="2" borderId="0" xfId="14" applyNumberFormat="1" applyFont="1" applyFill="1"/>
    <xf numFmtId="0" fontId="4" fillId="2" borderId="0" xfId="14" applyFont="1" applyFill="1" applyAlignment="1">
      <alignment horizontal="left" indent="3"/>
    </xf>
    <xf numFmtId="0" fontId="4" fillId="2" borderId="0" xfId="14" applyFont="1" applyFill="1" applyAlignment="1">
      <alignment vertical="top" wrapText="1"/>
    </xf>
    <xf numFmtId="10" fontId="4" fillId="2" borderId="0" xfId="14" applyNumberFormat="1" applyFont="1" applyFill="1"/>
    <xf numFmtId="0" fontId="4" fillId="2" borderId="0" xfId="14" applyFont="1" applyFill="1" applyAlignment="1">
      <alignment horizontal="right"/>
    </xf>
    <xf numFmtId="0" fontId="4" fillId="2" borderId="0" xfId="14" applyFont="1" applyFill="1" applyAlignment="1">
      <alignment vertical="center"/>
    </xf>
    <xf numFmtId="0" fontId="4" fillId="2" borderId="0" xfId="14" applyFont="1" applyFill="1" applyAlignment="1">
      <alignment vertical="center" wrapText="1"/>
    </xf>
    <xf numFmtId="10" fontId="4" fillId="2" borderId="0" xfId="14" applyNumberFormat="1" applyFont="1" applyFill="1" applyAlignment="1">
      <alignment vertical="center" wrapText="1"/>
    </xf>
    <xf numFmtId="169" fontId="4" fillId="2" borderId="1" xfId="14" applyNumberFormat="1" applyFont="1" applyFill="1" applyBorder="1" applyAlignment="1">
      <alignment horizontal="right" vertical="center" wrapText="1"/>
    </xf>
    <xf numFmtId="9" fontId="4" fillId="2" borderId="1" xfId="14" applyNumberFormat="1" applyFont="1" applyFill="1" applyBorder="1" applyAlignment="1">
      <alignment horizontal="right" vertical="center" wrapText="1"/>
    </xf>
    <xf numFmtId="0" fontId="4" fillId="2" borderId="1" xfId="14" applyFont="1" applyFill="1" applyBorder="1" applyAlignment="1">
      <alignment vertical="center" wrapText="1"/>
    </xf>
    <xf numFmtId="0" fontId="4" fillId="2" borderId="0" xfId="14" applyFont="1" applyFill="1" applyAlignment="1">
      <alignment horizontal="left" vertical="center" indent="10"/>
    </xf>
    <xf numFmtId="169" fontId="4" fillId="2" borderId="1" xfId="14" applyNumberFormat="1" applyFont="1" applyFill="1" applyBorder="1" applyAlignment="1">
      <alignment horizontal="center" vertical="center" wrapText="1"/>
    </xf>
    <xf numFmtId="0" fontId="4" fillId="2" borderId="1" xfId="14" applyFont="1" applyFill="1" applyBorder="1" applyAlignment="1">
      <alignment horizontal="center" vertical="center" wrapText="1"/>
    </xf>
    <xf numFmtId="0" fontId="4" fillId="2" borderId="0" xfId="14" applyFont="1" applyFill="1" applyAlignment="1">
      <alignment horizontal="left" vertical="center"/>
    </xf>
    <xf numFmtId="0" fontId="7" fillId="2" borderId="0" xfId="14" applyFont="1" applyFill="1"/>
    <xf numFmtId="0" fontId="5" fillId="2" borderId="0" xfId="14" applyFont="1" applyFill="1"/>
    <xf numFmtId="0" fontId="3" fillId="2" borderId="0" xfId="14" applyFont="1" applyFill="1"/>
    <xf numFmtId="0" fontId="4" fillId="0" borderId="0" xfId="0" applyFont="1" applyProtection="1">
      <protection locked="0"/>
    </xf>
    <xf numFmtId="0" fontId="4" fillId="3" borderId="0" xfId="0" applyFont="1" applyFill="1" applyProtection="1">
      <protection locked="0"/>
    </xf>
    <xf numFmtId="43" fontId="4" fillId="0" borderId="0" xfId="0" applyNumberFormat="1" applyFont="1" applyProtection="1">
      <protection locked="0"/>
    </xf>
    <xf numFmtId="0" fontId="4" fillId="0" borderId="0" xfId="0" applyFont="1" applyAlignment="1" applyProtection="1">
      <alignment horizontal="right"/>
      <protection locked="0"/>
    </xf>
    <xf numFmtId="43" fontId="66" fillId="0" borderId="0" xfId="1" applyFont="1" applyProtection="1">
      <protection locked="0"/>
    </xf>
    <xf numFmtId="10" fontId="4" fillId="0" borderId="0" xfId="0" applyNumberFormat="1" applyFont="1" applyProtection="1">
      <protection locked="0"/>
    </xf>
    <xf numFmtId="180" fontId="4" fillId="0" borderId="0" xfId="0" applyNumberFormat="1" applyFont="1" applyProtection="1">
      <protection locked="0"/>
    </xf>
    <xf numFmtId="43" fontId="4" fillId="0" borderId="0" xfId="1" applyFont="1" applyProtection="1">
      <protection locked="0"/>
    </xf>
    <xf numFmtId="10" fontId="4" fillId="11" borderId="0" xfId="3" applyNumberFormat="1" applyFont="1" applyFill="1" applyProtection="1">
      <protection locked="0"/>
    </xf>
    <xf numFmtId="0" fontId="4" fillId="11" borderId="0" xfId="0" applyFont="1" applyFill="1" applyProtection="1">
      <protection locked="0"/>
    </xf>
    <xf numFmtId="0" fontId="4" fillId="0" borderId="0" xfId="0" quotePrefix="1" applyFont="1"/>
    <xf numFmtId="0" fontId="4" fillId="0" borderId="0" xfId="0" quotePrefix="1" applyFont="1" applyAlignment="1">
      <alignment vertical="center"/>
    </xf>
    <xf numFmtId="0" fontId="3" fillId="0" borderId="0" xfId="0" applyFont="1" applyAlignment="1" applyProtection="1">
      <alignment horizontal="left" vertical="center" indent="4"/>
      <protection locked="0"/>
    </xf>
    <xf numFmtId="0" fontId="4" fillId="0" borderId="0" xfId="0" quotePrefix="1" applyFont="1" applyProtection="1">
      <protection locked="0"/>
    </xf>
    <xf numFmtId="0" fontId="3" fillId="0" borderId="0" xfId="0" applyFont="1" applyAlignment="1" applyProtection="1">
      <alignment horizontal="left" vertical="center"/>
      <protection locked="0"/>
    </xf>
    <xf numFmtId="0" fontId="4" fillId="0" borderId="0" xfId="0" applyFont="1" applyAlignment="1">
      <alignment vertical="center"/>
    </xf>
    <xf numFmtId="10" fontId="4" fillId="0" borderId="0" xfId="3" applyNumberFormat="1" applyFont="1" applyProtection="1">
      <protection locked="0"/>
    </xf>
    <xf numFmtId="0" fontId="3" fillId="0" borderId="0" xfId="0" quotePrefix="1" applyFont="1" applyAlignment="1" applyProtection="1">
      <alignment horizontal="left" vertical="center"/>
      <protection locked="0"/>
    </xf>
    <xf numFmtId="0" fontId="4" fillId="0" borderId="0" xfId="0" applyFont="1" applyAlignment="1" applyProtection="1">
      <alignment horizontal="right" wrapText="1"/>
      <protection locked="0"/>
    </xf>
    <xf numFmtId="182" fontId="4" fillId="0" borderId="0" xfId="0" applyNumberFormat="1" applyFont="1" applyProtection="1">
      <protection locked="0"/>
    </xf>
    <xf numFmtId="182" fontId="4" fillId="11" borderId="0" xfId="0" applyNumberFormat="1" applyFont="1" applyFill="1" applyProtection="1">
      <protection locked="0"/>
    </xf>
    <xf numFmtId="0" fontId="4" fillId="2" borderId="0" xfId="0" applyFont="1" applyFill="1" applyAlignment="1">
      <alignment horizontal="left" indent="3"/>
    </xf>
    <xf numFmtId="10" fontId="4" fillId="2" borderId="0" xfId="0" applyNumberFormat="1" applyFont="1" applyFill="1"/>
    <xf numFmtId="0" fontId="4" fillId="2" borderId="0" xfId="0" applyFont="1" applyFill="1" applyAlignment="1">
      <alignment horizontal="right"/>
    </xf>
    <xf numFmtId="9" fontId="4" fillId="2" borderId="0" xfId="0" applyNumberFormat="1" applyFont="1" applyFill="1"/>
    <xf numFmtId="0" fontId="4" fillId="2" borderId="0" xfId="0" applyFont="1" applyFill="1" applyAlignment="1">
      <alignment vertical="center"/>
    </xf>
    <xf numFmtId="0" fontId="4" fillId="2" borderId="0" xfId="0" applyFont="1" applyFill="1" applyAlignment="1">
      <alignment vertical="center" wrapText="1"/>
    </xf>
    <xf numFmtId="10" fontId="4" fillId="2" borderId="0" xfId="0" applyNumberFormat="1" applyFont="1" applyFill="1" applyAlignment="1">
      <alignment vertical="center" wrapText="1"/>
    </xf>
    <xf numFmtId="9" fontId="4" fillId="2" borderId="1" xfId="0" applyNumberFormat="1" applyFont="1" applyFill="1" applyBorder="1" applyAlignment="1">
      <alignment horizontal="center" vertical="center" wrapText="1"/>
    </xf>
    <xf numFmtId="169" fontId="4" fillId="2"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0" fontId="4" fillId="2" borderId="0" xfId="0" applyFont="1" applyFill="1" applyAlignment="1">
      <alignment horizontal="left" vertical="center" indent="10"/>
    </xf>
    <xf numFmtId="0" fontId="4" fillId="2" borderId="1" xfId="0" applyFont="1" applyFill="1" applyBorder="1" applyAlignment="1">
      <alignment horizontal="center" vertical="center" wrapText="1"/>
    </xf>
    <xf numFmtId="0" fontId="4" fillId="2" borderId="0" xfId="0" applyFont="1" applyFill="1" applyAlignment="1">
      <alignment horizontal="left" vertical="center"/>
    </xf>
    <xf numFmtId="0" fontId="7" fillId="2" borderId="0" xfId="0" applyFont="1" applyFill="1"/>
    <xf numFmtId="0" fontId="4" fillId="2" borderId="0" xfId="14" applyFont="1" applyFill="1" applyAlignment="1">
      <alignment vertical="top"/>
    </xf>
    <xf numFmtId="3" fontId="4" fillId="2" borderId="18" xfId="14" applyNumberFormat="1" applyFont="1" applyFill="1" applyBorder="1" applyAlignment="1">
      <alignment horizontal="right" vertical="center" wrapText="1"/>
    </xf>
    <xf numFmtId="0" fontId="4" fillId="2" borderId="28" xfId="14" applyFont="1" applyFill="1" applyBorder="1" applyAlignment="1">
      <alignment vertical="center" wrapText="1"/>
    </xf>
    <xf numFmtId="0" fontId="4" fillId="2" borderId="29" xfId="14" applyFont="1" applyFill="1" applyBorder="1" applyAlignment="1">
      <alignment horizontal="right" vertical="center" wrapText="1"/>
    </xf>
    <xf numFmtId="3" fontId="4" fillId="2" borderId="16" xfId="14" applyNumberFormat="1" applyFont="1" applyFill="1" applyBorder="1" applyAlignment="1">
      <alignment horizontal="right" vertical="center" wrapText="1"/>
    </xf>
    <xf numFmtId="0" fontId="4" fillId="2" borderId="17" xfId="14" applyFont="1" applyFill="1" applyBorder="1" applyAlignment="1">
      <alignment vertical="center" wrapText="1"/>
    </xf>
    <xf numFmtId="0" fontId="4" fillId="2" borderId="30" xfId="14" applyFont="1" applyFill="1" applyBorder="1" applyAlignment="1">
      <alignment horizontal="right" vertical="center" wrapText="1"/>
    </xf>
    <xf numFmtId="0" fontId="4" fillId="2" borderId="18" xfId="14" applyFont="1" applyFill="1" applyBorder="1" applyAlignment="1">
      <alignment horizontal="right" vertical="center" wrapText="1"/>
    </xf>
    <xf numFmtId="0" fontId="3" fillId="0" borderId="0" xfId="0" applyFont="1" applyProtection="1">
      <protection locked="0"/>
    </xf>
    <xf numFmtId="0" fontId="7" fillId="0" borderId="0" xfId="0" applyFont="1" applyProtection="1">
      <protection locked="0"/>
    </xf>
    <xf numFmtId="0" fontId="4" fillId="0" borderId="0" xfId="0" applyFont="1" applyAlignment="1" applyProtection="1">
      <alignment horizontal="left" vertical="top"/>
      <protection locked="0"/>
    </xf>
    <xf numFmtId="0" fontId="4" fillId="0" borderId="0" xfId="0" applyFont="1" applyAlignment="1" applyProtection="1">
      <alignment vertical="center"/>
      <protection locked="0"/>
    </xf>
    <xf numFmtId="0" fontId="4" fillId="0" borderId="0" xfId="0" applyFont="1" applyAlignment="1" applyProtection="1">
      <alignment horizontal="left" vertical="center" indent="1"/>
      <protection locked="0"/>
    </xf>
    <xf numFmtId="0" fontId="3" fillId="0" borderId="0" xfId="0" quotePrefix="1" applyFont="1" applyProtection="1">
      <protection locked="0"/>
    </xf>
    <xf numFmtId="3" fontId="4" fillId="2" borderId="18" xfId="0" applyNumberFormat="1" applyFont="1" applyFill="1" applyBorder="1" applyAlignment="1">
      <alignment horizontal="right" vertical="center" wrapText="1"/>
    </xf>
    <xf numFmtId="0" fontId="4" fillId="2" borderId="28" xfId="0" applyFont="1" applyFill="1" applyBorder="1" applyAlignment="1">
      <alignment vertical="center" wrapText="1"/>
    </xf>
    <xf numFmtId="0" fontId="4" fillId="2" borderId="29" xfId="0" applyFont="1" applyFill="1" applyBorder="1" applyAlignment="1">
      <alignment horizontal="right" vertical="center" wrapText="1"/>
    </xf>
    <xf numFmtId="3" fontId="4" fillId="2" borderId="16" xfId="0" applyNumberFormat="1" applyFont="1" applyFill="1" applyBorder="1" applyAlignment="1">
      <alignment horizontal="right" vertical="center" wrapText="1"/>
    </xf>
    <xf numFmtId="0" fontId="4" fillId="2" borderId="17" xfId="0" applyFont="1" applyFill="1" applyBorder="1" applyAlignment="1">
      <alignment vertical="center" wrapText="1"/>
    </xf>
    <xf numFmtId="0" fontId="4" fillId="2" borderId="30" xfId="0" applyFont="1" applyFill="1" applyBorder="1" applyAlignment="1">
      <alignment horizontal="right" vertical="center" wrapText="1"/>
    </xf>
    <xf numFmtId="0" fontId="4" fillId="2" borderId="18" xfId="0" applyFont="1" applyFill="1" applyBorder="1" applyAlignment="1">
      <alignment horizontal="right" vertical="center" wrapText="1"/>
    </xf>
    <xf numFmtId="0" fontId="4" fillId="0" borderId="0" xfId="17" applyFont="1" applyProtection="1">
      <protection locked="0"/>
    </xf>
    <xf numFmtId="0" fontId="4" fillId="3" borderId="0" xfId="17" applyFont="1" applyFill="1" applyProtection="1">
      <protection locked="0"/>
    </xf>
    <xf numFmtId="0" fontId="4" fillId="3" borderId="0" xfId="17" applyFont="1" applyFill="1"/>
    <xf numFmtId="0" fontId="4" fillId="2" borderId="0" xfId="17" applyFont="1" applyFill="1"/>
    <xf numFmtId="43" fontId="4" fillId="0" borderId="0" xfId="17" applyNumberFormat="1" applyFont="1" applyProtection="1">
      <protection locked="0"/>
    </xf>
    <xf numFmtId="0" fontId="4" fillId="0" borderId="0" xfId="17" applyFont="1" applyAlignment="1" applyProtection="1">
      <alignment horizontal="right"/>
      <protection locked="0"/>
    </xf>
    <xf numFmtId="43" fontId="66" fillId="0" borderId="0" xfId="15" applyFont="1" applyProtection="1">
      <protection locked="0"/>
    </xf>
    <xf numFmtId="10" fontId="4" fillId="0" borderId="0" xfId="17" applyNumberFormat="1" applyFont="1" applyProtection="1">
      <protection locked="0"/>
    </xf>
    <xf numFmtId="180" fontId="4" fillId="0" borderId="0" xfId="17" applyNumberFormat="1" applyFont="1" applyProtection="1">
      <protection locked="0"/>
    </xf>
    <xf numFmtId="43" fontId="4" fillId="0" borderId="0" xfId="15" applyFont="1" applyProtection="1">
      <protection locked="0"/>
    </xf>
    <xf numFmtId="0" fontId="4" fillId="0" borderId="0" xfId="17" applyFont="1" applyAlignment="1" applyProtection="1">
      <alignment horizontal="right" wrapText="1"/>
      <protection locked="0"/>
    </xf>
    <xf numFmtId="0" fontId="3" fillId="0" borderId="0" xfId="17" applyFont="1" applyAlignment="1" applyProtection="1">
      <alignment horizontal="left" vertical="center" indent="4"/>
      <protection locked="0"/>
    </xf>
    <xf numFmtId="0" fontId="4" fillId="0" borderId="0" xfId="17" quotePrefix="1" applyFont="1" applyProtection="1">
      <protection locked="0"/>
    </xf>
    <xf numFmtId="0" fontId="3" fillId="0" borderId="0" xfId="17" applyFont="1" applyAlignment="1" applyProtection="1">
      <alignment horizontal="left" vertical="center"/>
      <protection locked="0"/>
    </xf>
    <xf numFmtId="0" fontId="3" fillId="0" borderId="0" xfId="17" applyFont="1" applyProtection="1">
      <protection locked="0"/>
    </xf>
    <xf numFmtId="0" fontId="4" fillId="0" borderId="0" xfId="17" applyFont="1" applyAlignment="1" applyProtection="1">
      <alignment horizontal="left" vertical="top"/>
      <protection locked="0"/>
    </xf>
    <xf numFmtId="0" fontId="4" fillId="0" borderId="0" xfId="17" applyFont="1" applyAlignment="1" applyProtection="1">
      <alignment vertical="center"/>
      <protection locked="0"/>
    </xf>
    <xf numFmtId="0" fontId="7" fillId="0" borderId="0" xfId="17" applyFont="1" applyProtection="1">
      <protection locked="0"/>
    </xf>
    <xf numFmtId="0" fontId="4" fillId="0" borderId="0" xfId="17" applyFont="1" applyAlignment="1" applyProtection="1">
      <alignment horizontal="left" vertical="center" indent="1"/>
      <protection locked="0"/>
    </xf>
    <xf numFmtId="9" fontId="4" fillId="2" borderId="0" xfId="17" applyNumberFormat="1" applyFont="1" applyFill="1"/>
    <xf numFmtId="0" fontId="4" fillId="2" borderId="0" xfId="17" applyFont="1" applyFill="1" applyAlignment="1">
      <alignment horizontal="left" vertical="top"/>
    </xf>
    <xf numFmtId="0" fontId="4" fillId="2" borderId="0" xfId="17" applyFont="1" applyFill="1" applyAlignment="1">
      <alignment horizontal="left" vertical="top" wrapText="1"/>
    </xf>
    <xf numFmtId="10" fontId="4" fillId="2" borderId="0" xfId="17" applyNumberFormat="1" applyFont="1" applyFill="1"/>
    <xf numFmtId="0" fontId="4" fillId="2" borderId="0" xfId="17" applyFont="1" applyFill="1" applyAlignment="1">
      <alignment horizontal="left" indent="3"/>
    </xf>
    <xf numFmtId="0" fontId="4" fillId="2" borderId="0" xfId="17" applyFont="1" applyFill="1" applyAlignment="1">
      <alignment vertical="top"/>
    </xf>
    <xf numFmtId="3" fontId="4" fillId="2" borderId="0" xfId="17" applyNumberFormat="1" applyFont="1" applyFill="1" applyAlignment="1">
      <alignment horizontal="right" vertical="center" wrapText="1"/>
    </xf>
    <xf numFmtId="0" fontId="4" fillId="2" borderId="0" xfId="17" applyFont="1" applyFill="1" applyAlignment="1">
      <alignment vertical="center" wrapText="1"/>
    </xf>
    <xf numFmtId="0" fontId="4" fillId="2" borderId="0" xfId="17" applyFont="1" applyFill="1" applyAlignment="1">
      <alignment horizontal="left" vertical="center"/>
    </xf>
    <xf numFmtId="3" fontId="4" fillId="0" borderId="0" xfId="17" applyNumberFormat="1" applyFont="1" applyProtection="1">
      <protection locked="0"/>
    </xf>
    <xf numFmtId="0" fontId="4" fillId="0" borderId="0" xfId="17" applyFont="1" applyAlignment="1" applyProtection="1">
      <alignment horizontal="left" vertical="top" wrapText="1"/>
      <protection locked="0"/>
    </xf>
    <xf numFmtId="3" fontId="4" fillId="2" borderId="18" xfId="17" applyNumberFormat="1" applyFont="1" applyFill="1" applyBorder="1" applyAlignment="1">
      <alignment horizontal="right" vertical="center" wrapText="1"/>
    </xf>
    <xf numFmtId="0" fontId="4" fillId="2" borderId="28" xfId="17" applyFont="1" applyFill="1" applyBorder="1" applyAlignment="1">
      <alignment vertical="center" wrapText="1"/>
    </xf>
    <xf numFmtId="0" fontId="4" fillId="0" borderId="0" xfId="17" applyFont="1" applyAlignment="1" applyProtection="1">
      <alignment vertical="top" wrapText="1"/>
      <protection locked="0"/>
    </xf>
    <xf numFmtId="9" fontId="4" fillId="0" borderId="0" xfId="17" applyNumberFormat="1" applyFont="1" applyProtection="1">
      <protection locked="0"/>
    </xf>
    <xf numFmtId="10" fontId="4" fillId="2" borderId="0" xfId="17" applyNumberFormat="1" applyFont="1" applyFill="1" applyAlignment="1">
      <alignment vertical="center" wrapText="1"/>
    </xf>
    <xf numFmtId="3" fontId="4" fillId="2" borderId="16" xfId="17" applyNumberFormat="1" applyFont="1" applyFill="1" applyBorder="1" applyAlignment="1">
      <alignment horizontal="right" vertical="center" wrapText="1"/>
    </xf>
    <xf numFmtId="0" fontId="4" fillId="2" borderId="17" xfId="17" applyFont="1" applyFill="1" applyBorder="1" applyAlignment="1">
      <alignment vertical="center" wrapText="1"/>
    </xf>
    <xf numFmtId="0" fontId="4" fillId="2" borderId="0" xfId="17" applyFont="1" applyFill="1" applyAlignment="1">
      <alignment vertical="top" wrapText="1"/>
    </xf>
    <xf numFmtId="180" fontId="4" fillId="2" borderId="0" xfId="17" applyNumberFormat="1" applyFont="1" applyFill="1" applyAlignment="1">
      <alignment horizontal="right" vertical="center" wrapText="1"/>
    </xf>
    <xf numFmtId="0" fontId="4" fillId="2" borderId="0" xfId="17" applyFont="1" applyFill="1" applyAlignment="1">
      <alignment horizontal="right" vertical="center" wrapText="1"/>
    </xf>
    <xf numFmtId="0" fontId="4" fillId="2" borderId="30" xfId="17" applyFont="1" applyFill="1" applyBorder="1" applyAlignment="1">
      <alignment horizontal="right" vertical="center" wrapText="1"/>
    </xf>
    <xf numFmtId="0" fontId="4" fillId="2" borderId="18" xfId="17" applyFont="1" applyFill="1" applyBorder="1" applyAlignment="1">
      <alignment horizontal="right" vertical="center" wrapText="1"/>
    </xf>
    <xf numFmtId="0" fontId="4" fillId="2" borderId="0" xfId="17" applyFont="1" applyFill="1" applyAlignment="1">
      <alignment horizontal="left" vertical="center" indent="10"/>
    </xf>
    <xf numFmtId="0" fontId="7" fillId="2" borderId="0" xfId="17" applyFont="1" applyFill="1"/>
    <xf numFmtId="0" fontId="5" fillId="2" borderId="0" xfId="17" applyFont="1" applyFill="1"/>
    <xf numFmtId="0" fontId="3" fillId="2" borderId="0" xfId="17" applyFont="1" applyFill="1"/>
    <xf numFmtId="0" fontId="4" fillId="0" borderId="0" xfId="18" applyFont="1" applyProtection="1">
      <protection locked="0"/>
    </xf>
    <xf numFmtId="0" fontId="3" fillId="0" borderId="0" xfId="18" applyFont="1" applyProtection="1">
      <protection locked="0"/>
    </xf>
    <xf numFmtId="0" fontId="4" fillId="0" borderId="0" xfId="18" applyFont="1" applyAlignment="1" applyProtection="1">
      <alignment horizontal="left" vertical="top"/>
      <protection locked="0"/>
    </xf>
    <xf numFmtId="0" fontId="4" fillId="0" borderId="0" xfId="18" quotePrefix="1" applyFont="1" applyProtection="1">
      <protection locked="0"/>
    </xf>
    <xf numFmtId="0" fontId="4" fillId="0" borderId="0" xfId="18" applyFont="1" applyAlignment="1" applyProtection="1">
      <alignment vertical="center"/>
      <protection locked="0"/>
    </xf>
    <xf numFmtId="0" fontId="4" fillId="0" borderId="0" xfId="18" applyFont="1" applyAlignment="1" applyProtection="1">
      <alignment horizontal="left" vertical="center" indent="1"/>
      <protection locked="0"/>
    </xf>
    <xf numFmtId="180" fontId="4" fillId="0" borderId="0" xfId="18" applyNumberFormat="1" applyFont="1" applyProtection="1">
      <protection locked="0"/>
    </xf>
    <xf numFmtId="0" fontId="3" fillId="0" borderId="0" xfId="18" applyFont="1" applyAlignment="1" applyProtection="1">
      <alignment horizontal="left" vertical="center" indent="4"/>
      <protection locked="0"/>
    </xf>
    <xf numFmtId="0" fontId="68" fillId="0" borderId="0" xfId="0" applyFont="1" applyProtection="1">
      <protection locked="0"/>
    </xf>
    <xf numFmtId="0" fontId="4" fillId="0" borderId="0" xfId="1" applyNumberFormat="1" applyFont="1" applyFill="1" applyBorder="1" applyProtection="1">
      <protection locked="0"/>
    </xf>
    <xf numFmtId="0" fontId="69" fillId="0" borderId="0" xfId="1" applyNumberFormat="1" applyFont="1" applyFill="1" applyBorder="1" applyProtection="1">
      <protection locked="0"/>
    </xf>
    <xf numFmtId="0" fontId="70" fillId="0" borderId="0" xfId="0" applyFont="1" applyProtection="1">
      <protection locked="0"/>
    </xf>
    <xf numFmtId="0" fontId="70" fillId="3" borderId="0" xfId="0" applyFont="1" applyFill="1" applyProtection="1">
      <protection locked="0"/>
    </xf>
    <xf numFmtId="0" fontId="70" fillId="0" borderId="0" xfId="1" applyNumberFormat="1" applyFont="1" applyFill="1" applyBorder="1" applyProtection="1">
      <protection locked="0"/>
    </xf>
    <xf numFmtId="0" fontId="71" fillId="0" borderId="0" xfId="0" applyFont="1" applyAlignment="1" applyProtection="1">
      <alignment horizontal="center"/>
      <protection locked="0"/>
    </xf>
    <xf numFmtId="0" fontId="70" fillId="0" borderId="0" xfId="3" applyNumberFormat="1" applyFont="1" applyFill="1" applyBorder="1" applyProtection="1">
      <protection locked="0"/>
    </xf>
    <xf numFmtId="6" fontId="4" fillId="2" borderId="0" xfId="0" applyNumberFormat="1" applyFont="1" applyFill="1" applyAlignment="1">
      <alignment horizontal="right"/>
    </xf>
    <xf numFmtId="6" fontId="4" fillId="2" borderId="1" xfId="0" applyNumberFormat="1" applyFont="1" applyFill="1" applyBorder="1" applyAlignment="1">
      <alignment horizontal="right"/>
    </xf>
    <xf numFmtId="0" fontId="4" fillId="2" borderId="1" xfId="0" applyFont="1" applyFill="1" applyBorder="1"/>
    <xf numFmtId="9" fontId="4" fillId="2" borderId="0" xfId="0" applyNumberFormat="1" applyFont="1" applyFill="1" applyAlignment="1">
      <alignment horizontal="right"/>
    </xf>
    <xf numFmtId="0" fontId="4" fillId="2" borderId="0" xfId="0" applyFont="1" applyFill="1" applyAlignment="1">
      <alignment horizontal="left"/>
    </xf>
    <xf numFmtId="164" fontId="4" fillId="2" borderId="1" xfId="1" applyNumberFormat="1" applyFont="1" applyFill="1" applyBorder="1" applyAlignment="1">
      <alignment horizontal="right"/>
    </xf>
    <xf numFmtId="10" fontId="4" fillId="2" borderId="1" xfId="0" applyNumberFormat="1" applyFont="1" applyFill="1" applyBorder="1" applyAlignment="1">
      <alignment horizontal="right"/>
    </xf>
    <xf numFmtId="0" fontId="4" fillId="2" borderId="1" xfId="0" applyFont="1" applyFill="1" applyBorder="1" applyAlignment="1">
      <alignment horizontal="right"/>
    </xf>
    <xf numFmtId="0" fontId="70" fillId="0" borderId="0" xfId="1" applyNumberFormat="1" applyFont="1" applyFill="1" applyBorder="1" applyAlignment="1" applyProtection="1">
      <alignment vertical="center"/>
      <protection locked="0"/>
    </xf>
    <xf numFmtId="0" fontId="4" fillId="2" borderId="0" xfId="0" applyFont="1" applyFill="1" applyProtection="1">
      <protection locked="0"/>
    </xf>
    <xf numFmtId="0" fontId="5" fillId="2" borderId="0" xfId="0" applyFont="1" applyFill="1" applyProtection="1">
      <protection locked="0"/>
    </xf>
    <xf numFmtId="0" fontId="72" fillId="2" borderId="0" xfId="0" quotePrefix="1" applyFont="1" applyFill="1"/>
    <xf numFmtId="0" fontId="74" fillId="0" borderId="0" xfId="0" applyFont="1" applyProtection="1">
      <protection locked="0"/>
    </xf>
    <xf numFmtId="10" fontId="4" fillId="2" borderId="1" xfId="3" applyNumberFormat="1" applyFont="1" applyFill="1" applyBorder="1" applyAlignment="1">
      <alignment vertical="center" wrapText="1"/>
    </xf>
    <xf numFmtId="0" fontId="75" fillId="0" borderId="0" xfId="0" applyFont="1" applyProtection="1">
      <protection locked="0"/>
    </xf>
    <xf numFmtId="180" fontId="4" fillId="2" borderId="1" xfId="0" applyNumberFormat="1" applyFont="1" applyFill="1" applyBorder="1" applyAlignment="1">
      <alignment vertical="center" wrapText="1"/>
    </xf>
    <xf numFmtId="6" fontId="4" fillId="2" borderId="1" xfId="0" applyNumberFormat="1" applyFont="1" applyFill="1" applyBorder="1" applyAlignment="1">
      <alignment vertical="center" wrapText="1"/>
    </xf>
    <xf numFmtId="6" fontId="3" fillId="2" borderId="1" xfId="0" applyNumberFormat="1" applyFont="1" applyFill="1" applyBorder="1" applyAlignment="1">
      <alignment horizontal="right" vertical="center" wrapText="1"/>
    </xf>
    <xf numFmtId="183" fontId="4" fillId="0" borderId="0" xfId="0" applyNumberFormat="1" applyFont="1" applyProtection="1">
      <protection locked="0"/>
    </xf>
    <xf numFmtId="183" fontId="74" fillId="0" borderId="0" xfId="0" applyNumberFormat="1" applyFont="1" applyProtection="1">
      <protection locked="0"/>
    </xf>
    <xf numFmtId="183" fontId="75" fillId="0" borderId="0" xfId="0" applyNumberFormat="1" applyFont="1" applyProtection="1">
      <protection locked="0"/>
    </xf>
    <xf numFmtId="183" fontId="70" fillId="0" borderId="0" xfId="0" applyNumberFormat="1" applyFont="1" applyProtection="1">
      <protection locked="0"/>
    </xf>
    <xf numFmtId="183" fontId="70" fillId="0" borderId="0" xfId="19" applyNumberFormat="1" applyFont="1" applyProtection="1">
      <protection locked="0"/>
    </xf>
    <xf numFmtId="183" fontId="70" fillId="0" borderId="0" xfId="0" quotePrefix="1" applyNumberFormat="1" applyFont="1" applyProtection="1">
      <protection locked="0"/>
    </xf>
    <xf numFmtId="6" fontId="4" fillId="2" borderId="11" xfId="0" applyNumberFormat="1" applyFont="1" applyFill="1" applyBorder="1" applyAlignment="1">
      <alignment vertical="center" wrapText="1"/>
    </xf>
    <xf numFmtId="0" fontId="4" fillId="2" borderId="1" xfId="0" applyFont="1" applyFill="1" applyBorder="1" applyAlignment="1">
      <alignment wrapText="1"/>
    </xf>
    <xf numFmtId="183" fontId="76" fillId="0" borderId="0" xfId="0" applyNumberFormat="1" applyFont="1" applyProtection="1">
      <protection locked="0"/>
    </xf>
    <xf numFmtId="183" fontId="70" fillId="0" borderId="0" xfId="3" applyNumberFormat="1" applyFont="1" applyProtection="1">
      <protection locked="0"/>
    </xf>
    <xf numFmtId="184" fontId="4" fillId="2" borderId="11" xfId="20" applyNumberFormat="1" applyFont="1" applyFill="1" applyBorder="1" applyAlignment="1">
      <alignment vertical="center" wrapText="1"/>
    </xf>
    <xf numFmtId="0" fontId="4" fillId="2" borderId="1" xfId="0" applyFont="1" applyFill="1" applyBorder="1" applyAlignment="1">
      <alignment vertical="center"/>
    </xf>
    <xf numFmtId="15" fontId="4" fillId="2" borderId="1" xfId="0" quotePrefix="1" applyNumberFormat="1" applyFont="1" applyFill="1" applyBorder="1" applyAlignment="1">
      <alignment horizontal="right" vertical="center" wrapText="1"/>
    </xf>
    <xf numFmtId="0" fontId="4" fillId="2" borderId="14" xfId="0" applyFont="1" applyFill="1" applyBorder="1" applyAlignment="1">
      <alignment horizontal="right" vertical="center" wrapText="1"/>
    </xf>
    <xf numFmtId="0" fontId="4" fillId="2" borderId="13" xfId="0" applyFont="1" applyFill="1" applyBorder="1" applyAlignment="1">
      <alignment horizontal="right" vertical="center" wrapText="1"/>
    </xf>
    <xf numFmtId="6" fontId="4" fillId="2" borderId="13" xfId="0" applyNumberFormat="1" applyFont="1" applyFill="1" applyBorder="1" applyAlignment="1">
      <alignment horizontal="right" vertical="center" wrapText="1"/>
    </xf>
    <xf numFmtId="0" fontId="4" fillId="2" borderId="1" xfId="0" applyFont="1" applyFill="1" applyBorder="1" applyAlignment="1">
      <alignment horizontal="right" vertical="center" wrapText="1"/>
    </xf>
    <xf numFmtId="6" fontId="4" fillId="2" borderId="1" xfId="0" applyNumberFormat="1" applyFont="1" applyFill="1" applyBorder="1" applyAlignment="1">
      <alignment horizontal="right" vertical="center" wrapText="1"/>
    </xf>
    <xf numFmtId="0" fontId="67" fillId="2" borderId="0" xfId="0" applyFont="1" applyFill="1"/>
    <xf numFmtId="6" fontId="4" fillId="0" borderId="1" xfId="0" applyNumberFormat="1" applyFont="1" applyBorder="1" applyProtection="1">
      <protection locked="0"/>
    </xf>
    <xf numFmtId="6" fontId="3" fillId="0" borderId="1" xfId="0" applyNumberFormat="1" applyFont="1" applyBorder="1" applyAlignment="1" applyProtection="1">
      <alignment horizontal="right"/>
      <protection locked="0"/>
    </xf>
    <xf numFmtId="0" fontId="3" fillId="0" borderId="1" xfId="0" applyFont="1" applyBorder="1" applyProtection="1">
      <protection locked="0"/>
    </xf>
    <xf numFmtId="9" fontId="3" fillId="0" borderId="1" xfId="0" applyNumberFormat="1" applyFont="1" applyBorder="1" applyProtection="1">
      <protection locked="0"/>
    </xf>
    <xf numFmtId="3" fontId="4" fillId="2" borderId="1" xfId="0" applyNumberFormat="1" applyFont="1" applyFill="1" applyBorder="1"/>
    <xf numFmtId="0" fontId="4" fillId="2" borderId="0" xfId="0" applyFont="1" applyFill="1" applyAlignment="1">
      <alignment horizontal="center"/>
    </xf>
    <xf numFmtId="165" fontId="3" fillId="0" borderId="0" xfId="0" applyNumberFormat="1" applyFont="1" applyProtection="1">
      <protection locked="0"/>
    </xf>
    <xf numFmtId="0" fontId="77" fillId="0" borderId="0" xfId="0" applyFont="1"/>
    <xf numFmtId="165" fontId="4" fillId="0" borderId="0" xfId="0" applyNumberFormat="1" applyFont="1" applyProtection="1">
      <protection locked="0"/>
    </xf>
    <xf numFmtId="3" fontId="4" fillId="0" borderId="0" xfId="0" applyNumberFormat="1" applyFont="1" applyProtection="1">
      <protection locked="0"/>
    </xf>
    <xf numFmtId="0" fontId="77" fillId="0" borderId="0" xfId="0" applyFont="1" applyProtection="1">
      <protection locked="0"/>
    </xf>
    <xf numFmtId="165" fontId="4" fillId="0" borderId="0" xfId="2" applyNumberFormat="1" applyFont="1" applyProtection="1">
      <protection locked="0"/>
    </xf>
    <xf numFmtId="165" fontId="3" fillId="0" borderId="0" xfId="2" applyNumberFormat="1" applyFont="1" applyProtection="1">
      <protection locked="0"/>
    </xf>
    <xf numFmtId="165" fontId="4" fillId="0" borderId="0" xfId="2" applyNumberFormat="1" applyFont="1" applyFill="1" applyProtection="1">
      <protection locked="0"/>
    </xf>
    <xf numFmtId="0" fontId="77" fillId="0" borderId="0" xfId="0" applyFont="1" applyAlignment="1">
      <alignment vertical="center"/>
    </xf>
    <xf numFmtId="14" fontId="4" fillId="2" borderId="1" xfId="0" applyNumberFormat="1" applyFont="1" applyFill="1" applyBorder="1" applyAlignment="1">
      <alignment horizontal="right" vertical="center" wrapText="1"/>
    </xf>
    <xf numFmtId="3" fontId="4" fillId="2" borderId="1" xfId="0" applyNumberFormat="1" applyFont="1" applyFill="1" applyBorder="1" applyAlignment="1">
      <alignment horizontal="right" vertical="center" wrapText="1"/>
    </xf>
    <xf numFmtId="164" fontId="4" fillId="0" borderId="0" xfId="1" applyNumberFormat="1" applyFont="1" applyProtection="1">
      <protection locked="0"/>
    </xf>
    <xf numFmtId="164" fontId="3" fillId="0" borderId="0" xfId="1" applyNumberFormat="1" applyFont="1" applyProtection="1">
      <protection locked="0"/>
    </xf>
    <xf numFmtId="164" fontId="4" fillId="0" borderId="0" xfId="1" quotePrefix="1" applyNumberFormat="1" applyFont="1" applyProtection="1">
      <protection locked="0"/>
    </xf>
    <xf numFmtId="0" fontId="4" fillId="0" borderId="0" xfId="0" applyFont="1" applyAlignment="1" applyProtection="1">
      <alignment wrapText="1"/>
      <protection locked="0"/>
    </xf>
    <xf numFmtId="165" fontId="4" fillId="0" borderId="2" xfId="2" applyNumberFormat="1" applyFont="1" applyBorder="1" applyProtection="1">
      <protection locked="0"/>
    </xf>
    <xf numFmtId="14" fontId="4" fillId="0" borderId="0" xfId="0" applyNumberFormat="1" applyFont="1" applyProtection="1">
      <protection locked="0"/>
    </xf>
    <xf numFmtId="0" fontId="78" fillId="0" borderId="0" xfId="14" applyFont="1"/>
    <xf numFmtId="0" fontId="78" fillId="0" borderId="0" xfId="14" applyFont="1" applyProtection="1">
      <protection locked="0"/>
    </xf>
    <xf numFmtId="0" fontId="22" fillId="0" borderId="0" xfId="14" applyFont="1" applyProtection="1">
      <protection locked="0"/>
    </xf>
    <xf numFmtId="0" fontId="79" fillId="0" borderId="0" xfId="14" applyFont="1" applyProtection="1">
      <protection locked="0"/>
    </xf>
    <xf numFmtId="0" fontId="78" fillId="0" borderId="4" xfId="14" applyFont="1" applyBorder="1" applyProtection="1">
      <protection locked="0"/>
    </xf>
    <xf numFmtId="0" fontId="78" fillId="0" borderId="2" xfId="14" applyFont="1" applyBorder="1" applyProtection="1">
      <protection locked="0"/>
    </xf>
    <xf numFmtId="0" fontId="78" fillId="0" borderId="3" xfId="14" applyFont="1" applyBorder="1" applyProtection="1">
      <protection locked="0"/>
    </xf>
    <xf numFmtId="0" fontId="78" fillId="0" borderId="0" xfId="14" applyFont="1" applyAlignment="1" applyProtection="1">
      <alignment horizontal="center"/>
      <protection locked="0"/>
    </xf>
    <xf numFmtId="0" fontId="78" fillId="0" borderId="0" xfId="14" quotePrefix="1" applyFont="1" applyAlignment="1" applyProtection="1">
      <alignment horizontal="center"/>
      <protection locked="0"/>
    </xf>
    <xf numFmtId="0" fontId="4" fillId="0" borderId="0" xfId="21" applyNumberFormat="1" applyFont="1" applyProtection="1">
      <protection locked="0"/>
    </xf>
    <xf numFmtId="0" fontId="4" fillId="0" borderId="0" xfId="15" applyNumberFormat="1" applyFont="1" applyFill="1" applyProtection="1">
      <protection locked="0"/>
    </xf>
    <xf numFmtId="0" fontId="78" fillId="0" borderId="0" xfId="14" applyFont="1" applyAlignment="1" applyProtection="1">
      <alignment wrapText="1"/>
      <protection locked="0"/>
    </xf>
    <xf numFmtId="0" fontId="78" fillId="0" borderId="0" xfId="14" quotePrefix="1" applyFont="1" applyProtection="1">
      <protection locked="0"/>
    </xf>
    <xf numFmtId="0" fontId="5" fillId="2" borderId="0" xfId="14" applyFont="1" applyFill="1" applyAlignment="1">
      <alignment horizontal="left" vertical="top"/>
    </xf>
    <xf numFmtId="0" fontId="4" fillId="2" borderId="0" xfId="14" applyFont="1" applyFill="1" applyAlignment="1">
      <alignment horizontal="left" wrapText="1"/>
    </xf>
    <xf numFmtId="0" fontId="4" fillId="2" borderId="1" xfId="14" applyFont="1" applyFill="1" applyBorder="1"/>
    <xf numFmtId="0" fontId="4" fillId="2" borderId="0" xfId="14" applyFont="1" applyFill="1" applyAlignment="1">
      <alignment horizontal="center"/>
    </xf>
    <xf numFmtId="165" fontId="4" fillId="2" borderId="4" xfId="21" applyNumberFormat="1" applyFont="1" applyFill="1" applyBorder="1"/>
    <xf numFmtId="0" fontId="4" fillId="2" borderId="8" xfId="14" applyFont="1" applyFill="1" applyBorder="1"/>
    <xf numFmtId="0" fontId="4" fillId="2" borderId="14" xfId="14" applyFont="1" applyFill="1" applyBorder="1"/>
    <xf numFmtId="165" fontId="4" fillId="2" borderId="3" xfId="21" applyNumberFormat="1" applyFont="1" applyFill="1" applyBorder="1"/>
    <xf numFmtId="0" fontId="4" fillId="2" borderId="12" xfId="14" applyFont="1" applyFill="1" applyBorder="1"/>
    <xf numFmtId="0" fontId="4" fillId="2" borderId="15" xfId="14" applyFont="1" applyFill="1" applyBorder="1"/>
    <xf numFmtId="165" fontId="4" fillId="2" borderId="6" xfId="21" applyNumberFormat="1" applyFont="1" applyFill="1" applyBorder="1"/>
    <xf numFmtId="0" fontId="4" fillId="2" borderId="5" xfId="14" applyFont="1" applyFill="1" applyBorder="1"/>
    <xf numFmtId="0" fontId="4" fillId="2" borderId="13" xfId="14" applyFont="1" applyFill="1" applyBorder="1"/>
    <xf numFmtId="0" fontId="80" fillId="0" borderId="0" xfId="0" applyFont="1"/>
    <xf numFmtId="165" fontId="80" fillId="0" borderId="0" xfId="2" applyNumberFormat="1" applyFont="1"/>
    <xf numFmtId="164" fontId="54" fillId="0" borderId="0" xfId="2" applyNumberFormat="1" applyFont="1"/>
    <xf numFmtId="37" fontId="55" fillId="0" borderId="0" xfId="2" applyNumberFormat="1" applyFont="1"/>
    <xf numFmtId="0" fontId="81" fillId="0" borderId="0" xfId="0" applyFont="1"/>
    <xf numFmtId="180" fontId="55" fillId="0" borderId="0" xfId="0" applyNumberFormat="1" applyFont="1"/>
    <xf numFmtId="0" fontId="55" fillId="0" borderId="0" xfId="0" applyFont="1" applyAlignment="1">
      <alignment horizontal="right"/>
    </xf>
    <xf numFmtId="0" fontId="82" fillId="0" borderId="0" xfId="0" applyFont="1"/>
    <xf numFmtId="185" fontId="55" fillId="0" borderId="0" xfId="0" applyNumberFormat="1" applyFont="1"/>
    <xf numFmtId="165" fontId="55" fillId="0" borderId="0" xfId="0" applyNumberFormat="1" applyFont="1"/>
    <xf numFmtId="0" fontId="83" fillId="0" borderId="0" xfId="0" applyFont="1"/>
    <xf numFmtId="0" fontId="84" fillId="0" borderId="0" xfId="0" applyFont="1"/>
    <xf numFmtId="0" fontId="4" fillId="2" borderId="0" xfId="0" applyFont="1" applyFill="1" applyAlignment="1">
      <alignment horizontal="left" wrapText="1"/>
    </xf>
    <xf numFmtId="37" fontId="80" fillId="0" borderId="0" xfId="2" applyNumberFormat="1" applyFont="1"/>
    <xf numFmtId="0" fontId="85" fillId="0" borderId="0" xfId="0" applyFont="1"/>
    <xf numFmtId="10" fontId="54" fillId="0" borderId="0" xfId="0" applyNumberFormat="1" applyFont="1"/>
    <xf numFmtId="10" fontId="55" fillId="0" borderId="0" xfId="0" applyNumberFormat="1" applyFont="1"/>
    <xf numFmtId="0" fontId="55" fillId="0" borderId="2" xfId="0" applyFont="1" applyBorder="1"/>
    <xf numFmtId="14" fontId="54" fillId="0" borderId="2" xfId="0" applyNumberFormat="1" applyFont="1" applyBorder="1"/>
    <xf numFmtId="14" fontId="55" fillId="0" borderId="2" xfId="0" applyNumberFormat="1" applyFont="1" applyBorder="1"/>
    <xf numFmtId="14" fontId="55" fillId="0" borderId="0" xfId="0" applyNumberFormat="1" applyFont="1"/>
    <xf numFmtId="164" fontId="8" fillId="0" borderId="0" xfId="0" applyNumberFormat="1" applyFont="1"/>
    <xf numFmtId="164" fontId="54" fillId="0" borderId="6" xfId="0" applyNumberFormat="1" applyFont="1" applyBorder="1"/>
    <xf numFmtId="165" fontId="4" fillId="2" borderId="4" xfId="2" applyNumberFormat="1" applyFont="1" applyFill="1" applyBorder="1"/>
    <xf numFmtId="0" fontId="4" fillId="2" borderId="8" xfId="0" applyFont="1" applyFill="1" applyBorder="1"/>
    <xf numFmtId="0" fontId="4" fillId="2" borderId="14" xfId="0" applyFont="1" applyFill="1" applyBorder="1"/>
    <xf numFmtId="164" fontId="54" fillId="0" borderId="4" xfId="0" applyNumberFormat="1" applyFont="1" applyBorder="1"/>
    <xf numFmtId="165" fontId="4" fillId="2" borderId="3" xfId="2" applyNumberFormat="1" applyFont="1" applyFill="1" applyBorder="1"/>
    <xf numFmtId="0" fontId="4" fillId="2" borderId="12" xfId="0" applyFont="1" applyFill="1" applyBorder="1"/>
    <xf numFmtId="0" fontId="4" fillId="2" borderId="15" xfId="0" applyFont="1" applyFill="1" applyBorder="1"/>
    <xf numFmtId="164" fontId="54" fillId="0" borderId="3" xfId="0" applyNumberFormat="1" applyFont="1" applyBorder="1"/>
    <xf numFmtId="0" fontId="54" fillId="0" borderId="2" xfId="0" quotePrefix="1" applyFont="1" applyBorder="1" applyAlignment="1">
      <alignment horizontal="center"/>
    </xf>
    <xf numFmtId="165" fontId="4" fillId="2" borderId="6" xfId="2" applyNumberFormat="1" applyFont="1" applyFill="1" applyBorder="1"/>
    <xf numFmtId="0" fontId="4" fillId="2" borderId="5" xfId="0" applyFont="1" applyFill="1" applyBorder="1"/>
    <xf numFmtId="0" fontId="4" fillId="2" borderId="13" xfId="0" applyFont="1" applyFill="1" applyBorder="1"/>
    <xf numFmtId="0" fontId="1" fillId="0" borderId="0" xfId="14"/>
    <xf numFmtId="0" fontId="1" fillId="0" borderId="0" xfId="14" applyProtection="1">
      <protection locked="0"/>
    </xf>
    <xf numFmtId="0" fontId="19" fillId="0" borderId="0" xfId="14" applyFont="1" applyProtection="1">
      <protection locked="0"/>
    </xf>
    <xf numFmtId="0" fontId="0" fillId="0" borderId="0" xfId="21" applyNumberFormat="1" applyFont="1" applyProtection="1">
      <protection locked="0"/>
    </xf>
    <xf numFmtId="0" fontId="86" fillId="0" borderId="0" xfId="21" applyNumberFormat="1" applyFont="1" applyProtection="1">
      <protection locked="0"/>
    </xf>
    <xf numFmtId="0" fontId="0" fillId="0" borderId="0" xfId="15" applyNumberFormat="1" applyFont="1" applyProtection="1">
      <protection locked="0"/>
    </xf>
    <xf numFmtId="0" fontId="1" fillId="0" borderId="0" xfId="14" applyAlignment="1" applyProtection="1">
      <alignment horizontal="right"/>
      <protection locked="0"/>
    </xf>
    <xf numFmtId="0" fontId="1" fillId="0" borderId="0" xfId="14" applyAlignment="1" applyProtection="1">
      <alignment wrapText="1"/>
      <protection locked="0"/>
    </xf>
    <xf numFmtId="0" fontId="1" fillId="0" borderId="0" xfId="14" quotePrefix="1" applyProtection="1">
      <protection locked="0"/>
    </xf>
    <xf numFmtId="0" fontId="4" fillId="2" borderId="0" xfId="14" applyFont="1" applyFill="1" applyAlignment="1">
      <alignment wrapText="1"/>
    </xf>
    <xf numFmtId="0" fontId="4" fillId="2" borderId="1" xfId="14" applyFont="1" applyFill="1" applyBorder="1" applyAlignment="1">
      <alignment horizontal="left"/>
    </xf>
    <xf numFmtId="0" fontId="4" fillId="2" borderId="0" xfId="14" applyFont="1" applyFill="1" applyAlignment="1">
      <alignment horizontal="left"/>
    </xf>
    <xf numFmtId="0" fontId="4" fillId="2" borderId="0" xfId="14" applyFont="1" applyFill="1" applyAlignment="1">
      <alignment horizontal="left" vertical="center" wrapText="1"/>
    </xf>
    <xf numFmtId="0" fontId="2" fillId="0" borderId="0" xfId="14" applyFont="1" applyProtection="1">
      <protection locked="0"/>
    </xf>
    <xf numFmtId="0" fontId="87" fillId="0" borderId="0" xfId="14" quotePrefix="1" applyFont="1" applyProtection="1">
      <protection locked="0"/>
    </xf>
    <xf numFmtId="0" fontId="87" fillId="0" borderId="0" xfId="14" applyFont="1" applyProtection="1">
      <protection locked="0"/>
    </xf>
    <xf numFmtId="165" fontId="0" fillId="0" borderId="0" xfId="2" applyNumberFormat="1" applyFont="1"/>
    <xf numFmtId="165" fontId="86" fillId="0" borderId="0" xfId="2" applyNumberFormat="1" applyFont="1"/>
    <xf numFmtId="43" fontId="0" fillId="0" borderId="0" xfId="1" applyFont="1"/>
    <xf numFmtId="165" fontId="0" fillId="0" borderId="0" xfId="0" applyNumberFormat="1"/>
    <xf numFmtId="164" fontId="0" fillId="0" borderId="0" xfId="1" applyNumberFormat="1" applyFont="1"/>
    <xf numFmtId="13" fontId="0" fillId="0" borderId="0" xfId="1" applyNumberFormat="1" applyFont="1"/>
    <xf numFmtId="16" fontId="0" fillId="0" borderId="0" xfId="0" applyNumberFormat="1" applyAlignment="1">
      <alignment wrapText="1"/>
    </xf>
    <xf numFmtId="16" fontId="0" fillId="0" borderId="0" xfId="0" quotePrefix="1" applyNumberFormat="1"/>
    <xf numFmtId="44" fontId="0" fillId="0" borderId="0" xfId="2" applyFont="1"/>
    <xf numFmtId="0" fontId="4" fillId="0" borderId="0" xfId="0" applyFont="1" applyAlignment="1">
      <alignment horizontal="left" vertical="top" wrapText="1"/>
    </xf>
    <xf numFmtId="0" fontId="4" fillId="0" borderId="0" xfId="0" applyFont="1" applyAlignment="1">
      <alignment horizontal="left" vertical="top"/>
    </xf>
    <xf numFmtId="43" fontId="0" fillId="0" borderId="0" xfId="1" applyFont="1" applyFill="1"/>
    <xf numFmtId="165" fontId="55" fillId="0" borderId="0" xfId="2" applyNumberFormat="1" applyFont="1"/>
    <xf numFmtId="164" fontId="55" fillId="0" borderId="0" xfId="2" applyNumberFormat="1" applyFont="1"/>
    <xf numFmtId="0" fontId="4" fillId="2" borderId="1" xfId="0" applyFont="1" applyFill="1" applyBorder="1" applyAlignment="1">
      <alignment horizontal="left"/>
    </xf>
    <xf numFmtId="164" fontId="83" fillId="0" borderId="0" xfId="0" applyNumberFormat="1" applyFont="1"/>
    <xf numFmtId="6" fontId="83" fillId="0" borderId="2" xfId="0" applyNumberFormat="1" applyFont="1" applyBorder="1"/>
    <xf numFmtId="6" fontId="55" fillId="0" borderId="2" xfId="0" applyNumberFormat="1" applyFont="1" applyBorder="1"/>
    <xf numFmtId="6" fontId="55" fillId="0" borderId="0" xfId="0" applyNumberFormat="1" applyFont="1"/>
    <xf numFmtId="0" fontId="83" fillId="0" borderId="2" xfId="0" applyFont="1" applyBorder="1"/>
    <xf numFmtId="0" fontId="83" fillId="0" borderId="2" xfId="0" applyFont="1" applyBorder="1" applyAlignment="1">
      <alignment horizontal="center"/>
    </xf>
    <xf numFmtId="0" fontId="83" fillId="0" borderId="0" xfId="0" applyFont="1" applyAlignment="1">
      <alignment horizontal="center"/>
    </xf>
    <xf numFmtId="164" fontId="55" fillId="0" borderId="6" xfId="0" applyNumberFormat="1" applyFont="1" applyBorder="1"/>
    <xf numFmtId="164" fontId="55" fillId="0" borderId="4" xfId="0" applyNumberFormat="1" applyFont="1" applyBorder="1"/>
    <xf numFmtId="0" fontId="4" fillId="2" borderId="0" xfId="0" applyFont="1" applyFill="1" applyAlignment="1">
      <alignment horizontal="left" vertical="center" wrapText="1"/>
    </xf>
    <xf numFmtId="0" fontId="55" fillId="0" borderId="3" xfId="0" applyFont="1" applyBorder="1"/>
    <xf numFmtId="0" fontId="55" fillId="0" borderId="0" xfId="0" quotePrefix="1" applyFont="1"/>
    <xf numFmtId="164" fontId="55" fillId="0" borderId="3" xfId="0" applyNumberFormat="1" applyFont="1" applyBorder="1"/>
    <xf numFmtId="0" fontId="55" fillId="0" borderId="2" xfId="0" applyFont="1" applyBorder="1" applyAlignment="1">
      <alignment horizontal="center"/>
    </xf>
    <xf numFmtId="0" fontId="55" fillId="0" borderId="2" xfId="0" quotePrefix="1" applyFont="1" applyBorder="1" applyAlignment="1">
      <alignment horizontal="center"/>
    </xf>
    <xf numFmtId="13" fontId="0" fillId="0" borderId="0" xfId="1" applyNumberFormat="1" applyFont="1" applyProtection="1">
      <protection locked="0"/>
    </xf>
    <xf numFmtId="14" fontId="0" fillId="0" borderId="0" xfId="0" applyNumberFormat="1" applyProtection="1">
      <protection locked="0"/>
    </xf>
    <xf numFmtId="6" fontId="88" fillId="2" borderId="0" xfId="0" applyNumberFormat="1" applyFont="1" applyFill="1" applyAlignment="1">
      <alignment horizontal="right" vertical="center" wrapText="1"/>
    </xf>
    <xf numFmtId="0" fontId="88" fillId="2" borderId="0" xfId="0" applyFont="1" applyFill="1" applyAlignment="1">
      <alignment vertical="center" wrapText="1"/>
    </xf>
    <xf numFmtId="6" fontId="88" fillId="2" borderId="1" xfId="0" applyNumberFormat="1" applyFont="1" applyFill="1" applyBorder="1" applyAlignment="1">
      <alignment horizontal="right" vertical="center" wrapText="1"/>
    </xf>
    <xf numFmtId="0" fontId="88" fillId="2" borderId="1" xfId="0" applyFont="1" applyFill="1" applyBorder="1" applyAlignment="1">
      <alignment vertical="center" wrapText="1"/>
    </xf>
    <xf numFmtId="10" fontId="88" fillId="2" borderId="1" xfId="0" applyNumberFormat="1" applyFont="1" applyFill="1" applyBorder="1" applyAlignment="1">
      <alignment horizontal="right" vertical="center" wrapText="1"/>
    </xf>
    <xf numFmtId="0" fontId="89" fillId="2" borderId="1" xfId="0" applyFont="1" applyFill="1" applyBorder="1" applyAlignment="1">
      <alignment vertical="center" wrapText="1"/>
    </xf>
    <xf numFmtId="0" fontId="88" fillId="2" borderId="1" xfId="0" applyFont="1" applyFill="1" applyBorder="1" applyAlignment="1">
      <alignment horizontal="right" vertical="center" wrapText="1"/>
    </xf>
    <xf numFmtId="0" fontId="67" fillId="0" borderId="0" xfId="0" applyFont="1" applyProtection="1">
      <protection locked="0"/>
    </xf>
    <xf numFmtId="0" fontId="90" fillId="0" borderId="0" xfId="0" applyFont="1" applyProtection="1">
      <protection locked="0"/>
    </xf>
    <xf numFmtId="165" fontId="67" fillId="0" borderId="0" xfId="22" applyNumberFormat="1" applyFont="1" applyProtection="1">
      <protection locked="0"/>
    </xf>
    <xf numFmtId="164" fontId="67" fillId="0" borderId="0" xfId="0" applyNumberFormat="1" applyFont="1" applyProtection="1">
      <protection locked="0"/>
    </xf>
    <xf numFmtId="10" fontId="67" fillId="0" borderId="0" xfId="3" applyNumberFormat="1" applyFont="1" applyProtection="1">
      <protection locked="0"/>
    </xf>
    <xf numFmtId="165" fontId="67" fillId="0" borderId="0" xfId="0" applyNumberFormat="1" applyFont="1" applyProtection="1">
      <protection locked="0"/>
    </xf>
    <xf numFmtId="16" fontId="67" fillId="0" borderId="0" xfId="0" applyNumberFormat="1" applyFont="1" applyAlignment="1" applyProtection="1">
      <alignment wrapText="1"/>
      <protection locked="0"/>
    </xf>
    <xf numFmtId="181" fontId="4" fillId="0" borderId="0" xfId="1" applyNumberFormat="1" applyFont="1"/>
    <xf numFmtId="181" fontId="4" fillId="0" borderId="0" xfId="1" applyNumberFormat="1" applyFont="1" applyAlignment="1">
      <alignment horizontal="center"/>
    </xf>
    <xf numFmtId="37" fontId="4" fillId="0" borderId="0" xfId="1" applyNumberFormat="1" applyFont="1"/>
    <xf numFmtId="0" fontId="4" fillId="0" borderId="0" xfId="0" quotePrefix="1" applyFont="1" applyAlignment="1">
      <alignment horizontal="left"/>
    </xf>
    <xf numFmtId="10" fontId="4" fillId="0" borderId="0" xfId="0" applyNumberFormat="1" applyFont="1"/>
    <xf numFmtId="164" fontId="4" fillId="0" borderId="0" xfId="1" applyNumberFormat="1" applyFont="1"/>
    <xf numFmtId="164" fontId="70" fillId="0" borderId="0" xfId="1" applyNumberFormat="1" applyFont="1"/>
    <xf numFmtId="164" fontId="4" fillId="0" borderId="0" xfId="1" applyNumberFormat="1" applyFont="1" applyFill="1"/>
    <xf numFmtId="164" fontId="67" fillId="0" borderId="0" xfId="1" applyNumberFormat="1" applyFont="1" applyProtection="1">
      <protection locked="0"/>
    </xf>
    <xf numFmtId="164" fontId="4" fillId="0" borderId="2" xfId="1" applyNumberFormat="1" applyFont="1" applyBorder="1" applyProtection="1">
      <protection locked="0"/>
    </xf>
    <xf numFmtId="0" fontId="4" fillId="0" borderId="0" xfId="0" applyFont="1" applyAlignment="1" applyProtection="1">
      <alignment horizontal="center"/>
      <protection locked="0"/>
    </xf>
    <xf numFmtId="37" fontId="7" fillId="0" borderId="0" xfId="1" applyNumberFormat="1" applyFont="1"/>
    <xf numFmtId="186" fontId="70" fillId="0" borderId="0" xfId="22" applyNumberFormat="1" applyFont="1" applyFill="1"/>
    <xf numFmtId="164" fontId="3" fillId="4" borderId="0" xfId="1" applyNumberFormat="1" applyFont="1" applyFill="1"/>
    <xf numFmtId="0" fontId="3" fillId="4" borderId="0" xfId="0" applyFont="1" applyFill="1"/>
    <xf numFmtId="164" fontId="70" fillId="0" borderId="2" xfId="1" applyNumberFormat="1" applyFont="1" applyBorder="1"/>
    <xf numFmtId="164" fontId="67" fillId="0" borderId="2" xfId="1" applyNumberFormat="1" applyFont="1" applyBorder="1" applyProtection="1">
      <protection locked="0"/>
    </xf>
    <xf numFmtId="164" fontId="70" fillId="0" borderId="0" xfId="1" applyNumberFormat="1" applyFont="1" applyBorder="1"/>
    <xf numFmtId="164" fontId="4" fillId="0" borderId="0" xfId="1" applyNumberFormat="1" applyFont="1" applyBorder="1"/>
    <xf numFmtId="5" fontId="4" fillId="2" borderId="0" xfId="22" applyNumberFormat="1" applyFont="1" applyFill="1" applyBorder="1" applyAlignment="1">
      <alignment horizontal="center"/>
    </xf>
    <xf numFmtId="0" fontId="4" fillId="0" borderId="0" xfId="0" quotePrefix="1" applyFont="1" applyAlignment="1">
      <alignment horizontal="center"/>
    </xf>
    <xf numFmtId="164" fontId="4" fillId="0" borderId="0" xfId="1" applyNumberFormat="1" applyFont="1" applyAlignment="1"/>
    <xf numFmtId="164" fontId="4" fillId="0" borderId="2" xfId="1" applyNumberFormat="1" applyFont="1" applyBorder="1" applyAlignment="1"/>
    <xf numFmtId="186" fontId="4" fillId="0" borderId="0" xfId="22" quotePrefix="1" applyNumberFormat="1" applyFont="1"/>
    <xf numFmtId="0" fontId="4" fillId="0" borderId="0" xfId="0" applyFont="1" applyAlignment="1">
      <alignment horizontal="left" vertical="center"/>
    </xf>
    <xf numFmtId="0" fontId="68" fillId="0" borderId="0" xfId="0" quotePrefix="1" applyFont="1" applyProtection="1">
      <protection locked="0"/>
    </xf>
    <xf numFmtId="168" fontId="88" fillId="2" borderId="1" xfId="0" applyNumberFormat="1" applyFont="1" applyFill="1" applyBorder="1" applyAlignment="1">
      <alignment horizontal="right" vertical="center" wrapText="1"/>
    </xf>
    <xf numFmtId="10" fontId="88" fillId="2" borderId="1" xfId="3" applyNumberFormat="1" applyFont="1" applyFill="1" applyBorder="1" applyAlignment="1">
      <alignment vertical="center" wrapText="1"/>
    </xf>
    <xf numFmtId="37" fontId="4" fillId="0" borderId="0" xfId="0" applyNumberFormat="1" applyFont="1" applyProtection="1">
      <protection locked="0"/>
    </xf>
    <xf numFmtId="37" fontId="91" fillId="0" borderId="0" xfId="0" applyNumberFormat="1" applyFont="1" applyProtection="1">
      <protection locked="0"/>
    </xf>
    <xf numFmtId="37" fontId="91" fillId="0" borderId="0" xfId="1" applyNumberFormat="1" applyFont="1"/>
    <xf numFmtId="37" fontId="4" fillId="0" borderId="0" xfId="1" quotePrefix="1" applyNumberFormat="1" applyFont="1" applyAlignment="1">
      <alignment horizontal="right"/>
    </xf>
    <xf numFmtId="37" fontId="4" fillId="0" borderId="0" xfId="1" applyNumberFormat="1" applyFont="1" applyAlignment="1">
      <alignment horizontal="right"/>
    </xf>
    <xf numFmtId="37" fontId="92" fillId="0" borderId="0" xfId="1" applyNumberFormat="1" applyFont="1"/>
    <xf numFmtId="0" fontId="7" fillId="0" borderId="0" xfId="0" quotePrefix="1" applyFont="1"/>
    <xf numFmtId="181" fontId="3" fillId="4" borderId="0" xfId="1" applyNumberFormat="1" applyFont="1" applyFill="1"/>
    <xf numFmtId="43" fontId="4" fillId="0" borderId="0" xfId="0" applyNumberFormat="1" applyFont="1"/>
    <xf numFmtId="43" fontId="4" fillId="0" borderId="0" xfId="1" applyFont="1"/>
    <xf numFmtId="181" fontId="4" fillId="0" borderId="0" xfId="0" applyNumberFormat="1" applyFont="1"/>
    <xf numFmtId="181" fontId="4" fillId="0" borderId="2" xfId="1" applyNumberFormat="1" applyFont="1" applyBorder="1"/>
    <xf numFmtId="181" fontId="4" fillId="0" borderId="0" xfId="1" applyNumberFormat="1" applyFont="1" applyFill="1"/>
    <xf numFmtId="184" fontId="4" fillId="0" borderId="0" xfId="0" applyNumberFormat="1" applyFont="1"/>
    <xf numFmtId="181" fontId="4" fillId="0" borderId="4" xfId="1" applyNumberFormat="1" applyFont="1" applyBorder="1"/>
    <xf numFmtId="0" fontId="4" fillId="0" borderId="8" xfId="0" applyFont="1" applyBorder="1"/>
    <xf numFmtId="181" fontId="4" fillId="0" borderId="3" xfId="1" applyNumberFormat="1" applyFont="1" applyBorder="1"/>
    <xf numFmtId="0" fontId="4" fillId="0" borderId="12" xfId="0" applyFont="1" applyBorder="1"/>
    <xf numFmtId="0" fontId="4" fillId="0" borderId="6" xfId="0" applyFont="1" applyBorder="1" applyAlignment="1" applyProtection="1">
      <alignment horizontal="center"/>
      <protection locked="0"/>
    </xf>
    <xf numFmtId="0" fontId="4" fillId="0" borderId="5" xfId="0" applyFont="1" applyBorder="1"/>
    <xf numFmtId="164" fontId="4" fillId="0" borderId="4" xfId="1" applyNumberFormat="1" applyFont="1" applyBorder="1" applyProtection="1">
      <protection locked="0"/>
    </xf>
    <xf numFmtId="0" fontId="4" fillId="0" borderId="8" xfId="0" applyFont="1" applyBorder="1" applyProtection="1">
      <protection locked="0"/>
    </xf>
    <xf numFmtId="164" fontId="4" fillId="0" borderId="3" xfId="1" applyNumberFormat="1" applyFont="1" applyBorder="1" applyProtection="1">
      <protection locked="0"/>
    </xf>
    <xf numFmtId="0" fontId="4" fillId="0" borderId="12" xfId="0" applyFont="1" applyBorder="1" applyProtection="1">
      <protection locked="0"/>
    </xf>
    <xf numFmtId="0" fontId="4" fillId="0" borderId="5" xfId="0" applyFont="1" applyBorder="1" applyProtection="1">
      <protection locked="0"/>
    </xf>
    <xf numFmtId="37" fontId="4" fillId="0" borderId="0" xfId="1" applyNumberFormat="1" applyFont="1" applyFill="1"/>
    <xf numFmtId="37" fontId="7" fillId="0" borderId="0" xfId="1" quotePrefix="1" applyNumberFormat="1" applyFont="1"/>
    <xf numFmtId="181" fontId="68" fillId="0" borderId="0" xfId="1" applyNumberFormat="1" applyFont="1"/>
    <xf numFmtId="0" fontId="91" fillId="0" borderId="0" xfId="0" applyFont="1"/>
    <xf numFmtId="186" fontId="4" fillId="0" borderId="0" xfId="22" applyNumberFormat="1" applyFont="1"/>
    <xf numFmtId="0" fontId="7" fillId="0" borderId="0" xfId="0" applyFont="1" applyAlignment="1">
      <alignment horizontal="center"/>
    </xf>
    <xf numFmtId="0" fontId="7" fillId="0" borderId="0" xfId="0" quotePrefix="1" applyFont="1" applyProtection="1">
      <protection locked="0"/>
    </xf>
    <xf numFmtId="0" fontId="19" fillId="0" borderId="0" xfId="0" applyFont="1" applyProtection="1">
      <protection locked="0"/>
    </xf>
    <xf numFmtId="180" fontId="4" fillId="2" borderId="1" xfId="0" applyNumberFormat="1" applyFont="1" applyFill="1" applyBorder="1"/>
    <xf numFmtId="10" fontId="4" fillId="2" borderId="1" xfId="0" applyNumberFormat="1" applyFont="1" applyFill="1" applyBorder="1"/>
    <xf numFmtId="0" fontId="4" fillId="2" borderId="1" xfId="0" applyFont="1" applyFill="1" applyBorder="1" applyAlignment="1">
      <alignment horizontal="left" vertical="center" wrapText="1"/>
    </xf>
    <xf numFmtId="187" fontId="70" fillId="2" borderId="1" xfId="1" applyNumberFormat="1" applyFont="1" applyFill="1" applyBorder="1" applyAlignment="1">
      <alignment horizontal="center"/>
    </xf>
    <xf numFmtId="187" fontId="4" fillId="2" borderId="1" xfId="1" applyNumberFormat="1" applyFont="1" applyFill="1" applyBorder="1"/>
    <xf numFmtId="180" fontId="4" fillId="2" borderId="1" xfId="1" applyNumberFormat="1" applyFont="1" applyFill="1" applyBorder="1" applyAlignment="1">
      <alignment horizontal="right"/>
    </xf>
    <xf numFmtId="180" fontId="70" fillId="2" borderId="1" xfId="2" applyNumberFormat="1" applyFont="1" applyFill="1" applyBorder="1" applyAlignment="1">
      <alignment horizontal="right"/>
    </xf>
    <xf numFmtId="180" fontId="0" fillId="0" borderId="0" xfId="0" applyNumberFormat="1" applyProtection="1">
      <protection locked="0"/>
    </xf>
    <xf numFmtId="180" fontId="4" fillId="2" borderId="1" xfId="1" applyNumberFormat="1" applyFont="1" applyFill="1" applyBorder="1" applyAlignment="1">
      <alignment horizontal="right" wrapText="1"/>
    </xf>
    <xf numFmtId="5" fontId="70" fillId="2" borderId="1" xfId="2" applyNumberFormat="1" applyFont="1" applyFill="1" applyBorder="1" applyAlignment="1">
      <alignment horizontal="right"/>
    </xf>
    <xf numFmtId="0" fontId="3" fillId="2" borderId="1" xfId="1" applyNumberFormat="1" applyFont="1" applyFill="1" applyBorder="1" applyAlignment="1">
      <alignment horizontal="center"/>
    </xf>
    <xf numFmtId="0" fontId="76" fillId="2" borderId="1" xfId="1" applyNumberFormat="1" applyFont="1" applyFill="1" applyBorder="1" applyAlignment="1">
      <alignment horizontal="center"/>
    </xf>
    <xf numFmtId="10" fontId="70" fillId="2" borderId="1" xfId="3" applyNumberFormat="1" applyFont="1" applyFill="1" applyBorder="1" applyAlignment="1">
      <alignment horizontal="right"/>
    </xf>
    <xf numFmtId="165" fontId="70" fillId="2" borderId="1" xfId="1" applyNumberFormat="1" applyFont="1" applyFill="1" applyBorder="1" applyAlignment="1">
      <alignment horizontal="center"/>
    </xf>
    <xf numFmtId="168" fontId="76" fillId="2" borderId="1" xfId="3" applyNumberFormat="1" applyFont="1" applyFill="1" applyBorder="1" applyAlignment="1">
      <alignment horizontal="center"/>
    </xf>
    <xf numFmtId="10" fontId="0" fillId="0" borderId="0" xfId="3" applyNumberFormat="1" applyFont="1" applyFill="1" applyBorder="1" applyProtection="1">
      <protection locked="0"/>
    </xf>
    <xf numFmtId="44" fontId="0" fillId="0" borderId="0" xfId="2" applyFont="1" applyFill="1" applyBorder="1" applyProtection="1">
      <protection locked="0"/>
    </xf>
    <xf numFmtId="164" fontId="0" fillId="0" borderId="0" xfId="1" applyNumberFormat="1" applyFont="1" applyFill="1" applyBorder="1" applyProtection="1">
      <protection locked="0"/>
    </xf>
    <xf numFmtId="165" fontId="0" fillId="0" borderId="0" xfId="2" applyNumberFormat="1" applyFont="1" applyFill="1" applyBorder="1" applyProtection="1">
      <protection locked="0"/>
    </xf>
    <xf numFmtId="37" fontId="70" fillId="0" borderId="0" xfId="0" applyNumberFormat="1" applyFont="1" applyProtection="1">
      <protection locked="0"/>
    </xf>
    <xf numFmtId="37" fontId="0" fillId="0" borderId="0" xfId="0" applyNumberFormat="1" applyProtection="1">
      <protection locked="0"/>
    </xf>
    <xf numFmtId="37" fontId="3" fillId="0" borderId="0" xfId="0" applyNumberFormat="1" applyFont="1" applyProtection="1">
      <protection locked="0"/>
    </xf>
    <xf numFmtId="3" fontId="3" fillId="0" borderId="0" xfId="0" applyNumberFormat="1" applyFont="1" applyProtection="1">
      <protection locked="0"/>
    </xf>
    <xf numFmtId="37" fontId="4" fillId="0" borderId="0" xfId="3" applyNumberFormat="1" applyFont="1" applyFill="1" applyBorder="1" applyProtection="1">
      <protection locked="0"/>
    </xf>
    <xf numFmtId="10" fontId="4" fillId="0" borderId="0" xfId="3" applyNumberFormat="1" applyFont="1" applyFill="1" applyProtection="1">
      <protection locked="0"/>
    </xf>
    <xf numFmtId="9" fontId="70" fillId="0" borderId="0" xfId="0" applyNumberFormat="1" applyFont="1" applyProtection="1">
      <protection locked="0"/>
    </xf>
    <xf numFmtId="9" fontId="4" fillId="0" borderId="0" xfId="0" applyNumberFormat="1" applyFont="1" applyProtection="1">
      <protection locked="0"/>
    </xf>
    <xf numFmtId="10" fontId="70" fillId="0" borderId="0" xfId="0" applyNumberFormat="1" applyFont="1" applyProtection="1">
      <protection locked="0"/>
    </xf>
    <xf numFmtId="0" fontId="3" fillId="0" borderId="0" xfId="0" applyFont="1" applyAlignment="1" applyProtection="1">
      <alignment horizontal="center"/>
      <protection locked="0"/>
    </xf>
    <xf numFmtId="0" fontId="88" fillId="2" borderId="0" xfId="0" applyFont="1" applyFill="1" applyAlignment="1">
      <alignment horizontal="right" vertical="center" wrapText="1"/>
    </xf>
    <xf numFmtId="10" fontId="88" fillId="2" borderId="1" xfId="3" applyNumberFormat="1" applyFont="1" applyFill="1" applyBorder="1" applyAlignment="1">
      <alignment horizontal="right" vertical="center" wrapText="1"/>
    </xf>
    <xf numFmtId="187" fontId="88" fillId="2" borderId="1" xfId="1" applyNumberFormat="1" applyFont="1" applyFill="1" applyBorder="1" applyAlignment="1">
      <alignment horizontal="right" vertical="center" wrapText="1"/>
    </xf>
    <xf numFmtId="6" fontId="0" fillId="0" borderId="0" xfId="0" applyNumberFormat="1" applyProtection="1">
      <protection locked="0"/>
    </xf>
    <xf numFmtId="0" fontId="89" fillId="2" borderId="0" xfId="0" applyFont="1" applyFill="1" applyAlignment="1">
      <alignment vertical="center" wrapText="1"/>
    </xf>
    <xf numFmtId="0" fontId="89" fillId="2" borderId="1" xfId="0" applyFont="1" applyFill="1" applyBorder="1" applyAlignment="1">
      <alignment horizontal="right" vertical="center" wrapText="1"/>
    </xf>
    <xf numFmtId="0" fontId="88" fillId="2" borderId="1" xfId="0" applyFont="1" applyFill="1" applyBorder="1" applyAlignment="1">
      <alignment horizontal="center" vertical="center" wrapText="1"/>
    </xf>
    <xf numFmtId="164" fontId="0" fillId="0" borderId="0" xfId="1" applyNumberFormat="1" applyFont="1" applyFill="1" applyProtection="1">
      <protection locked="0"/>
    </xf>
    <xf numFmtId="0" fontId="4" fillId="2" borderId="0" xfId="0" applyFont="1" applyFill="1" applyAlignment="1" applyProtection="1">
      <alignment vertical="center" wrapText="1"/>
      <protection locked="0"/>
    </xf>
    <xf numFmtId="188" fontId="0" fillId="0" borderId="0" xfId="0" applyNumberFormat="1" applyProtection="1">
      <protection locked="0"/>
    </xf>
    <xf numFmtId="164" fontId="0" fillId="4" borderId="31" xfId="1" applyNumberFormat="1" applyFont="1" applyFill="1" applyBorder="1" applyProtection="1">
      <protection locked="0"/>
    </xf>
    <xf numFmtId="164" fontId="0" fillId="4" borderId="29" xfId="1" applyNumberFormat="1" applyFont="1" applyFill="1" applyBorder="1" applyProtection="1">
      <protection locked="0"/>
    </xf>
    <xf numFmtId="0" fontId="0" fillId="0" borderId="20" xfId="0" applyBorder="1" applyProtection="1">
      <protection locked="0"/>
    </xf>
    <xf numFmtId="164" fontId="0" fillId="4" borderId="32" xfId="1" applyNumberFormat="1" applyFont="1" applyFill="1" applyBorder="1" applyProtection="1">
      <protection locked="0"/>
    </xf>
    <xf numFmtId="164" fontId="0" fillId="4" borderId="33" xfId="1" applyNumberFormat="1" applyFont="1" applyFill="1" applyBorder="1" applyProtection="1">
      <protection locked="0"/>
    </xf>
    <xf numFmtId="0" fontId="0" fillId="0" borderId="34" xfId="0" applyBorder="1" applyProtection="1">
      <protection locked="0"/>
    </xf>
    <xf numFmtId="0" fontId="95" fillId="4" borderId="35" xfId="0" applyFont="1" applyFill="1" applyBorder="1" applyProtection="1">
      <protection locked="0"/>
    </xf>
    <xf numFmtId="0" fontId="95" fillId="4" borderId="36" xfId="0" applyFont="1" applyFill="1" applyBorder="1" applyProtection="1">
      <protection locked="0"/>
    </xf>
    <xf numFmtId="0" fontId="95" fillId="0" borderId="24" xfId="0" applyFont="1" applyBorder="1" applyProtection="1">
      <protection locked="0"/>
    </xf>
    <xf numFmtId="180" fontId="0" fillId="9" borderId="0" xfId="0" applyNumberFormat="1" applyFill="1" applyProtection="1">
      <protection locked="0"/>
    </xf>
    <xf numFmtId="189" fontId="0" fillId="0" borderId="0" xfId="0" applyNumberFormat="1" applyProtection="1">
      <protection locked="0"/>
    </xf>
    <xf numFmtId="0" fontId="4" fillId="16" borderId="1" xfId="0" applyFont="1" applyFill="1" applyBorder="1" applyAlignment="1" applyProtection="1">
      <alignment vertical="center" wrapText="1"/>
      <protection locked="0"/>
    </xf>
    <xf numFmtId="164" fontId="0" fillId="9" borderId="0" xfId="0" applyNumberFormat="1" applyFill="1" applyProtection="1">
      <protection locked="0"/>
    </xf>
    <xf numFmtId="0" fontId="0" fillId="0" borderId="0" xfId="1" applyNumberFormat="1" applyFont="1" applyFill="1" applyProtection="1">
      <protection locked="0"/>
    </xf>
    <xf numFmtId="164" fontId="66" fillId="9" borderId="0" xfId="1" applyNumberFormat="1" applyFont="1" applyFill="1" applyProtection="1">
      <protection locked="0"/>
    </xf>
    <xf numFmtId="9" fontId="0" fillId="0" borderId="0" xfId="0" applyNumberFormat="1" applyProtection="1">
      <protection locked="0"/>
    </xf>
    <xf numFmtId="1" fontId="4" fillId="0" borderId="0" xfId="1" applyNumberFormat="1" applyFont="1" applyProtection="1">
      <protection locked="0"/>
    </xf>
    <xf numFmtId="180" fontId="4" fillId="2" borderId="1" xfId="0" applyNumberFormat="1" applyFont="1" applyFill="1" applyBorder="1" applyAlignment="1" applyProtection="1">
      <alignment vertical="center" wrapText="1"/>
      <protection locked="0"/>
    </xf>
    <xf numFmtId="0" fontId="4" fillId="2" borderId="1" xfId="0" applyFont="1" applyFill="1" applyBorder="1" applyAlignment="1" applyProtection="1">
      <alignment vertical="center" wrapText="1"/>
      <protection locked="0"/>
    </xf>
    <xf numFmtId="164" fontId="4" fillId="9" borderId="0" xfId="1" applyNumberFormat="1" applyFont="1" applyFill="1" applyProtection="1">
      <protection locked="0"/>
    </xf>
    <xf numFmtId="164" fontId="4" fillId="0" borderId="0" xfId="0" applyNumberFormat="1" applyFont="1" applyProtection="1">
      <protection locked="0"/>
    </xf>
    <xf numFmtId="3" fontId="12" fillId="5" borderId="1" xfId="0" applyNumberFormat="1" applyFont="1" applyFill="1" applyBorder="1" applyAlignment="1">
      <alignment horizontal="right" vertical="center" wrapText="1"/>
    </xf>
    <xf numFmtId="0" fontId="11" fillId="5" borderId="1" xfId="0" applyFont="1" applyFill="1" applyBorder="1" applyAlignment="1">
      <alignment horizontal="right" vertical="center" wrapText="1"/>
    </xf>
    <xf numFmtId="3" fontId="0" fillId="0" borderId="0" xfId="0" applyNumberFormat="1" applyProtection="1">
      <protection locked="0"/>
    </xf>
    <xf numFmtId="10" fontId="0" fillId="0" borderId="0" xfId="0" applyNumberFormat="1" applyProtection="1">
      <protection locked="0"/>
    </xf>
    <xf numFmtId="0" fontId="4" fillId="2" borderId="0" xfId="0" applyFont="1" applyFill="1" applyAlignment="1">
      <alignment horizontal="left" vertical="center" indent="2"/>
    </xf>
    <xf numFmtId="0" fontId="4" fillId="2" borderId="0" xfId="0" applyFont="1" applyFill="1" applyAlignment="1">
      <alignment horizontal="left" vertical="center" indent="5"/>
    </xf>
    <xf numFmtId="10" fontId="4" fillId="2" borderId="1" xfId="3" applyNumberFormat="1" applyFont="1" applyFill="1" applyBorder="1" applyAlignment="1" applyProtection="1">
      <alignment vertical="center" wrapText="1"/>
    </xf>
    <xf numFmtId="0" fontId="4" fillId="0" borderId="0" xfId="0" applyFont="1" applyAlignment="1" applyProtection="1">
      <alignment horizontal="left" vertical="center" indent="2"/>
      <protection locked="0"/>
    </xf>
    <xf numFmtId="164" fontId="4" fillId="0" borderId="0" xfId="1" applyNumberFormat="1" applyFont="1" applyFill="1" applyBorder="1" applyAlignment="1">
      <alignment vertical="center" wrapText="1"/>
    </xf>
    <xf numFmtId="10" fontId="4" fillId="0" borderId="0" xfId="3" applyNumberFormat="1" applyFont="1" applyFill="1" applyBorder="1" applyAlignment="1">
      <alignment vertical="center" wrapText="1"/>
    </xf>
    <xf numFmtId="180" fontId="4" fillId="0" borderId="0" xfId="3" applyNumberFormat="1" applyFont="1" applyFill="1" applyBorder="1" applyAlignment="1">
      <alignment vertical="center" wrapText="1"/>
    </xf>
    <xf numFmtId="0" fontId="4" fillId="0" borderId="0" xfId="0" applyFont="1" applyAlignment="1">
      <alignment vertical="center" wrapText="1"/>
    </xf>
    <xf numFmtId="0" fontId="4" fillId="0" borderId="2" xfId="0" applyFont="1" applyBorder="1" applyProtection="1">
      <protection locked="0"/>
    </xf>
    <xf numFmtId="0" fontId="4" fillId="0" borderId="2" xfId="0" applyFont="1" applyBorder="1" applyAlignment="1">
      <alignment vertical="center" wrapText="1"/>
    </xf>
    <xf numFmtId="0" fontId="3" fillId="2" borderId="0" xfId="0" applyFont="1" applyFill="1" applyAlignment="1">
      <alignment vertical="center"/>
    </xf>
    <xf numFmtId="164" fontId="4" fillId="2" borderId="0" xfId="1" applyNumberFormat="1" applyFont="1" applyFill="1" applyBorder="1" applyAlignment="1" applyProtection="1">
      <alignment vertical="center" wrapText="1"/>
    </xf>
    <xf numFmtId="0" fontId="4" fillId="2" borderId="0" xfId="0" applyFont="1" applyFill="1" applyAlignment="1">
      <alignment horizontal="left" vertical="center" wrapText="1" indent="2"/>
    </xf>
    <xf numFmtId="0" fontId="88" fillId="2" borderId="0" xfId="0" applyFont="1" applyFill="1"/>
    <xf numFmtId="0" fontId="4" fillId="0" borderId="0" xfId="0" applyFont="1" applyAlignment="1" applyProtection="1">
      <alignment horizontal="left" vertical="center" wrapText="1" indent="2"/>
      <protection locked="0"/>
    </xf>
    <xf numFmtId="164" fontId="4" fillId="0" borderId="0" xfId="1" applyNumberFormat="1" applyFont="1" applyFill="1" applyBorder="1" applyAlignment="1" applyProtection="1">
      <alignment vertical="center" wrapText="1"/>
      <protection locked="0"/>
    </xf>
    <xf numFmtId="0" fontId="4" fillId="0" borderId="0" xfId="0" applyFont="1" applyAlignment="1" applyProtection="1">
      <alignment vertical="center" wrapText="1"/>
      <protection locked="0"/>
    </xf>
    <xf numFmtId="8" fontId="4" fillId="0" borderId="0" xfId="0" applyNumberFormat="1" applyFont="1" applyAlignment="1" applyProtection="1">
      <alignment vertical="center" wrapText="1"/>
      <protection locked="0"/>
    </xf>
    <xf numFmtId="0" fontId="55" fillId="0" borderId="0" xfId="0" applyFont="1" applyProtection="1">
      <protection locked="0"/>
    </xf>
    <xf numFmtId="164" fontId="3" fillId="0" borderId="0" xfId="0" applyNumberFormat="1" applyFont="1" applyProtection="1">
      <protection locked="0"/>
    </xf>
    <xf numFmtId="8" fontId="4" fillId="0" borderId="0" xfId="0" applyNumberFormat="1" applyFont="1" applyProtection="1">
      <protection locked="0"/>
    </xf>
    <xf numFmtId="164" fontId="55" fillId="0" borderId="0" xfId="0" applyNumberFormat="1" applyFont="1" applyProtection="1">
      <protection locked="0"/>
    </xf>
    <xf numFmtId="15" fontId="89" fillId="2" borderId="1" xfId="0" quotePrefix="1" applyNumberFormat="1" applyFont="1" applyFill="1" applyBorder="1" applyAlignment="1">
      <alignment horizontal="right" vertical="center" wrapText="1"/>
    </xf>
    <xf numFmtId="10" fontId="55" fillId="0" borderId="0" xfId="0" applyNumberFormat="1" applyFont="1" applyProtection="1">
      <protection locked="0"/>
    </xf>
    <xf numFmtId="0" fontId="88" fillId="2" borderId="0" xfId="0" applyFont="1" applyFill="1" applyAlignment="1">
      <alignment vertical="center"/>
    </xf>
    <xf numFmtId="6" fontId="55" fillId="0" borderId="0" xfId="0" applyNumberFormat="1" applyFont="1" applyProtection="1">
      <protection locked="0"/>
    </xf>
    <xf numFmtId="14" fontId="55" fillId="0" borderId="0" xfId="0" applyNumberFormat="1" applyFont="1" applyProtection="1">
      <protection locked="0"/>
    </xf>
    <xf numFmtId="0" fontId="4" fillId="0" borderId="0" xfId="0" applyFont="1" applyAlignment="1" applyProtection="1">
      <alignment vertical="top" wrapText="1"/>
      <protection locked="0"/>
    </xf>
    <xf numFmtId="0" fontId="4" fillId="0" borderId="0" xfId="0" applyFont="1" applyAlignment="1" applyProtection="1">
      <alignment horizontal="left" vertical="top" wrapText="1"/>
      <protection locked="0"/>
    </xf>
    <xf numFmtId="43" fontId="55" fillId="0" borderId="0" xfId="0" applyNumberFormat="1" applyFont="1" applyProtection="1">
      <protection locked="0"/>
    </xf>
    <xf numFmtId="0" fontId="55" fillId="2" borderId="0" xfId="0" applyFont="1" applyFill="1"/>
    <xf numFmtId="14" fontId="55" fillId="2" borderId="0" xfId="0" applyNumberFormat="1" applyFont="1" applyFill="1"/>
    <xf numFmtId="0" fontId="69" fillId="2" borderId="0" xfId="0" applyFont="1" applyFill="1"/>
    <xf numFmtId="0" fontId="68" fillId="2" borderId="0" xfId="0" applyFont="1" applyFill="1"/>
    <xf numFmtId="0" fontId="4" fillId="2" borderId="0" xfId="0" quotePrefix="1" applyFont="1" applyFill="1"/>
    <xf numFmtId="6" fontId="4" fillId="0" borderId="2" xfId="0" applyNumberFormat="1" applyFont="1" applyBorder="1" applyProtection="1">
      <protection locked="0"/>
    </xf>
    <xf numFmtId="164" fontId="4" fillId="0" borderId="2" xfId="0" applyNumberFormat="1" applyFont="1" applyBorder="1" applyProtection="1">
      <protection locked="0"/>
    </xf>
    <xf numFmtId="6" fontId="70" fillId="0" borderId="0" xfId="0" applyNumberFormat="1" applyFont="1" applyProtection="1">
      <protection locked="0"/>
    </xf>
    <xf numFmtId="6" fontId="4" fillId="0" borderId="0" xfId="0" applyNumberFormat="1" applyFont="1" applyProtection="1">
      <protection locked="0"/>
    </xf>
    <xf numFmtId="5" fontId="70" fillId="0" borderId="0" xfId="0" applyNumberFormat="1" applyFont="1" applyProtection="1">
      <protection locked="0"/>
    </xf>
    <xf numFmtId="164" fontId="70" fillId="0" borderId="0" xfId="0" applyNumberFormat="1" applyFont="1"/>
    <xf numFmtId="0" fontId="70" fillId="0" borderId="0" xfId="0" applyFont="1"/>
    <xf numFmtId="10" fontId="70" fillId="0" borderId="0" xfId="0" applyNumberFormat="1" applyFont="1"/>
    <xf numFmtId="6" fontId="70" fillId="0" borderId="0" xfId="0" applyNumberFormat="1" applyFont="1"/>
    <xf numFmtId="164" fontId="70" fillId="0" borderId="0" xfId="0" applyNumberFormat="1" applyFont="1" applyProtection="1">
      <protection locked="0"/>
    </xf>
    <xf numFmtId="14" fontId="70" fillId="0" borderId="0" xfId="0" applyNumberFormat="1" applyFont="1"/>
    <xf numFmtId="43" fontId="70" fillId="0" borderId="0" xfId="0" applyNumberFormat="1" applyFont="1"/>
    <xf numFmtId="164" fontId="4" fillId="2" borderId="0" xfId="1" applyNumberFormat="1" applyFont="1" applyFill="1" applyBorder="1" applyAlignment="1">
      <alignment vertical="center" wrapText="1"/>
    </xf>
    <xf numFmtId="10" fontId="70" fillId="2" borderId="1" xfId="0" applyNumberFormat="1" applyFont="1" applyFill="1" applyBorder="1" applyAlignment="1">
      <alignment horizontal="right" vertical="center" wrapText="1"/>
    </xf>
    <xf numFmtId="0" fontId="3" fillId="2" borderId="1" xfId="0" applyFont="1" applyFill="1" applyBorder="1" applyAlignment="1">
      <alignment vertical="center" wrapText="1"/>
    </xf>
    <xf numFmtId="15" fontId="3" fillId="2" borderId="1" xfId="0" quotePrefix="1" applyNumberFormat="1" applyFont="1" applyFill="1" applyBorder="1" applyAlignment="1">
      <alignment horizontal="right" vertical="center" wrapText="1"/>
    </xf>
    <xf numFmtId="0" fontId="4" fillId="2" borderId="0" xfId="0" applyFont="1" applyFill="1" applyAlignment="1">
      <alignment horizontal="center" vertical="center" wrapText="1"/>
    </xf>
    <xf numFmtId="0" fontId="70" fillId="2" borderId="1" xfId="0" applyFont="1" applyFill="1" applyBorder="1" applyAlignment="1">
      <alignment horizontal="center" vertical="center" wrapText="1"/>
    </xf>
    <xf numFmtId="0" fontId="70" fillId="2" borderId="1" xfId="0" applyFont="1" applyFill="1" applyBorder="1" applyAlignment="1">
      <alignment vertical="center" wrapText="1"/>
    </xf>
    <xf numFmtId="10" fontId="70" fillId="2" borderId="1" xfId="0" applyNumberFormat="1" applyFont="1" applyFill="1" applyBorder="1" applyAlignment="1">
      <alignment horizontal="center" vertical="center" wrapText="1"/>
    </xf>
    <xf numFmtId="0" fontId="76" fillId="2" borderId="1" xfId="0" applyFont="1" applyFill="1" applyBorder="1" applyAlignment="1">
      <alignment vertical="center" wrapText="1"/>
    </xf>
    <xf numFmtId="0" fontId="76" fillId="2" borderId="1" xfId="0" applyFont="1" applyFill="1" applyBorder="1" applyAlignment="1">
      <alignment horizontal="center" vertical="center" wrapText="1"/>
    </xf>
    <xf numFmtId="0" fontId="70" fillId="2" borderId="1" xfId="0" applyFont="1" applyFill="1" applyBorder="1" applyAlignment="1">
      <alignment horizontal="right" vertical="center" wrapText="1"/>
    </xf>
    <xf numFmtId="0" fontId="70" fillId="2" borderId="1" xfId="0" applyFont="1" applyFill="1" applyBorder="1" applyAlignment="1">
      <alignment horizontal="left" vertical="center" wrapText="1"/>
    </xf>
    <xf numFmtId="6" fontId="70" fillId="2" borderId="1" xfId="0" applyNumberFormat="1" applyFont="1" applyFill="1" applyBorder="1" applyAlignment="1">
      <alignment horizontal="right" vertical="center" wrapText="1"/>
    </xf>
    <xf numFmtId="0" fontId="76" fillId="2" borderId="1" xfId="0" applyFont="1" applyFill="1" applyBorder="1" applyAlignment="1">
      <alignment horizontal="right" vertical="center" wrapText="1"/>
    </xf>
    <xf numFmtId="187" fontId="70" fillId="2" borderId="1" xfId="1" applyNumberFormat="1" applyFont="1" applyFill="1" applyBorder="1" applyAlignment="1">
      <alignment horizontal="right" vertical="center" wrapText="1"/>
    </xf>
    <xf numFmtId="5" fontId="70" fillId="2" borderId="1" xfId="0" applyNumberFormat="1" applyFont="1" applyFill="1" applyBorder="1" applyAlignment="1">
      <alignment horizontal="right" vertical="center" wrapText="1"/>
    </xf>
    <xf numFmtId="3" fontId="70" fillId="2" borderId="1" xfId="0" applyNumberFormat="1" applyFont="1" applyFill="1" applyBorder="1" applyAlignment="1">
      <alignment horizontal="right" vertical="center" wrapText="1"/>
    </xf>
    <xf numFmtId="164" fontId="4" fillId="0" borderId="2" xfId="1" applyNumberFormat="1" applyFont="1" applyFill="1" applyBorder="1" applyAlignment="1">
      <alignment vertical="center" wrapText="1"/>
    </xf>
    <xf numFmtId="0" fontId="4" fillId="0" borderId="0" xfId="0" applyFont="1" applyAlignment="1">
      <alignment horizontal="left" vertical="center" wrapText="1" indent="2"/>
    </xf>
    <xf numFmtId="164" fontId="68" fillId="0" borderId="0" xfId="0" applyNumberFormat="1" applyFont="1" applyProtection="1">
      <protection locked="0"/>
    </xf>
    <xf numFmtId="0" fontId="68" fillId="0" borderId="0" xfId="0" applyFont="1" applyAlignment="1" applyProtection="1">
      <alignment horizontal="right"/>
      <protection locked="0"/>
    </xf>
    <xf numFmtId="0" fontId="96" fillId="0" borderId="0" xfId="0" applyFont="1" applyProtection="1">
      <protection locked="0"/>
    </xf>
    <xf numFmtId="37" fontId="70" fillId="0" borderId="0" xfId="1" applyNumberFormat="1" applyFont="1" applyFill="1" applyBorder="1" applyAlignment="1">
      <alignment vertical="center" wrapText="1"/>
    </xf>
    <xf numFmtId="0" fontId="3" fillId="0" borderId="0" xfId="0" applyFont="1" applyAlignment="1">
      <alignment horizontal="left" vertical="center"/>
    </xf>
    <xf numFmtId="10" fontId="68" fillId="0" borderId="0" xfId="0" applyNumberFormat="1" applyFont="1"/>
    <xf numFmtId="164" fontId="7" fillId="0" borderId="0" xfId="0" applyNumberFormat="1" applyFont="1" applyProtection="1">
      <protection locked="0"/>
    </xf>
    <xf numFmtId="0" fontId="7" fillId="0" borderId="0" xfId="0" applyFont="1" applyAlignment="1" applyProtection="1">
      <alignment horizontal="right"/>
      <protection locked="0"/>
    </xf>
    <xf numFmtId="164" fontId="70" fillId="0" borderId="2" xfId="0" applyNumberFormat="1" applyFont="1" applyBorder="1"/>
    <xf numFmtId="14" fontId="70" fillId="0" borderId="2" xfId="0" applyNumberFormat="1" applyFont="1" applyBorder="1"/>
    <xf numFmtId="10" fontId="70" fillId="0" borderId="0" xfId="3" applyNumberFormat="1" applyFont="1" applyProtection="1">
      <protection locked="0"/>
    </xf>
    <xf numFmtId="0" fontId="3" fillId="0" borderId="0" xfId="0" applyFont="1" applyAlignment="1">
      <alignment vertical="center" wrapText="1"/>
    </xf>
    <xf numFmtId="0" fontId="76" fillId="0" borderId="0" xfId="0" applyFont="1"/>
    <xf numFmtId="164" fontId="3" fillId="0" borderId="2" xfId="0" applyNumberFormat="1" applyFont="1" applyBorder="1" applyProtection="1">
      <protection locked="0"/>
    </xf>
    <xf numFmtId="0" fontId="61" fillId="0" borderId="0" xfId="0" applyFont="1"/>
    <xf numFmtId="168" fontId="27" fillId="5" borderId="0" xfId="0" applyNumberFormat="1" applyFont="1" applyFill="1"/>
    <xf numFmtId="9" fontId="27" fillId="5" borderId="0" xfId="0" applyNumberFormat="1" applyFont="1" applyFill="1"/>
    <xf numFmtId="2" fontId="27" fillId="5" borderId="0" xfId="0" applyNumberFormat="1" applyFont="1" applyFill="1"/>
    <xf numFmtId="2" fontId="27" fillId="0" borderId="1" xfId="0" applyNumberFormat="1" applyFont="1" applyBorder="1"/>
    <xf numFmtId="168" fontId="27" fillId="0" borderId="1" xfId="0" applyNumberFormat="1" applyFont="1" applyBorder="1"/>
    <xf numFmtId="0" fontId="27" fillId="0" borderId="1" xfId="0" applyFont="1" applyBorder="1"/>
    <xf numFmtId="0" fontId="27" fillId="5" borderId="1" xfId="0" applyFont="1" applyFill="1" applyBorder="1"/>
    <xf numFmtId="9" fontId="27" fillId="5" borderId="1" xfId="0" applyNumberFormat="1" applyFont="1" applyFill="1" applyBorder="1"/>
    <xf numFmtId="0" fontId="27" fillId="5" borderId="1" xfId="0" applyFont="1" applyFill="1" applyBorder="1" applyAlignment="1">
      <alignment wrapText="1"/>
    </xf>
    <xf numFmtId="0" fontId="27" fillId="5" borderId="0" xfId="0" applyFont="1" applyFill="1" applyAlignment="1">
      <alignment horizontal="left" vertical="center" indent="4"/>
    </xf>
    <xf numFmtId="0" fontId="27" fillId="5" borderId="0" xfId="0" applyFont="1" applyFill="1" applyAlignment="1">
      <alignment vertical="center"/>
    </xf>
    <xf numFmtId="0" fontId="28" fillId="5" borderId="0" xfId="0" applyFont="1" applyFill="1"/>
    <xf numFmtId="0" fontId="27" fillId="5" borderId="0" xfId="0" quotePrefix="1" applyFont="1" applyFill="1"/>
    <xf numFmtId="0" fontId="27" fillId="5" borderId="1" xfId="0" applyFont="1" applyFill="1" applyBorder="1" applyAlignment="1">
      <alignment vertical="center"/>
    </xf>
    <xf numFmtId="0" fontId="27" fillId="5" borderId="1" xfId="0" applyFont="1" applyFill="1" applyBorder="1" applyAlignment="1">
      <alignment horizontal="right" wrapText="1"/>
    </xf>
    <xf numFmtId="2" fontId="27" fillId="5" borderId="1" xfId="0" applyNumberFormat="1" applyFont="1" applyFill="1" applyBorder="1"/>
    <xf numFmtId="0" fontId="61" fillId="0" borderId="0" xfId="0" applyFont="1" applyAlignment="1">
      <alignment wrapText="1"/>
    </xf>
    <xf numFmtId="0" fontId="27" fillId="5" borderId="0" xfId="0" applyFont="1" applyFill="1" applyAlignment="1">
      <alignment wrapText="1"/>
    </xf>
    <xf numFmtId="0" fontId="97" fillId="5" borderId="0" xfId="0" applyFont="1" applyFill="1" applyAlignment="1">
      <alignment vertical="center"/>
    </xf>
    <xf numFmtId="0" fontId="98" fillId="5" borderId="0" xfId="0" applyFont="1" applyFill="1" applyAlignment="1">
      <alignment vertical="center"/>
    </xf>
    <xf numFmtId="0" fontId="11" fillId="17" borderId="0" xfId="0" applyFont="1" applyFill="1"/>
    <xf numFmtId="0" fontId="4" fillId="2" borderId="0" xfId="18" applyFont="1" applyFill="1" applyAlignment="1">
      <alignment horizontal="left" vertical="center" indent="7"/>
    </xf>
    <xf numFmtId="0" fontId="4" fillId="2" borderId="0" xfId="18" applyFont="1" applyFill="1" applyAlignment="1">
      <alignment horizontal="left" vertical="center" indent="2"/>
    </xf>
    <xf numFmtId="0" fontId="4" fillId="2" borderId="0" xfId="18" applyFont="1" applyFill="1" applyAlignment="1">
      <alignment horizontal="left" vertical="center" indent="9"/>
    </xf>
    <xf numFmtId="0" fontId="4" fillId="2" borderId="0" xfId="18" applyFont="1" applyFill="1" applyAlignment="1">
      <alignment vertical="center"/>
    </xf>
    <xf numFmtId="6" fontId="4" fillId="2" borderId="16" xfId="18" applyNumberFormat="1" applyFont="1" applyFill="1" applyBorder="1" applyAlignment="1">
      <alignment horizontal="right" vertical="center" wrapText="1"/>
    </xf>
    <xf numFmtId="0" fontId="4" fillId="2" borderId="17" xfId="18" applyFont="1" applyFill="1" applyBorder="1" applyAlignment="1">
      <alignment vertical="center" wrapText="1"/>
    </xf>
    <xf numFmtId="0" fontId="4" fillId="2" borderId="16" xfId="18" applyFont="1" applyFill="1" applyBorder="1" applyAlignment="1">
      <alignment horizontal="right" vertical="center" wrapText="1"/>
    </xf>
    <xf numFmtId="0" fontId="4" fillId="2" borderId="17" xfId="18" applyFont="1" applyFill="1" applyBorder="1" applyAlignment="1">
      <alignment horizontal="left" vertical="center" wrapText="1" indent="2"/>
    </xf>
    <xf numFmtId="10" fontId="4" fillId="2" borderId="18" xfId="18" applyNumberFormat="1" applyFont="1" applyFill="1" applyBorder="1" applyAlignment="1">
      <alignment horizontal="right" vertical="center" wrapText="1"/>
    </xf>
    <xf numFmtId="0" fontId="4" fillId="2" borderId="28" xfId="18" applyFont="1" applyFill="1" applyBorder="1" applyAlignment="1">
      <alignment vertical="center" wrapText="1"/>
    </xf>
    <xf numFmtId="0" fontId="4" fillId="2" borderId="0" xfId="18" applyFont="1" applyFill="1" applyAlignment="1">
      <alignment horizontal="left" vertical="center" indent="4"/>
    </xf>
    <xf numFmtId="0" fontId="67" fillId="2" borderId="0" xfId="18" applyFill="1" applyAlignment="1">
      <alignment horizontal="left" vertical="center" indent="4"/>
    </xf>
    <xf numFmtId="0" fontId="4" fillId="2" borderId="0" xfId="17" applyFont="1" applyFill="1" applyProtection="1">
      <protection locked="0"/>
    </xf>
    <xf numFmtId="43" fontId="4" fillId="2" borderId="0" xfId="15" applyFont="1" applyFill="1" applyProtection="1">
      <protection locked="0"/>
    </xf>
    <xf numFmtId="10" fontId="4" fillId="2" borderId="0" xfId="17" applyNumberFormat="1" applyFont="1" applyFill="1" applyProtection="1">
      <protection locked="0"/>
    </xf>
    <xf numFmtId="180" fontId="4" fillId="2" borderId="0" xfId="17" applyNumberFormat="1" applyFont="1" applyFill="1" applyProtection="1">
      <protection locked="0"/>
    </xf>
    <xf numFmtId="0" fontId="3" fillId="2" borderId="0" xfId="17" applyFont="1" applyFill="1" applyProtection="1">
      <protection locked="0"/>
    </xf>
    <xf numFmtId="10" fontId="4" fillId="2" borderId="16" xfId="18" applyNumberFormat="1" applyFont="1" applyFill="1" applyBorder="1" applyAlignment="1">
      <alignment horizontal="right" vertical="center" wrapText="1"/>
    </xf>
    <xf numFmtId="0" fontId="4" fillId="2" borderId="0" xfId="18" applyFont="1" applyFill="1"/>
    <xf numFmtId="0" fontId="99" fillId="0" borderId="0" xfId="17" applyFont="1" applyProtection="1">
      <protection locked="0"/>
    </xf>
    <xf numFmtId="164" fontId="4" fillId="0" borderId="0" xfId="17" applyNumberFormat="1" applyFont="1" applyProtection="1">
      <protection locked="0"/>
    </xf>
    <xf numFmtId="164" fontId="4" fillId="0" borderId="2" xfId="17" applyNumberFormat="1" applyFont="1" applyBorder="1" applyProtection="1">
      <protection locked="0"/>
    </xf>
    <xf numFmtId="0" fontId="4" fillId="0" borderId="2" xfId="17" applyFont="1" applyBorder="1" applyProtection="1">
      <protection locked="0"/>
    </xf>
    <xf numFmtId="164" fontId="4" fillId="0" borderId="0" xfId="23" applyNumberFormat="1" applyFont="1" applyProtection="1">
      <protection locked="0"/>
    </xf>
    <xf numFmtId="43" fontId="66" fillId="0" borderId="2" xfId="15" applyFont="1" applyBorder="1" applyProtection="1">
      <protection locked="0"/>
    </xf>
    <xf numFmtId="10" fontId="4" fillId="0" borderId="2" xfId="17" applyNumberFormat="1" applyFont="1" applyBorder="1" applyProtection="1">
      <protection locked="0"/>
    </xf>
    <xf numFmtId="180" fontId="4" fillId="0" borderId="2" xfId="17" applyNumberFormat="1" applyFont="1" applyBorder="1" applyProtection="1">
      <protection locked="0"/>
    </xf>
    <xf numFmtId="164" fontId="4" fillId="0" borderId="2" xfId="23" applyNumberFormat="1" applyFont="1" applyBorder="1" applyProtection="1">
      <protection locked="0"/>
    </xf>
    <xf numFmtId="164" fontId="4" fillId="0" borderId="0" xfId="23" applyNumberFormat="1" applyFont="1" applyFill="1" applyProtection="1">
      <protection locked="0"/>
    </xf>
    <xf numFmtId="0" fontId="3" fillId="0" borderId="0" xfId="17" applyFont="1" applyAlignment="1" applyProtection="1">
      <alignment horizontal="center"/>
      <protection locked="0"/>
    </xf>
    <xf numFmtId="43" fontId="3" fillId="0" borderId="0" xfId="17" applyNumberFormat="1" applyFont="1" applyAlignment="1" applyProtection="1">
      <alignment horizontal="center"/>
      <protection locked="0"/>
    </xf>
    <xf numFmtId="183" fontId="70" fillId="0" borderId="0" xfId="22" applyNumberFormat="1" applyFont="1" applyProtection="1">
      <protection locked="0"/>
    </xf>
    <xf numFmtId="164" fontId="70" fillId="0" borderId="0" xfId="19" applyNumberFormat="1" applyFont="1" applyProtection="1">
      <protection locked="0"/>
    </xf>
    <xf numFmtId="0" fontId="70" fillId="0" borderId="0" xfId="0" quotePrefix="1" applyFont="1" applyProtection="1">
      <protection locked="0"/>
    </xf>
    <xf numFmtId="0" fontId="76" fillId="0" borderId="0" xfId="0" applyFont="1" applyProtection="1">
      <protection locked="0"/>
    </xf>
    <xf numFmtId="164" fontId="4" fillId="0" borderId="0" xfId="19" quotePrefix="1" applyNumberFormat="1" applyFont="1" applyProtection="1">
      <protection locked="0"/>
    </xf>
    <xf numFmtId="164" fontId="4" fillId="0" borderId="0" xfId="19" applyNumberFormat="1" applyFont="1" applyProtection="1">
      <protection locked="0"/>
    </xf>
    <xf numFmtId="0" fontId="91" fillId="0" borderId="0" xfId="0" applyFont="1" applyProtection="1">
      <protection locked="0"/>
    </xf>
    <xf numFmtId="43" fontId="70" fillId="0" borderId="0" xfId="19" applyFont="1" applyProtection="1">
      <protection locked="0"/>
    </xf>
    <xf numFmtId="10" fontId="4" fillId="0" borderId="0" xfId="0" quotePrefix="1" applyNumberFormat="1" applyFont="1" applyProtection="1">
      <protection locked="0"/>
    </xf>
    <xf numFmtId="43" fontId="4" fillId="0" borderId="0" xfId="19" applyFont="1" applyProtection="1">
      <protection locked="0"/>
    </xf>
    <xf numFmtId="9" fontId="4" fillId="0" borderId="0" xfId="3" applyFont="1" applyProtection="1">
      <protection locked="0"/>
    </xf>
    <xf numFmtId="190" fontId="4" fillId="0" borderId="0" xfId="0" applyNumberFormat="1" applyFont="1" applyProtection="1">
      <protection locked="0"/>
    </xf>
    <xf numFmtId="190" fontId="4" fillId="0" borderId="2" xfId="0" applyNumberFormat="1" applyFont="1" applyBorder="1" applyProtection="1">
      <protection locked="0"/>
    </xf>
    <xf numFmtId="190" fontId="70" fillId="0" borderId="2" xfId="0" applyNumberFormat="1" applyFont="1" applyBorder="1" applyProtection="1">
      <protection locked="0"/>
    </xf>
    <xf numFmtId="190" fontId="70" fillId="0" borderId="0" xfId="0" applyNumberFormat="1" applyFont="1" applyProtection="1">
      <protection locked="0"/>
    </xf>
    <xf numFmtId="0" fontId="92" fillId="0" borderId="0" xfId="0" applyFont="1" applyProtection="1">
      <protection locked="0"/>
    </xf>
    <xf numFmtId="183" fontId="70" fillId="0" borderId="2" xfId="0" applyNumberFormat="1" applyFont="1" applyBorder="1" applyProtection="1">
      <protection locked="0"/>
    </xf>
    <xf numFmtId="183" fontId="103" fillId="0" borderId="0" xfId="0" applyNumberFormat="1" applyFont="1" applyProtection="1">
      <protection locked="0"/>
    </xf>
    <xf numFmtId="190" fontId="76" fillId="0" borderId="0" xfId="0" applyNumberFormat="1" applyFont="1" applyProtection="1">
      <protection locked="0"/>
    </xf>
    <xf numFmtId="183" fontId="4" fillId="0" borderId="2" xfId="0" applyNumberFormat="1" applyFont="1" applyBorder="1" applyProtection="1">
      <protection locked="0"/>
    </xf>
    <xf numFmtId="183" fontId="70" fillId="0" borderId="0" xfId="19" applyNumberFormat="1" applyFont="1" applyFill="1" applyProtection="1">
      <protection locked="0"/>
    </xf>
    <xf numFmtId="190" fontId="76" fillId="0" borderId="0" xfId="0" quotePrefix="1" applyNumberFormat="1" applyFont="1" applyProtection="1">
      <protection locked="0"/>
    </xf>
    <xf numFmtId="183" fontId="3" fillId="0" borderId="0" xfId="0" applyNumberFormat="1" applyFont="1" applyProtection="1">
      <protection locked="0"/>
    </xf>
    <xf numFmtId="183" fontId="70" fillId="0" borderId="2" xfId="19" applyNumberFormat="1" applyFont="1" applyFill="1" applyBorder="1" applyProtection="1">
      <protection locked="0"/>
    </xf>
    <xf numFmtId="190" fontId="70" fillId="0" borderId="0" xfId="0" quotePrefix="1" applyNumberFormat="1" applyFont="1" applyProtection="1">
      <protection locked="0"/>
    </xf>
    <xf numFmtId="183" fontId="76" fillId="0" borderId="0" xfId="19" applyNumberFormat="1" applyFont="1" applyFill="1" applyProtection="1">
      <protection locked="0"/>
    </xf>
    <xf numFmtId="183" fontId="70" fillId="0" borderId="2" xfId="3" applyNumberFormat="1" applyFont="1" applyFill="1" applyBorder="1" applyProtection="1">
      <protection locked="0"/>
    </xf>
    <xf numFmtId="183" fontId="3" fillId="0" borderId="0" xfId="0" applyNumberFormat="1" applyFont="1" applyAlignment="1" applyProtection="1">
      <alignment horizontal="center"/>
      <protection locked="0"/>
    </xf>
    <xf numFmtId="164" fontId="68" fillId="0" borderId="0" xfId="1" applyNumberFormat="1" applyFont="1" applyFill="1" applyBorder="1" applyProtection="1">
      <protection locked="0"/>
    </xf>
    <xf numFmtId="0" fontId="68" fillId="0" borderId="0" xfId="1" applyNumberFormat="1" applyFont="1" applyFill="1" applyBorder="1" applyProtection="1">
      <protection locked="0"/>
    </xf>
    <xf numFmtId="164" fontId="3" fillId="18" borderId="0" xfId="0" applyNumberFormat="1" applyFont="1" applyFill="1" applyProtection="1">
      <protection locked="0"/>
    </xf>
    <xf numFmtId="0" fontId="3" fillId="18" borderId="0" xfId="0" applyFont="1" applyFill="1" applyProtection="1">
      <protection locked="0"/>
    </xf>
    <xf numFmtId="164" fontId="70" fillId="0" borderId="0" xfId="1" applyNumberFormat="1" applyFont="1" applyFill="1" applyBorder="1" applyProtection="1">
      <protection locked="0"/>
    </xf>
    <xf numFmtId="164" fontId="70" fillId="0" borderId="2" xfId="1" applyNumberFormat="1" applyFont="1" applyFill="1" applyBorder="1" applyProtection="1">
      <protection locked="0"/>
    </xf>
    <xf numFmtId="0" fontId="70" fillId="0" borderId="2" xfId="0" applyFont="1" applyBorder="1" applyProtection="1">
      <protection locked="0"/>
    </xf>
    <xf numFmtId="164" fontId="70" fillId="0" borderId="2" xfId="0" applyNumberFormat="1" applyFont="1" applyBorder="1" applyProtection="1">
      <protection locked="0"/>
    </xf>
    <xf numFmtId="0" fontId="70" fillId="0" borderId="2" xfId="1" applyNumberFormat="1" applyFont="1" applyFill="1" applyBorder="1" applyProtection="1">
      <protection locked="0"/>
    </xf>
    <xf numFmtId="164" fontId="76" fillId="18" borderId="0" xfId="1" applyNumberFormat="1" applyFont="1" applyFill="1" applyBorder="1" applyProtection="1">
      <protection locked="0"/>
    </xf>
    <xf numFmtId="0" fontId="76" fillId="18" borderId="0" xfId="1" applyNumberFormat="1" applyFont="1" applyFill="1" applyBorder="1" applyProtection="1">
      <protection locked="0"/>
    </xf>
    <xf numFmtId="0" fontId="76" fillId="18" borderId="0" xfId="0" applyFont="1" applyFill="1" applyProtection="1">
      <protection locked="0"/>
    </xf>
    <xf numFmtId="9" fontId="70" fillId="0" borderId="0" xfId="3" applyFont="1" applyProtection="1">
      <protection locked="0"/>
    </xf>
    <xf numFmtId="164" fontId="76" fillId="18" borderId="0" xfId="0" applyNumberFormat="1" applyFont="1" applyFill="1" applyProtection="1">
      <protection locked="0"/>
    </xf>
    <xf numFmtId="0" fontId="104" fillId="0" borderId="0" xfId="0" applyFont="1" applyProtection="1">
      <protection locked="0"/>
    </xf>
    <xf numFmtId="0" fontId="69" fillId="0" borderId="0" xfId="0" applyFont="1" applyProtection="1">
      <protection locked="0"/>
    </xf>
    <xf numFmtId="164" fontId="4" fillId="0" borderId="0" xfId="1" applyNumberFormat="1" applyFont="1" applyFill="1" applyBorder="1" applyProtection="1">
      <protection locked="0"/>
    </xf>
    <xf numFmtId="10" fontId="4" fillId="2" borderId="0" xfId="0" applyNumberFormat="1" applyFont="1" applyFill="1" applyAlignment="1">
      <alignment horizontal="right"/>
    </xf>
    <xf numFmtId="6" fontId="4" fillId="2" borderId="0" xfId="0" applyNumberFormat="1" applyFont="1" applyFill="1" applyAlignment="1">
      <alignment vertical="center" wrapText="1"/>
    </xf>
    <xf numFmtId="10" fontId="4" fillId="2" borderId="1" xfId="0" applyNumberFormat="1" applyFont="1" applyFill="1" applyBorder="1" applyAlignment="1">
      <alignment vertical="center" wrapText="1"/>
    </xf>
    <xf numFmtId="0" fontId="105" fillId="0" borderId="0" xfId="0" applyFont="1" applyAlignment="1" applyProtection="1">
      <alignment horizontal="center"/>
      <protection locked="0"/>
    </xf>
    <xf numFmtId="0" fontId="106" fillId="2" borderId="0" xfId="0" applyFont="1" applyFill="1" applyAlignment="1">
      <alignment horizontal="left" vertical="center" indent="2"/>
    </xf>
    <xf numFmtId="0" fontId="3" fillId="2" borderId="0" xfId="0" applyFont="1" applyFill="1" applyProtection="1">
      <protection locked="0"/>
    </xf>
    <xf numFmtId="164" fontId="4" fillId="0" borderId="0" xfId="1" applyNumberFormat="1" applyFont="1" applyBorder="1" applyProtection="1">
      <protection locked="0"/>
    </xf>
    <xf numFmtId="0" fontId="4" fillId="0" borderId="2" xfId="0" applyFont="1" applyBorder="1" applyAlignment="1" applyProtection="1">
      <alignment horizontal="right"/>
      <protection locked="0"/>
    </xf>
    <xf numFmtId="164" fontId="4" fillId="0" borderId="0" xfId="0" quotePrefix="1" applyNumberFormat="1" applyFont="1" applyProtection="1">
      <protection locked="0"/>
    </xf>
    <xf numFmtId="0" fontId="92" fillId="19" borderId="0" xfId="0" applyFont="1" applyFill="1" applyAlignment="1" applyProtection="1">
      <alignment horizontal="center"/>
      <protection locked="0"/>
    </xf>
    <xf numFmtId="164" fontId="88" fillId="20" borderId="1" xfId="1" applyNumberFormat="1" applyFont="1" applyFill="1" applyBorder="1" applyAlignment="1">
      <alignment horizontal="right"/>
    </xf>
    <xf numFmtId="0" fontId="3" fillId="2" borderId="1" xfId="1" applyNumberFormat="1" applyFont="1" applyFill="1" applyBorder="1" applyAlignment="1">
      <alignment horizontal="right"/>
    </xf>
    <xf numFmtId="168" fontId="88" fillId="20" borderId="1" xfId="3" applyNumberFormat="1" applyFont="1" applyFill="1" applyBorder="1"/>
    <xf numFmtId="0" fontId="88" fillId="20" borderId="1" xfId="0" applyFont="1" applyFill="1" applyBorder="1"/>
    <xf numFmtId="169" fontId="88" fillId="20" borderId="1" xfId="3" applyNumberFormat="1" applyFont="1" applyFill="1" applyBorder="1"/>
    <xf numFmtId="169" fontId="88" fillId="20" borderId="1" xfId="3" applyNumberFormat="1" applyFont="1" applyFill="1" applyBorder="1" applyAlignment="1">
      <alignment vertical="center"/>
    </xf>
    <xf numFmtId="0" fontId="88" fillId="20" borderId="1" xfId="0" applyFont="1" applyFill="1" applyBorder="1" applyAlignment="1">
      <alignment vertical="center" wrapText="1"/>
    </xf>
    <xf numFmtId="169" fontId="88" fillId="20" borderId="1" xfId="3" applyNumberFormat="1" applyFont="1" applyFill="1" applyBorder="1" applyAlignment="1">
      <alignment horizontal="right"/>
    </xf>
    <xf numFmtId="6" fontId="3" fillId="2" borderId="1" xfId="0" applyNumberFormat="1" applyFont="1" applyFill="1" applyBorder="1" applyAlignment="1">
      <alignment horizontal="right"/>
    </xf>
    <xf numFmtId="0" fontId="31" fillId="0" borderId="0" xfId="0" applyFont="1" applyProtection="1">
      <protection locked="0"/>
    </xf>
    <xf numFmtId="191" fontId="0" fillId="0" borderId="0" xfId="0" applyNumberFormat="1" applyProtection="1">
      <protection locked="0"/>
    </xf>
    <xf numFmtId="192" fontId="0" fillId="0" borderId="0" xfId="3" applyNumberFormat="1" applyFont="1" applyProtection="1">
      <protection locked="0"/>
    </xf>
    <xf numFmtId="164" fontId="86" fillId="0" borderId="0" xfId="0" applyNumberFormat="1" applyFont="1" applyProtection="1">
      <protection locked="0"/>
    </xf>
    <xf numFmtId="0" fontId="107" fillId="0" borderId="0" xfId="0" applyFont="1" applyProtection="1">
      <protection locked="0"/>
    </xf>
    <xf numFmtId="181" fontId="86" fillId="0" borderId="0" xfId="0" applyNumberFormat="1" applyFont="1" applyProtection="1">
      <protection locked="0"/>
    </xf>
    <xf numFmtId="170" fontId="0" fillId="0" borderId="0" xfId="0" applyNumberFormat="1" applyProtection="1">
      <protection locked="0"/>
    </xf>
    <xf numFmtId="164" fontId="0" fillId="0" borderId="0" xfId="1" applyNumberFormat="1" applyFont="1" applyBorder="1" applyProtection="1">
      <protection locked="0"/>
    </xf>
    <xf numFmtId="164" fontId="108" fillId="0" borderId="0" xfId="1" applyNumberFormat="1" applyFont="1" applyFill="1" applyBorder="1" applyProtection="1">
      <protection locked="0"/>
    </xf>
    <xf numFmtId="164" fontId="109" fillId="0" borderId="0" xfId="1" applyNumberFormat="1" applyFont="1" applyFill="1" applyBorder="1" applyProtection="1">
      <protection locked="0"/>
    </xf>
    <xf numFmtId="164" fontId="109" fillId="0" borderId="0" xfId="1" applyNumberFormat="1" applyFont="1" applyBorder="1" applyProtection="1">
      <protection locked="0"/>
    </xf>
    <xf numFmtId="164" fontId="86" fillId="0" borderId="0" xfId="1" applyNumberFormat="1" applyFont="1" applyFill="1" applyBorder="1" applyProtection="1">
      <protection locked="0"/>
    </xf>
    <xf numFmtId="164" fontId="86" fillId="0" borderId="0" xfId="1" applyNumberFormat="1" applyFont="1" applyBorder="1" applyProtection="1">
      <protection locked="0"/>
    </xf>
    <xf numFmtId="164" fontId="1" fillId="0" borderId="0" xfId="1" applyNumberFormat="1" applyFont="1" applyFill="1" applyBorder="1" applyProtection="1">
      <protection locked="0"/>
    </xf>
    <xf numFmtId="193" fontId="31" fillId="0" borderId="18" xfId="0" applyNumberFormat="1" applyFont="1" applyBorder="1" applyAlignment="1" applyProtection="1">
      <alignment horizontal="right" vertical="center" wrapText="1"/>
      <protection locked="0"/>
    </xf>
    <xf numFmtId="193" fontId="31" fillId="0" borderId="27" xfId="0" applyNumberFormat="1" applyFont="1" applyBorder="1" applyAlignment="1" applyProtection="1">
      <alignment horizontal="right" vertical="center" wrapText="1"/>
      <protection locked="0"/>
    </xf>
    <xf numFmtId="0" fontId="31" fillId="0" borderId="27" xfId="0" applyFont="1" applyBorder="1" applyAlignment="1" applyProtection="1">
      <alignment horizontal="right" vertical="center" wrapText="1"/>
      <protection locked="0"/>
    </xf>
    <xf numFmtId="0" fontId="31" fillId="0" borderId="19" xfId="0" applyFont="1" applyBorder="1" applyAlignment="1" applyProtection="1">
      <alignment vertical="center" wrapText="1"/>
      <protection locked="0"/>
    </xf>
    <xf numFmtId="0" fontId="31" fillId="0" borderId="18" xfId="0" applyFont="1" applyBorder="1" applyAlignment="1" applyProtection="1">
      <alignment horizontal="right" vertical="center" wrapText="1"/>
      <protection locked="0"/>
    </xf>
    <xf numFmtId="164" fontId="1" fillId="0" borderId="0" xfId="1" applyNumberFormat="1" applyFont="1" applyFill="1" applyBorder="1" applyAlignment="1" applyProtection="1">
      <alignment horizontal="right"/>
      <protection locked="0"/>
    </xf>
    <xf numFmtId="164" fontId="108" fillId="0" borderId="0" xfId="0" applyNumberFormat="1" applyFont="1" applyProtection="1">
      <protection locked="0"/>
    </xf>
    <xf numFmtId="181" fontId="108" fillId="0" borderId="0" xfId="1" applyNumberFormat="1" applyFont="1" applyBorder="1" applyProtection="1">
      <protection locked="0"/>
    </xf>
    <xf numFmtId="164" fontId="86" fillId="0" borderId="0" xfId="1" applyNumberFormat="1" applyFont="1" applyFill="1" applyProtection="1">
      <protection locked="0"/>
    </xf>
    <xf numFmtId="43" fontId="86" fillId="0" borderId="0" xfId="1" applyFont="1" applyProtection="1">
      <protection locked="0"/>
    </xf>
    <xf numFmtId="181" fontId="86" fillId="0" borderId="0" xfId="1" applyNumberFormat="1" applyFont="1" applyBorder="1" applyProtection="1">
      <protection locked="0"/>
    </xf>
    <xf numFmtId="194" fontId="0" fillId="0" borderId="0" xfId="0" applyNumberFormat="1" applyProtection="1">
      <protection locked="0"/>
    </xf>
    <xf numFmtId="181" fontId="0" fillId="0" borderId="0" xfId="1" applyNumberFormat="1" applyFont="1" applyProtection="1">
      <protection locked="0"/>
    </xf>
    <xf numFmtId="181" fontId="0" fillId="0" borderId="0" xfId="1" applyNumberFormat="1" applyFont="1" applyFill="1" applyProtection="1">
      <protection locked="0"/>
    </xf>
    <xf numFmtId="193" fontId="110" fillId="0" borderId="18" xfId="0" applyNumberFormat="1" applyFont="1" applyBorder="1" applyAlignment="1" applyProtection="1">
      <alignment horizontal="right" vertical="center" wrapText="1"/>
      <protection locked="0"/>
    </xf>
    <xf numFmtId="181" fontId="108" fillId="0" borderId="0" xfId="1" applyNumberFormat="1" applyFont="1" applyFill="1" applyBorder="1" applyAlignment="1" applyProtection="1">
      <alignment vertical="center"/>
      <protection locked="0"/>
    </xf>
    <xf numFmtId="181" fontId="108" fillId="0" borderId="0" xfId="1" applyNumberFormat="1" applyFont="1" applyBorder="1" applyAlignment="1" applyProtection="1">
      <alignment vertical="center"/>
      <protection locked="0"/>
    </xf>
    <xf numFmtId="0" fontId="31" fillId="0" borderId="0" xfId="0" applyFont="1" applyAlignment="1" applyProtection="1">
      <alignment vertical="center"/>
      <protection locked="0"/>
    </xf>
    <xf numFmtId="164" fontId="86" fillId="0" borderId="0" xfId="1" applyNumberFormat="1" applyFont="1" applyFill="1" applyBorder="1" applyAlignment="1" applyProtection="1">
      <alignment horizontal="right"/>
      <protection locked="0"/>
    </xf>
    <xf numFmtId="181" fontId="1" fillId="0" borderId="0" xfId="1" applyNumberFormat="1" applyFont="1" applyFill="1" applyProtection="1">
      <protection locked="0"/>
    </xf>
    <xf numFmtId="181" fontId="1" fillId="0" borderId="0" xfId="1" applyNumberFormat="1" applyFont="1" applyProtection="1">
      <protection locked="0"/>
    </xf>
    <xf numFmtId="193" fontId="110" fillId="0" borderId="27" xfId="0" applyNumberFormat="1" applyFont="1" applyBorder="1" applyAlignment="1" applyProtection="1">
      <alignment horizontal="right" vertical="center" wrapText="1"/>
      <protection locked="0"/>
    </xf>
    <xf numFmtId="0" fontId="111" fillId="0" borderId="0" xfId="24"/>
    <xf numFmtId="0" fontId="111" fillId="5" borderId="0" xfId="24" applyFill="1"/>
    <xf numFmtId="0" fontId="12" fillId="21" borderId="0" xfId="24" applyFont="1" applyFill="1"/>
    <xf numFmtId="0" fontId="111" fillId="21" borderId="0" xfId="24" applyFill="1"/>
    <xf numFmtId="0" fontId="112" fillId="0" borderId="0" xfId="24" applyFont="1"/>
    <xf numFmtId="0" fontId="112" fillId="5" borderId="0" xfId="24" applyFont="1" applyFill="1"/>
    <xf numFmtId="0" fontId="112" fillId="0" borderId="0" xfId="24" quotePrefix="1" applyFont="1"/>
    <xf numFmtId="0" fontId="54" fillId="0" borderId="0" xfId="24" applyFont="1"/>
    <xf numFmtId="0" fontId="113" fillId="0" borderId="0" xfId="24" applyFont="1"/>
    <xf numFmtId="0" fontId="113" fillId="0" borderId="0" xfId="24" applyFont="1" applyAlignment="1">
      <alignment vertical="center"/>
    </xf>
    <xf numFmtId="0" fontId="12" fillId="21" borderId="11" xfId="24" applyFont="1" applyFill="1" applyBorder="1"/>
    <xf numFmtId="0" fontId="12" fillId="21" borderId="10" xfId="24" applyFont="1" applyFill="1" applyBorder="1"/>
    <xf numFmtId="0" fontId="12" fillId="21" borderId="9" xfId="24" applyFont="1" applyFill="1" applyBorder="1"/>
    <xf numFmtId="0" fontId="114" fillId="0" borderId="0" xfId="24" applyFont="1"/>
    <xf numFmtId="0" fontId="15" fillId="21" borderId="0" xfId="24" applyFont="1" applyFill="1"/>
    <xf numFmtId="0" fontId="115" fillId="21" borderId="0" xfId="24" applyFont="1" applyFill="1"/>
    <xf numFmtId="9" fontId="12" fillId="21" borderId="1" xfId="25" applyFont="1" applyFill="1" applyBorder="1"/>
    <xf numFmtId="177" fontId="12" fillId="21" borderId="1" xfId="26" applyNumberFormat="1" applyFont="1" applyFill="1" applyBorder="1"/>
    <xf numFmtId="0" fontId="12" fillId="21" borderId="1" xfId="24" applyFont="1" applyFill="1" applyBorder="1"/>
    <xf numFmtId="0" fontId="15" fillId="21" borderId="9" xfId="24" applyFont="1" applyFill="1" applyBorder="1"/>
    <xf numFmtId="10" fontId="112" fillId="0" borderId="0" xfId="24" applyNumberFormat="1" applyFont="1"/>
    <xf numFmtId="179" fontId="112" fillId="0" borderId="0" xfId="24" applyNumberFormat="1" applyFont="1"/>
    <xf numFmtId="0" fontId="116" fillId="0" borderId="0" xfId="24" applyFont="1"/>
    <xf numFmtId="0" fontId="116" fillId="0" borderId="0" xfId="24" quotePrefix="1" applyFont="1"/>
    <xf numFmtId="169" fontId="12" fillId="21" borderId="1" xfId="25" applyNumberFormat="1" applyFont="1" applyFill="1" applyBorder="1"/>
    <xf numFmtId="169" fontId="12" fillId="21" borderId="14" xfId="25" applyNumberFormat="1" applyFont="1" applyFill="1" applyBorder="1"/>
    <xf numFmtId="0" fontId="12" fillId="21" borderId="14" xfId="24" applyFont="1" applyFill="1" applyBorder="1" applyAlignment="1">
      <alignment horizontal="right"/>
    </xf>
    <xf numFmtId="0" fontId="12" fillId="21" borderId="13" xfId="24" applyFont="1" applyFill="1" applyBorder="1" applyAlignment="1">
      <alignment horizontal="right"/>
    </xf>
    <xf numFmtId="177" fontId="12" fillId="21" borderId="13" xfId="26" applyNumberFormat="1" applyFont="1" applyFill="1" applyBorder="1"/>
    <xf numFmtId="195" fontId="12" fillId="21" borderId="1" xfId="26" applyNumberFormat="1" applyFont="1" applyFill="1" applyBorder="1"/>
    <xf numFmtId="0" fontId="4" fillId="0" borderId="0" xfId="24" applyFont="1"/>
    <xf numFmtId="0" fontId="115" fillId="0" borderId="0" xfId="27"/>
    <xf numFmtId="0" fontId="115" fillId="5" borderId="0" xfId="27" applyFill="1"/>
    <xf numFmtId="0" fontId="12" fillId="21" borderId="0" xfId="27" applyFont="1" applyFill="1"/>
    <xf numFmtId="0" fontId="115" fillId="21" borderId="0" xfId="27" applyFill="1"/>
    <xf numFmtId="0" fontId="112" fillId="0" borderId="0" xfId="27" applyFont="1"/>
    <xf numFmtId="0" fontId="112" fillId="5" borderId="0" xfId="27" applyFont="1" applyFill="1"/>
    <xf numFmtId="0" fontId="112" fillId="0" borderId="0" xfId="27" quotePrefix="1" applyFont="1"/>
    <xf numFmtId="0" fontId="54" fillId="0" borderId="0" xfId="27" applyFont="1"/>
    <xf numFmtId="0" fontId="113" fillId="0" borderId="0" xfId="27" applyFont="1"/>
    <xf numFmtId="0" fontId="113" fillId="0" borderId="0" xfId="27" applyFont="1" applyAlignment="1">
      <alignment vertical="center"/>
    </xf>
    <xf numFmtId="0" fontId="30" fillId="0" borderId="0" xfId="27" applyFont="1"/>
    <xf numFmtId="0" fontId="30" fillId="0" borderId="0" xfId="27" quotePrefix="1" applyFont="1"/>
    <xf numFmtId="0" fontId="12" fillId="21" borderId="11" xfId="27" applyFont="1" applyFill="1" applyBorder="1"/>
    <xf numFmtId="0" fontId="12" fillId="21" borderId="10" xfId="27" applyFont="1" applyFill="1" applyBorder="1"/>
    <xf numFmtId="0" fontId="12" fillId="21" borderId="9" xfId="27" applyFont="1" applyFill="1" applyBorder="1"/>
    <xf numFmtId="0" fontId="117" fillId="0" borderId="0" xfId="27" applyFont="1"/>
    <xf numFmtId="0" fontId="118" fillId="0" borderId="0" xfId="27" applyFont="1"/>
    <xf numFmtId="0" fontId="15" fillId="21" borderId="0" xfId="27" applyFont="1" applyFill="1"/>
    <xf numFmtId="0" fontId="78" fillId="0" borderId="0" xfId="27" applyFont="1"/>
    <xf numFmtId="9" fontId="12" fillId="21" borderId="1" xfId="28" applyFont="1" applyFill="1" applyBorder="1"/>
    <xf numFmtId="0" fontId="78" fillId="0" borderId="0" xfId="27" quotePrefix="1" applyFont="1"/>
    <xf numFmtId="177" fontId="12" fillId="21" borderId="1" xfId="29" applyNumberFormat="1" applyFont="1" applyFill="1" applyBorder="1"/>
    <xf numFmtId="0" fontId="12" fillId="21" borderId="1" xfId="27" applyFont="1" applyFill="1" applyBorder="1"/>
    <xf numFmtId="0" fontId="15" fillId="21" borderId="9" xfId="27" applyFont="1" applyFill="1" applyBorder="1"/>
    <xf numFmtId="10" fontId="78" fillId="0" borderId="0" xfId="27" applyNumberFormat="1" applyFont="1"/>
    <xf numFmtId="0" fontId="119" fillId="0" borderId="0" xfId="27" applyFont="1"/>
    <xf numFmtId="179" fontId="78" fillId="0" borderId="0" xfId="27" applyNumberFormat="1" applyFont="1"/>
    <xf numFmtId="0" fontId="120" fillId="0" borderId="0" xfId="27" applyFont="1"/>
    <xf numFmtId="0" fontId="120" fillId="0" borderId="0" xfId="27" quotePrefix="1" applyFont="1"/>
    <xf numFmtId="169" fontId="12" fillId="21" borderId="1" xfId="28" applyNumberFormat="1" applyFont="1" applyFill="1" applyBorder="1"/>
    <xf numFmtId="0" fontId="121" fillId="0" borderId="0" xfId="27" applyFont="1"/>
    <xf numFmtId="169" fontId="12" fillId="21" borderId="14" xfId="28" applyNumberFormat="1" applyFont="1" applyFill="1" applyBorder="1"/>
    <xf numFmtId="0" fontId="12" fillId="21" borderId="14" xfId="27" applyFont="1" applyFill="1" applyBorder="1" applyAlignment="1">
      <alignment horizontal="right"/>
    </xf>
    <xf numFmtId="0" fontId="12" fillId="21" borderId="13" xfId="27" applyFont="1" applyFill="1" applyBorder="1" applyAlignment="1">
      <alignment horizontal="right"/>
    </xf>
    <xf numFmtId="177" fontId="12" fillId="21" borderId="13" xfId="29" applyNumberFormat="1" applyFont="1" applyFill="1" applyBorder="1"/>
    <xf numFmtId="195" fontId="12" fillId="21" borderId="1" xfId="29" applyNumberFormat="1" applyFont="1" applyFill="1" applyBorder="1"/>
    <xf numFmtId="0" fontId="7" fillId="0" borderId="0" xfId="27" applyFont="1"/>
    <xf numFmtId="0" fontId="1" fillId="0" borderId="0" xfId="27" applyFont="1"/>
    <xf numFmtId="0" fontId="35" fillId="5" borderId="0" xfId="0" applyFont="1" applyFill="1" applyAlignment="1">
      <alignment horizontal="left"/>
    </xf>
    <xf numFmtId="196" fontId="4" fillId="0" borderId="0" xfId="0" applyNumberFormat="1" applyFont="1"/>
    <xf numFmtId="168" fontId="32" fillId="5" borderId="0" xfId="0" applyNumberFormat="1" applyFont="1" applyFill="1"/>
    <xf numFmtId="168" fontId="32" fillId="5" borderId="0" xfId="0" applyNumberFormat="1" applyFont="1" applyFill="1" applyAlignment="1">
      <alignment horizontal="right"/>
    </xf>
    <xf numFmtId="177" fontId="32" fillId="5" borderId="1" xfId="30" applyNumberFormat="1" applyFont="1" applyFill="1" applyBorder="1"/>
    <xf numFmtId="9" fontId="32" fillId="5" borderId="1" xfId="3" applyFont="1" applyFill="1" applyBorder="1"/>
    <xf numFmtId="177" fontId="32" fillId="5" borderId="1" xfId="30" applyNumberFormat="1" applyFont="1" applyFill="1" applyBorder="1" applyAlignment="1">
      <alignment horizontal="center"/>
    </xf>
    <xf numFmtId="0" fontId="32" fillId="5" borderId="1" xfId="0" applyFont="1" applyFill="1" applyBorder="1" applyAlignment="1">
      <alignment horizontal="center"/>
    </xf>
    <xf numFmtId="0" fontId="32" fillId="5" borderId="1" xfId="0" applyFont="1" applyFill="1" applyBorder="1" applyAlignment="1">
      <alignment horizontal="center" wrapText="1"/>
    </xf>
    <xf numFmtId="0" fontId="4" fillId="0" borderId="0" xfId="12" applyFont="1"/>
    <xf numFmtId="0" fontId="4" fillId="7" borderId="0" xfId="12" applyFont="1" applyFill="1"/>
    <xf numFmtId="0" fontId="12" fillId="0" borderId="0" xfId="12" applyFont="1"/>
    <xf numFmtId="0" fontId="68" fillId="0" borderId="0" xfId="12" applyFont="1"/>
    <xf numFmtId="0" fontId="68" fillId="0" borderId="0" xfId="12" applyFont="1" applyAlignment="1">
      <alignment horizontal="center" wrapText="1"/>
    </xf>
    <xf numFmtId="0" fontId="12" fillId="5" borderId="0" xfId="12" applyFont="1" applyFill="1"/>
    <xf numFmtId="0" fontId="12" fillId="5" borderId="0" xfId="12" applyFont="1" applyFill="1" applyAlignment="1">
      <alignment horizontal="center" wrapText="1"/>
    </xf>
    <xf numFmtId="0" fontId="69" fillId="0" borderId="0" xfId="12" applyFont="1" applyAlignment="1">
      <alignment horizontal="left" vertical="center"/>
    </xf>
    <xf numFmtId="0" fontId="15" fillId="5" borderId="0" xfId="12" applyFont="1" applyFill="1"/>
    <xf numFmtId="0" fontId="12" fillId="5" borderId="4" xfId="12" applyFont="1" applyFill="1" applyBorder="1"/>
    <xf numFmtId="0" fontId="12" fillId="5" borderId="2" xfId="12" applyFont="1" applyFill="1" applyBorder="1"/>
    <xf numFmtId="0" fontId="15" fillId="5" borderId="8" xfId="12" applyFont="1" applyFill="1" applyBorder="1"/>
    <xf numFmtId="0" fontId="12" fillId="5" borderId="6" xfId="12" applyFont="1" applyFill="1" applyBorder="1"/>
    <xf numFmtId="0" fontId="12" fillId="5" borderId="7" xfId="12" applyFont="1" applyFill="1" applyBorder="1"/>
    <xf numFmtId="0" fontId="12" fillId="5" borderId="5" xfId="12" applyFont="1" applyFill="1" applyBorder="1"/>
    <xf numFmtId="0" fontId="12" fillId="5" borderId="0" xfId="12" applyFont="1" applyFill="1" applyAlignment="1">
      <alignment horizontal="left" vertical="center" indent="1"/>
    </xf>
    <xf numFmtId="0" fontId="15" fillId="5" borderId="0" xfId="12" applyFont="1" applyFill="1" applyAlignment="1">
      <alignment horizontal="right"/>
    </xf>
    <xf numFmtId="164" fontId="12" fillId="5" borderId="1" xfId="31" applyNumberFormat="1" applyFont="1" applyFill="1" applyBorder="1"/>
    <xf numFmtId="0" fontId="12" fillId="5" borderId="1" xfId="12" applyFont="1" applyFill="1" applyBorder="1" applyAlignment="1">
      <alignment horizontal="center"/>
    </xf>
    <xf numFmtId="10" fontId="12" fillId="5" borderId="1" xfId="11" applyNumberFormat="1" applyFont="1" applyFill="1" applyBorder="1"/>
    <xf numFmtId="0" fontId="4" fillId="0" borderId="0" xfId="12" applyFont="1" applyAlignment="1">
      <alignment wrapText="1"/>
    </xf>
    <xf numFmtId="0" fontId="12" fillId="0" borderId="0" xfId="12" applyFont="1" applyAlignment="1">
      <alignment wrapText="1"/>
    </xf>
    <xf numFmtId="0" fontId="12" fillId="5" borderId="0" xfId="12" applyFont="1" applyFill="1" applyAlignment="1">
      <alignment wrapText="1"/>
    </xf>
    <xf numFmtId="0" fontId="12" fillId="5" borderId="1" xfId="12" applyFont="1" applyFill="1" applyBorder="1" applyAlignment="1">
      <alignment horizontal="center" vertical="center" wrapText="1"/>
    </xf>
    <xf numFmtId="0" fontId="15" fillId="5" borderId="0" xfId="12" applyFont="1" applyFill="1" applyAlignment="1">
      <alignment wrapText="1"/>
    </xf>
    <xf numFmtId="197" fontId="0" fillId="0" borderId="0" xfId="1" applyNumberFormat="1" applyFont="1"/>
    <xf numFmtId="0" fontId="0" fillId="7" borderId="0" xfId="0" applyFill="1"/>
    <xf numFmtId="0" fontId="122" fillId="0" borderId="0" xfId="0" applyFont="1"/>
    <xf numFmtId="0" fontId="2" fillId="0" borderId="0" xfId="0" applyFont="1" applyAlignment="1">
      <alignment horizontal="center" wrapText="1"/>
    </xf>
    <xf numFmtId="0" fontId="122" fillId="5" borderId="0" xfId="0" applyFont="1" applyFill="1"/>
    <xf numFmtId="0" fontId="122" fillId="5" borderId="0" xfId="0" applyFont="1" applyFill="1" applyAlignment="1">
      <alignment horizontal="center" wrapText="1"/>
    </xf>
    <xf numFmtId="0" fontId="29" fillId="0" borderId="0" xfId="0" applyFont="1" applyAlignment="1">
      <alignment horizontal="left" vertical="center"/>
    </xf>
    <xf numFmtId="197" fontId="54" fillId="0" borderId="0" xfId="1" applyNumberFormat="1" applyFont="1"/>
    <xf numFmtId="197" fontId="54" fillId="0" borderId="16" xfId="1" applyNumberFormat="1" applyFont="1" applyBorder="1"/>
    <xf numFmtId="197" fontId="54" fillId="0" borderId="21" xfId="1" applyNumberFormat="1" applyFont="1" applyBorder="1"/>
    <xf numFmtId="169" fontId="10" fillId="0" borderId="21" xfId="0" applyNumberFormat="1" applyFont="1" applyBorder="1"/>
    <xf numFmtId="0" fontId="54" fillId="0" borderId="20" xfId="0" applyFont="1" applyBorder="1"/>
    <xf numFmtId="197" fontId="54" fillId="0" borderId="37" xfId="1" applyNumberFormat="1" applyFont="1" applyBorder="1"/>
    <xf numFmtId="197" fontId="54" fillId="0" borderId="0" xfId="1" applyNumberFormat="1" applyFont="1" applyBorder="1"/>
    <xf numFmtId="169" fontId="10" fillId="0" borderId="0" xfId="0" applyNumberFormat="1" applyFont="1"/>
    <xf numFmtId="0" fontId="54" fillId="0" borderId="34" xfId="0" applyFont="1" applyBorder="1"/>
    <xf numFmtId="3" fontId="54" fillId="22" borderId="1" xfId="0" applyNumberFormat="1" applyFont="1" applyFill="1" applyBorder="1"/>
    <xf numFmtId="44" fontId="54" fillId="0" borderId="0" xfId="2" applyFont="1"/>
    <xf numFmtId="0" fontId="123" fillId="0" borderId="0" xfId="0" applyFont="1"/>
    <xf numFmtId="3" fontId="54" fillId="0" borderId="0" xfId="0" applyNumberFormat="1" applyFont="1"/>
    <xf numFmtId="0" fontId="8" fillId="0" borderId="0" xfId="0" applyFont="1" applyAlignment="1">
      <alignment horizontal="center"/>
    </xf>
    <xf numFmtId="44" fontId="54" fillId="0" borderId="0" xfId="2" applyFont="1" applyFill="1" applyBorder="1"/>
    <xf numFmtId="0" fontId="54" fillId="5" borderId="0" xfId="0" applyFont="1" applyFill="1"/>
    <xf numFmtId="0" fontId="124" fillId="5" borderId="0" xfId="0" applyFont="1" applyFill="1"/>
    <xf numFmtId="0" fontId="54" fillId="0" borderId="16" xfId="0" applyFont="1" applyBorder="1"/>
    <xf numFmtId="0" fontId="54" fillId="0" borderId="21" xfId="0" applyFont="1" applyBorder="1"/>
    <xf numFmtId="0" fontId="123" fillId="0" borderId="37" xfId="0" applyFont="1" applyBorder="1"/>
    <xf numFmtId="0" fontId="54" fillId="22" borderId="1" xfId="0" applyFont="1" applyFill="1" applyBorder="1" applyAlignment="1">
      <alignment horizontal="center"/>
    </xf>
    <xf numFmtId="0" fontId="54" fillId="0" borderId="37" xfId="0" applyFont="1" applyBorder="1"/>
    <xf numFmtId="0" fontId="54" fillId="0" borderId="22" xfId="0" applyFont="1" applyBorder="1"/>
    <xf numFmtId="0" fontId="54" fillId="0" borderId="23" xfId="0" applyFont="1" applyBorder="1"/>
    <xf numFmtId="0" fontId="8" fillId="0" borderId="24" xfId="0" applyFont="1" applyBorder="1"/>
    <xf numFmtId="3" fontId="54" fillId="0" borderId="16" xfId="0" applyNumberFormat="1" applyFont="1" applyBorder="1"/>
    <xf numFmtId="3" fontId="54" fillId="0" borderId="21" xfId="0" applyNumberFormat="1" applyFont="1" applyBorder="1"/>
    <xf numFmtId="0" fontId="54" fillId="0" borderId="21" xfId="0" quotePrefix="1" applyFont="1" applyBorder="1" applyAlignment="1">
      <alignment horizontal="right"/>
    </xf>
    <xf numFmtId="3" fontId="54" fillId="0" borderId="37" xfId="0" applyNumberFormat="1" applyFont="1" applyBorder="1"/>
    <xf numFmtId="0" fontId="54" fillId="0" borderId="0" xfId="0" quotePrefix="1" applyFont="1" applyAlignment="1">
      <alignment horizontal="right"/>
    </xf>
    <xf numFmtId="0" fontId="125" fillId="0" borderId="37" xfId="0" applyFont="1" applyBorder="1" applyAlignment="1">
      <alignment horizontal="right" wrapText="1"/>
    </xf>
    <xf numFmtId="0" fontId="125" fillId="0" borderId="0" xfId="0" applyFont="1" applyAlignment="1">
      <alignment horizontal="right" wrapText="1"/>
    </xf>
    <xf numFmtId="0" fontId="0" fillId="0" borderId="34" xfId="0" applyBorder="1"/>
    <xf numFmtId="197" fontId="8" fillId="0" borderId="0" xfId="1" applyNumberFormat="1" applyFont="1"/>
    <xf numFmtId="197" fontId="54" fillId="0" borderId="22" xfId="1" applyNumberFormat="1" applyFont="1" applyBorder="1"/>
    <xf numFmtId="197" fontId="54" fillId="0" borderId="23" xfId="1" applyNumberFormat="1" applyFont="1" applyBorder="1"/>
    <xf numFmtId="197" fontId="54" fillId="5" borderId="0" xfId="1" applyNumberFormat="1" applyFont="1" applyFill="1"/>
    <xf numFmtId="197" fontId="126" fillId="0" borderId="0" xfId="1" quotePrefix="1" applyNumberFormat="1" applyFont="1"/>
    <xf numFmtId="0" fontId="0" fillId="0" borderId="20" xfId="0" applyBorder="1"/>
    <xf numFmtId="0" fontId="31" fillId="0" borderId="45" xfId="0" applyFont="1" applyBorder="1" applyAlignment="1">
      <alignment vertical="center"/>
    </xf>
    <xf numFmtId="0" fontId="67" fillId="0" borderId="0" xfId="0" applyFont="1"/>
    <xf numFmtId="0" fontId="31" fillId="0" borderId="24" xfId="0" applyFont="1" applyBorder="1" applyAlignment="1">
      <alignment vertical="center"/>
    </xf>
    <xf numFmtId="0" fontId="32" fillId="5" borderId="13" xfId="0" applyFont="1" applyFill="1" applyBorder="1" applyAlignment="1">
      <alignment horizontal="center" vertical="center"/>
    </xf>
    <xf numFmtId="0" fontId="32" fillId="5" borderId="14" xfId="0" applyFont="1" applyFill="1" applyBorder="1" applyAlignment="1">
      <alignment horizontal="center" vertical="center"/>
    </xf>
    <xf numFmtId="0" fontId="32" fillId="5" borderId="1" xfId="0" applyFont="1" applyFill="1" applyBorder="1" applyAlignment="1">
      <alignment horizontal="left" vertical="center" wrapText="1"/>
    </xf>
    <xf numFmtId="0" fontId="32" fillId="5" borderId="1" xfId="0" applyFont="1" applyFill="1" applyBorder="1" applyAlignment="1">
      <alignment horizontal="left"/>
    </xf>
    <xf numFmtId="0" fontId="35" fillId="5" borderId="1" xfId="0" applyFont="1" applyFill="1" applyBorder="1" applyAlignment="1">
      <alignment horizontal="left"/>
    </xf>
    <xf numFmtId="44" fontId="32" fillId="5" borderId="1" xfId="2" applyFont="1" applyFill="1" applyBorder="1" applyAlignment="1">
      <alignment horizontal="left"/>
    </xf>
    <xf numFmtId="0" fontId="32" fillId="5" borderId="1" xfId="0" applyFont="1" applyFill="1" applyBorder="1" applyAlignment="1">
      <alignment horizontal="left" wrapText="1"/>
    </xf>
    <xf numFmtId="0" fontId="32" fillId="5" borderId="1" xfId="0" applyFont="1" applyFill="1" applyBorder="1" applyAlignment="1">
      <alignment horizontal="left" vertical="center"/>
    </xf>
    <xf numFmtId="0" fontId="32" fillId="5" borderId="9" xfId="0" applyFont="1" applyFill="1" applyBorder="1" applyAlignment="1">
      <alignment horizontal="left" vertical="center"/>
    </xf>
    <xf numFmtId="0" fontId="32" fillId="5" borderId="10" xfId="0" applyFont="1" applyFill="1" applyBorder="1" applyAlignment="1">
      <alignment horizontal="left" vertical="center"/>
    </xf>
    <xf numFmtId="0" fontId="32" fillId="5" borderId="11" xfId="0" applyFont="1" applyFill="1" applyBorder="1" applyAlignment="1">
      <alignment horizontal="left" vertical="center"/>
    </xf>
    <xf numFmtId="0" fontId="32" fillId="5" borderId="5" xfId="0" applyFont="1" applyFill="1" applyBorder="1" applyAlignment="1">
      <alignment horizontal="left" vertical="center"/>
    </xf>
    <xf numFmtId="0" fontId="32" fillId="5" borderId="7" xfId="0" applyFont="1" applyFill="1" applyBorder="1" applyAlignment="1">
      <alignment horizontal="left" vertical="center"/>
    </xf>
    <xf numFmtId="0" fontId="32" fillId="5" borderId="6" xfId="0" applyFont="1" applyFill="1" applyBorder="1" applyAlignment="1">
      <alignment horizontal="left" vertical="center"/>
    </xf>
    <xf numFmtId="0" fontId="32" fillId="5" borderId="12" xfId="0" applyFont="1" applyFill="1" applyBorder="1" applyAlignment="1">
      <alignment horizontal="left" vertical="center"/>
    </xf>
    <xf numFmtId="0" fontId="32" fillId="5" borderId="0" xfId="0" applyFont="1" applyFill="1" applyAlignment="1">
      <alignment horizontal="left" vertical="center"/>
    </xf>
    <xf numFmtId="0" fontId="32" fillId="5" borderId="3" xfId="0" applyFont="1" applyFill="1" applyBorder="1" applyAlignment="1">
      <alignment horizontal="left" vertical="center"/>
    </xf>
    <xf numFmtId="0" fontId="32" fillId="5" borderId="8" xfId="0" applyFont="1" applyFill="1" applyBorder="1" applyAlignment="1">
      <alignment horizontal="left" vertical="center"/>
    </xf>
    <xf numFmtId="0" fontId="32" fillId="5" borderId="2" xfId="0" applyFont="1" applyFill="1" applyBorder="1" applyAlignment="1">
      <alignment horizontal="left" vertical="center"/>
    </xf>
    <xf numFmtId="0" fontId="32" fillId="5" borderId="4" xfId="0" applyFont="1" applyFill="1" applyBorder="1" applyAlignment="1">
      <alignment horizontal="left" vertical="center"/>
    </xf>
    <xf numFmtId="9" fontId="37" fillId="5" borderId="13" xfId="0" applyNumberFormat="1" applyFont="1" applyFill="1" applyBorder="1" applyAlignment="1">
      <alignment horizontal="right" wrapText="1"/>
    </xf>
    <xf numFmtId="9" fontId="37" fillId="5" borderId="15" xfId="0" applyNumberFormat="1" applyFont="1" applyFill="1" applyBorder="1" applyAlignment="1">
      <alignment horizontal="right"/>
    </xf>
    <xf numFmtId="9" fontId="37" fillId="5" borderId="14" xfId="0" applyNumberFormat="1" applyFont="1" applyFill="1" applyBorder="1" applyAlignment="1">
      <alignment horizontal="right"/>
    </xf>
    <xf numFmtId="0" fontId="32" fillId="5" borderId="9" xfId="0" applyFont="1" applyFill="1" applyBorder="1" applyAlignment="1">
      <alignment horizontal="left" vertical="center" wrapText="1"/>
    </xf>
    <xf numFmtId="0" fontId="32" fillId="5" borderId="10"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9" xfId="0" applyFont="1" applyFill="1" applyBorder="1" applyAlignment="1">
      <alignment horizontal="center" vertical="center" wrapText="1"/>
    </xf>
    <xf numFmtId="0" fontId="32" fillId="5" borderId="10" xfId="0" applyFont="1" applyFill="1" applyBorder="1" applyAlignment="1">
      <alignment horizontal="center" vertical="center" wrapText="1"/>
    </xf>
    <xf numFmtId="0" fontId="32" fillId="5" borderId="11" xfId="0" applyFont="1" applyFill="1" applyBorder="1" applyAlignment="1">
      <alignment horizontal="center" vertical="center" wrapText="1"/>
    </xf>
    <xf numFmtId="0" fontId="32" fillId="5" borderId="9" xfId="0" applyFont="1" applyFill="1" applyBorder="1" applyAlignment="1">
      <alignment horizontal="center" vertical="center"/>
    </xf>
    <xf numFmtId="0" fontId="32" fillId="5" borderId="11" xfId="0" applyFont="1" applyFill="1" applyBorder="1" applyAlignment="1">
      <alignment horizontal="center" vertical="center"/>
    </xf>
    <xf numFmtId="0" fontId="32" fillId="5" borderId="10" xfId="0" applyFont="1" applyFill="1" applyBorder="1" applyAlignment="1">
      <alignment horizontal="center" vertical="center"/>
    </xf>
    <xf numFmtId="44" fontId="32" fillId="5" borderId="9" xfId="2" applyFont="1" applyFill="1" applyBorder="1" applyAlignment="1">
      <alignment horizontal="left"/>
    </xf>
    <xf numFmtId="44" fontId="32" fillId="5" borderId="10" xfId="2" applyFont="1" applyFill="1" applyBorder="1" applyAlignment="1">
      <alignment horizontal="left"/>
    </xf>
    <xf numFmtId="44" fontId="32" fillId="5" borderId="11" xfId="2" applyFont="1" applyFill="1" applyBorder="1" applyAlignment="1">
      <alignment horizontal="left"/>
    </xf>
    <xf numFmtId="0" fontId="32" fillId="5" borderId="1" xfId="0" applyFont="1" applyFill="1" applyBorder="1" applyAlignment="1">
      <alignment horizontal="center" vertical="center"/>
    </xf>
    <xf numFmtId="0" fontId="32" fillId="5" borderId="5" xfId="0" applyFont="1" applyFill="1" applyBorder="1"/>
    <xf numFmtId="0" fontId="32" fillId="5" borderId="6" xfId="0" applyFont="1" applyFill="1" applyBorder="1"/>
    <xf numFmtId="0" fontId="32" fillId="5" borderId="8" xfId="0" applyFont="1" applyFill="1" applyBorder="1"/>
    <xf numFmtId="0" fontId="32" fillId="5" borderId="4" xfId="0" applyFont="1" applyFill="1" applyBorder="1"/>
    <xf numFmtId="0" fontId="32" fillId="5" borderId="5" xfId="0" applyFont="1" applyFill="1" applyBorder="1" applyAlignment="1">
      <alignment horizontal="left" wrapText="1"/>
    </xf>
    <xf numFmtId="0" fontId="32" fillId="5" borderId="7" xfId="0" applyFont="1" applyFill="1" applyBorder="1" applyAlignment="1">
      <alignment horizontal="left" wrapText="1"/>
    </xf>
    <xf numFmtId="0" fontId="32" fillId="5" borderId="6" xfId="0" applyFont="1" applyFill="1" applyBorder="1" applyAlignment="1">
      <alignment horizontal="left" wrapText="1"/>
    </xf>
    <xf numFmtId="0" fontId="32" fillId="5" borderId="8" xfId="0" applyFont="1" applyFill="1" applyBorder="1" applyAlignment="1">
      <alignment horizontal="left" wrapText="1"/>
    </xf>
    <xf numFmtId="0" fontId="32" fillId="5" borderId="2" xfId="0" applyFont="1" applyFill="1" applyBorder="1" applyAlignment="1">
      <alignment horizontal="left" wrapText="1"/>
    </xf>
    <xf numFmtId="0" fontId="32" fillId="5" borderId="4" xfId="0" applyFont="1" applyFill="1" applyBorder="1" applyAlignment="1">
      <alignment horizontal="left" wrapText="1"/>
    </xf>
    <xf numFmtId="0" fontId="32" fillId="5" borderId="1" xfId="0" applyFont="1" applyFill="1" applyBorder="1"/>
    <xf numFmtId="0" fontId="32" fillId="5" borderId="9" xfId="0" applyFont="1" applyFill="1" applyBorder="1"/>
    <xf numFmtId="0" fontId="32" fillId="5" borderId="11" xfId="0" applyFont="1" applyFill="1" applyBorder="1"/>
    <xf numFmtId="0" fontId="32" fillId="5" borderId="10" xfId="0" applyFont="1" applyFill="1" applyBorder="1"/>
    <xf numFmtId="0" fontId="41" fillId="5" borderId="0" xfId="0" applyFont="1" applyFill="1" applyAlignment="1">
      <alignment vertical="center" wrapText="1"/>
    </xf>
    <xf numFmtId="0" fontId="35" fillId="5" borderId="5" xfId="0" applyFont="1" applyFill="1" applyBorder="1" applyAlignment="1">
      <alignment horizontal="left" wrapText="1"/>
    </xf>
    <xf numFmtId="0" fontId="35" fillId="5" borderId="7" xfId="0" applyFont="1" applyFill="1" applyBorder="1" applyAlignment="1">
      <alignment horizontal="left" wrapText="1"/>
    </xf>
    <xf numFmtId="0" fontId="35" fillId="5" borderId="6" xfId="0" applyFont="1" applyFill="1" applyBorder="1" applyAlignment="1">
      <alignment horizontal="left" wrapText="1"/>
    </xf>
    <xf numFmtId="0" fontId="35" fillId="5" borderId="8" xfId="0" applyFont="1" applyFill="1" applyBorder="1" applyAlignment="1">
      <alignment horizontal="left" wrapText="1"/>
    </xf>
    <xf numFmtId="0" fontId="35" fillId="5" borderId="2" xfId="0" applyFont="1" applyFill="1" applyBorder="1" applyAlignment="1">
      <alignment horizontal="left" wrapText="1"/>
    </xf>
    <xf numFmtId="0" fontId="35" fillId="5" borderId="4" xfId="0" applyFont="1" applyFill="1" applyBorder="1" applyAlignment="1">
      <alignment horizontal="left" wrapText="1"/>
    </xf>
    <xf numFmtId="0" fontId="12" fillId="5" borderId="5" xfId="0" applyFont="1" applyFill="1" applyBorder="1"/>
    <xf numFmtId="0" fontId="12" fillId="5" borderId="6" xfId="0" applyFont="1" applyFill="1" applyBorder="1"/>
    <xf numFmtId="0" fontId="12" fillId="5" borderId="8" xfId="0" applyFont="1" applyFill="1" applyBorder="1"/>
    <xf numFmtId="0" fontId="12" fillId="5" borderId="4" xfId="0" applyFont="1" applyFill="1" applyBorder="1"/>
    <xf numFmtId="0" fontId="12" fillId="5" borderId="5" xfId="0" applyFont="1" applyFill="1" applyBorder="1" applyAlignment="1">
      <alignment horizontal="left" wrapText="1"/>
    </xf>
    <xf numFmtId="0" fontId="12" fillId="5" borderId="7" xfId="0" applyFont="1" applyFill="1" applyBorder="1" applyAlignment="1">
      <alignment horizontal="left" wrapText="1"/>
    </xf>
    <xf numFmtId="0" fontId="12" fillId="5" borderId="6" xfId="0" applyFont="1" applyFill="1" applyBorder="1" applyAlignment="1">
      <alignment horizontal="left" wrapText="1"/>
    </xf>
    <xf numFmtId="0" fontId="12" fillId="5" borderId="8" xfId="0" applyFont="1" applyFill="1" applyBorder="1" applyAlignment="1">
      <alignment horizontal="left" wrapText="1"/>
    </xf>
    <xf numFmtId="0" fontId="12" fillId="5" borderId="2" xfId="0" applyFont="1" applyFill="1" applyBorder="1" applyAlignment="1">
      <alignment horizontal="left" wrapText="1"/>
    </xf>
    <xf numFmtId="0" fontId="12" fillId="5" borderId="4" xfId="0" applyFont="1" applyFill="1" applyBorder="1" applyAlignment="1">
      <alignment horizontal="left" wrapText="1"/>
    </xf>
    <xf numFmtId="0" fontId="12" fillId="5" borderId="1" xfId="0" applyFont="1" applyFill="1" applyBorder="1" applyAlignment="1">
      <alignment horizontal="left"/>
    </xf>
    <xf numFmtId="0" fontId="12" fillId="5" borderId="1" xfId="0" applyFont="1" applyFill="1" applyBorder="1"/>
    <xf numFmtId="0" fontId="12" fillId="5" borderId="9" xfId="0" applyFont="1" applyFill="1" applyBorder="1"/>
    <xf numFmtId="0" fontId="12" fillId="5" borderId="11" xfId="0" applyFont="1" applyFill="1" applyBorder="1"/>
    <xf numFmtId="0" fontId="12" fillId="5" borderId="10" xfId="0" applyFont="1" applyFill="1" applyBorder="1"/>
    <xf numFmtId="0" fontId="12" fillId="5" borderId="1" xfId="0" applyFont="1" applyFill="1" applyBorder="1" applyAlignment="1">
      <alignment horizontal="left" vertical="top"/>
    </xf>
    <xf numFmtId="0" fontId="12" fillId="5" borderId="1" xfId="0" applyFont="1" applyFill="1" applyBorder="1" applyAlignment="1">
      <alignment wrapText="1"/>
    </xf>
    <xf numFmtId="0" fontId="12" fillId="5" borderId="5" xfId="0" applyFont="1" applyFill="1" applyBorder="1" applyAlignment="1">
      <alignment vertical="top"/>
    </xf>
    <xf numFmtId="0" fontId="12" fillId="5" borderId="6" xfId="0" applyFont="1" applyFill="1" applyBorder="1" applyAlignment="1">
      <alignment vertical="top"/>
    </xf>
    <xf numFmtId="0" fontId="12" fillId="5" borderId="12" xfId="0" applyFont="1" applyFill="1" applyBorder="1" applyAlignment="1">
      <alignment vertical="top"/>
    </xf>
    <xf numFmtId="0" fontId="12" fillId="5" borderId="3" xfId="0" applyFont="1" applyFill="1" applyBorder="1" applyAlignment="1">
      <alignment vertical="top"/>
    </xf>
    <xf numFmtId="0" fontId="12" fillId="5" borderId="8" xfId="0" applyFont="1" applyFill="1" applyBorder="1" applyAlignment="1">
      <alignment vertical="top"/>
    </xf>
    <xf numFmtId="0" fontId="12" fillId="5" borderId="4" xfId="0" applyFont="1" applyFill="1" applyBorder="1" applyAlignment="1">
      <alignment vertical="top"/>
    </xf>
    <xf numFmtId="0" fontId="12" fillId="5" borderId="1" xfId="0" applyFont="1" applyFill="1" applyBorder="1" applyAlignment="1">
      <alignment horizontal="center" vertical="top"/>
    </xf>
    <xf numFmtId="9" fontId="12" fillId="5" borderId="1" xfId="0" applyNumberFormat="1" applyFont="1" applyFill="1" applyBorder="1" applyAlignment="1">
      <alignment horizontal="center" vertical="top"/>
    </xf>
    <xf numFmtId="10" fontId="12" fillId="5" borderId="1" xfId="0" applyNumberFormat="1" applyFont="1" applyFill="1" applyBorder="1" applyAlignment="1">
      <alignment horizontal="center" vertical="top"/>
    </xf>
    <xf numFmtId="0" fontId="12" fillId="5" borderId="0" xfId="0" applyFont="1" applyFill="1" applyAlignment="1">
      <alignment vertical="center" wrapText="1"/>
    </xf>
    <xf numFmtId="0" fontId="15" fillId="5" borderId="5" xfId="0" applyFont="1" applyFill="1" applyBorder="1" applyAlignment="1">
      <alignment horizontal="left" wrapText="1"/>
    </xf>
    <xf numFmtId="0" fontId="15" fillId="5" borderId="7" xfId="0" applyFont="1" applyFill="1" applyBorder="1" applyAlignment="1">
      <alignment horizontal="left" wrapText="1"/>
    </xf>
    <xf numFmtId="0" fontId="15" fillId="5" borderId="6" xfId="0" applyFont="1" applyFill="1" applyBorder="1" applyAlignment="1">
      <alignment horizontal="left" wrapText="1"/>
    </xf>
    <xf numFmtId="0" fontId="15" fillId="5" borderId="8" xfId="0" applyFont="1" applyFill="1" applyBorder="1" applyAlignment="1">
      <alignment horizontal="left" wrapText="1"/>
    </xf>
    <xf numFmtId="0" fontId="15" fillId="5" borderId="2" xfId="0" applyFont="1" applyFill="1" applyBorder="1" applyAlignment="1">
      <alignment horizontal="left" wrapText="1"/>
    </xf>
    <xf numFmtId="0" fontId="15" fillId="5" borderId="4" xfId="0" applyFont="1" applyFill="1" applyBorder="1" applyAlignment="1">
      <alignment horizontal="left" wrapText="1"/>
    </xf>
    <xf numFmtId="0" fontId="7" fillId="2" borderId="0" xfId="0" applyFont="1" applyFill="1" applyAlignment="1">
      <alignment horizontal="left" vertical="top" wrapText="1"/>
    </xf>
    <xf numFmtId="0" fontId="4" fillId="2" borderId="0" xfId="0" applyFont="1" applyFill="1" applyAlignment="1">
      <alignment horizontal="left" vertical="top" wrapText="1"/>
    </xf>
    <xf numFmtId="0" fontId="12" fillId="5" borderId="9" xfId="0" applyFont="1" applyFill="1" applyBorder="1" applyAlignment="1">
      <alignment horizontal="left" vertical="top"/>
    </xf>
    <xf numFmtId="0" fontId="12" fillId="5" borderId="11" xfId="0" applyFont="1" applyFill="1" applyBorder="1" applyAlignment="1">
      <alignment horizontal="left" vertical="top"/>
    </xf>
    <xf numFmtId="0" fontId="12" fillId="5" borderId="9" xfId="0" applyFont="1" applyFill="1" applyBorder="1" applyAlignment="1">
      <alignment horizontal="left" vertical="top" wrapText="1"/>
    </xf>
    <xf numFmtId="0" fontId="12" fillId="5" borderId="10" xfId="0" applyFont="1" applyFill="1" applyBorder="1" applyAlignment="1">
      <alignment horizontal="left" vertical="top" wrapText="1"/>
    </xf>
    <xf numFmtId="0" fontId="12" fillId="5" borderId="11" xfId="0" applyFont="1" applyFill="1" applyBorder="1" applyAlignment="1">
      <alignment horizontal="left" vertical="top" wrapText="1"/>
    </xf>
    <xf numFmtId="0" fontId="12" fillId="5" borderId="10" xfId="0" applyFont="1" applyFill="1" applyBorder="1" applyAlignment="1">
      <alignment horizontal="left" vertical="top"/>
    </xf>
    <xf numFmtId="0" fontId="12" fillId="5" borderId="7" xfId="0" applyFont="1" applyFill="1" applyBorder="1" applyAlignment="1">
      <alignment vertical="center" wrapText="1"/>
    </xf>
    <xf numFmtId="0" fontId="12" fillId="5" borderId="5" xfId="8" applyFont="1" applyFill="1" applyBorder="1" applyAlignment="1">
      <alignment vertical="top"/>
    </xf>
    <xf numFmtId="0" fontId="12" fillId="5" borderId="6" xfId="8" applyFont="1" applyFill="1" applyBorder="1" applyAlignment="1">
      <alignment vertical="top"/>
    </xf>
    <xf numFmtId="0" fontId="12" fillId="5" borderId="12" xfId="8" applyFont="1" applyFill="1" applyBorder="1" applyAlignment="1">
      <alignment vertical="top"/>
    </xf>
    <xf numFmtId="0" fontId="12" fillId="5" borderId="3" xfId="8" applyFont="1" applyFill="1" applyBorder="1" applyAlignment="1">
      <alignment vertical="top"/>
    </xf>
    <xf numFmtId="0" fontId="12" fillId="5" borderId="8" xfId="8" applyFont="1" applyFill="1" applyBorder="1" applyAlignment="1">
      <alignment vertical="top"/>
    </xf>
    <xf numFmtId="0" fontId="12" fillId="5" borderId="4" xfId="8" applyFont="1" applyFill="1" applyBorder="1" applyAlignment="1">
      <alignment vertical="top"/>
    </xf>
    <xf numFmtId="0" fontId="12" fillId="5" borderId="8" xfId="8" applyFont="1" applyFill="1" applyBorder="1" applyAlignment="1">
      <alignment horizontal="left"/>
    </xf>
    <xf numFmtId="0" fontId="12" fillId="5" borderId="2" xfId="8" applyFont="1" applyFill="1" applyBorder="1" applyAlignment="1">
      <alignment horizontal="left"/>
    </xf>
    <xf numFmtId="0" fontId="12" fillId="5" borderId="14" xfId="8" applyFont="1" applyFill="1" applyBorder="1" applyAlignment="1">
      <alignment horizontal="left" vertical="top"/>
    </xf>
    <xf numFmtId="0" fontId="12" fillId="5" borderId="8" xfId="8" applyFont="1" applyFill="1" applyBorder="1" applyAlignment="1">
      <alignment horizontal="left" vertical="top"/>
    </xf>
    <xf numFmtId="0" fontId="12" fillId="5" borderId="1" xfId="8" applyFont="1" applyFill="1" applyBorder="1" applyAlignment="1">
      <alignment horizontal="left" vertical="top"/>
    </xf>
    <xf numFmtId="0" fontId="12" fillId="5" borderId="9" xfId="8" applyFont="1" applyFill="1" applyBorder="1" applyAlignment="1">
      <alignment horizontal="left" vertical="top"/>
    </xf>
    <xf numFmtId="0" fontId="12" fillId="5" borderId="9" xfId="8" applyFont="1" applyFill="1" applyBorder="1"/>
    <xf numFmtId="0" fontId="12" fillId="5" borderId="11" xfId="8" applyFont="1" applyFill="1" applyBorder="1"/>
    <xf numFmtId="0" fontId="12" fillId="5" borderId="9" xfId="8" applyFont="1" applyFill="1" applyBorder="1" applyAlignment="1">
      <alignment horizontal="center" vertical="top"/>
    </xf>
    <xf numFmtId="0" fontId="12" fillId="5" borderId="11" xfId="8" applyFont="1" applyFill="1" applyBorder="1" applyAlignment="1">
      <alignment horizontal="center" vertical="top"/>
    </xf>
    <xf numFmtId="9" fontId="12" fillId="5" borderId="9" xfId="8" applyNumberFormat="1" applyFont="1" applyFill="1" applyBorder="1" applyAlignment="1">
      <alignment horizontal="center" vertical="top"/>
    </xf>
    <xf numFmtId="9" fontId="12" fillId="5" borderId="11" xfId="8" applyNumberFormat="1" applyFont="1" applyFill="1" applyBorder="1" applyAlignment="1">
      <alignment horizontal="center" vertical="top"/>
    </xf>
    <xf numFmtId="0" fontId="15" fillId="6" borderId="5" xfId="8" applyFont="1" applyFill="1" applyBorder="1" applyAlignment="1">
      <alignment horizontal="left" wrapText="1"/>
    </xf>
    <xf numFmtId="0" fontId="15" fillId="6" borderId="7" xfId="8" applyFont="1" applyFill="1" applyBorder="1" applyAlignment="1">
      <alignment horizontal="left" wrapText="1"/>
    </xf>
    <xf numFmtId="0" fontId="15" fillId="6" borderId="6" xfId="8" applyFont="1" applyFill="1" applyBorder="1" applyAlignment="1">
      <alignment horizontal="left" wrapText="1"/>
    </xf>
    <xf numFmtId="0" fontId="15" fillId="6" borderId="8" xfId="8" applyFont="1" applyFill="1" applyBorder="1" applyAlignment="1">
      <alignment horizontal="left" wrapText="1"/>
    </xf>
    <xf numFmtId="0" fontId="15" fillId="6" borderId="2" xfId="8" applyFont="1" applyFill="1" applyBorder="1" applyAlignment="1">
      <alignment horizontal="left" wrapText="1"/>
    </xf>
    <xf numFmtId="0" fontId="15" fillId="6" borderId="4" xfId="8" applyFont="1" applyFill="1" applyBorder="1" applyAlignment="1">
      <alignment horizontal="left" wrapText="1"/>
    </xf>
    <xf numFmtId="0" fontId="12" fillId="5" borderId="0" xfId="8" applyFont="1" applyFill="1" applyAlignment="1">
      <alignment vertical="center" wrapText="1"/>
    </xf>
    <xf numFmtId="0" fontId="32" fillId="5" borderId="5" xfId="4" applyFont="1" applyFill="1" applyBorder="1"/>
    <xf numFmtId="0" fontId="32" fillId="5" borderId="6" xfId="4" applyFont="1" applyFill="1" applyBorder="1"/>
    <xf numFmtId="0" fontId="32" fillId="5" borderId="8" xfId="4" applyFont="1" applyFill="1" applyBorder="1"/>
    <xf numFmtId="0" fontId="32" fillId="5" borderId="4" xfId="4" applyFont="1" applyFill="1" applyBorder="1"/>
    <xf numFmtId="0" fontId="32" fillId="5" borderId="5" xfId="4" applyFont="1" applyFill="1" applyBorder="1" applyAlignment="1">
      <alignment horizontal="left" wrapText="1"/>
    </xf>
    <xf numFmtId="0" fontId="32" fillId="5" borderId="7" xfId="4" applyFont="1" applyFill="1" applyBorder="1" applyAlignment="1">
      <alignment horizontal="left" wrapText="1"/>
    </xf>
    <xf numFmtId="0" fontId="32" fillId="5" borderId="6" xfId="4" applyFont="1" applyFill="1" applyBorder="1" applyAlignment="1">
      <alignment horizontal="left" wrapText="1"/>
    </xf>
    <xf numFmtId="0" fontId="32" fillId="5" borderId="8" xfId="4" applyFont="1" applyFill="1" applyBorder="1" applyAlignment="1">
      <alignment horizontal="left" wrapText="1"/>
    </xf>
    <xf numFmtId="0" fontId="32" fillId="5" borderId="2" xfId="4" applyFont="1" applyFill="1" applyBorder="1" applyAlignment="1">
      <alignment horizontal="left" wrapText="1"/>
    </xf>
    <xf numFmtId="0" fontId="32" fillId="5" borderId="4" xfId="4" applyFont="1" applyFill="1" applyBorder="1" applyAlignment="1">
      <alignment horizontal="left" wrapText="1"/>
    </xf>
    <xf numFmtId="0" fontId="32" fillId="5" borderId="1" xfId="4" applyFont="1" applyFill="1" applyBorder="1" applyAlignment="1">
      <alignment horizontal="left"/>
    </xf>
    <xf numFmtId="0" fontId="32" fillId="5" borderId="1" xfId="4" applyFont="1" applyFill="1" applyBorder="1"/>
    <xf numFmtId="0" fontId="32" fillId="5" borderId="9" xfId="4" applyFont="1" applyFill="1" applyBorder="1" applyAlignment="1">
      <alignment horizontal="left"/>
    </xf>
    <xf numFmtId="0" fontId="32" fillId="5" borderId="11" xfId="4" applyFont="1" applyFill="1" applyBorder="1" applyAlignment="1">
      <alignment horizontal="left"/>
    </xf>
    <xf numFmtId="0" fontId="32" fillId="5" borderId="10" xfId="4" applyFont="1" applyFill="1" applyBorder="1" applyAlignment="1">
      <alignment horizontal="left"/>
    </xf>
    <xf numFmtId="0" fontId="32" fillId="5" borderId="9" xfId="4" applyFont="1" applyFill="1" applyBorder="1" applyAlignment="1">
      <alignment wrapText="1"/>
    </xf>
    <xf numFmtId="0" fontId="32" fillId="5" borderId="10" xfId="4" applyFont="1" applyFill="1" applyBorder="1"/>
    <xf numFmtId="0" fontId="32" fillId="5" borderId="11" xfId="4" applyFont="1" applyFill="1" applyBorder="1"/>
    <xf numFmtId="0" fontId="32" fillId="5" borderId="1" xfId="4" applyFont="1" applyFill="1" applyBorder="1" applyAlignment="1">
      <alignment horizontal="left" vertical="top"/>
    </xf>
    <xf numFmtId="0" fontId="32" fillId="5" borderId="1" xfId="4" applyFont="1" applyFill="1" applyBorder="1" applyAlignment="1">
      <alignment wrapText="1"/>
    </xf>
    <xf numFmtId="0" fontId="32" fillId="5" borderId="9" xfId="4" applyFont="1" applyFill="1" applyBorder="1"/>
    <xf numFmtId="0" fontId="32" fillId="5" borderId="5" xfId="4" applyFont="1" applyFill="1" applyBorder="1" applyAlignment="1">
      <alignment horizontal="left" vertical="top"/>
    </xf>
    <xf numFmtId="0" fontId="32" fillId="5" borderId="6" xfId="4" applyFont="1" applyFill="1" applyBorder="1" applyAlignment="1">
      <alignment horizontal="left" vertical="top"/>
    </xf>
    <xf numFmtId="0" fontId="32" fillId="5" borderId="12" xfId="4" applyFont="1" applyFill="1" applyBorder="1" applyAlignment="1">
      <alignment horizontal="left" vertical="top"/>
    </xf>
    <xf numFmtId="0" fontId="32" fillId="5" borderId="3" xfId="4" applyFont="1" applyFill="1" applyBorder="1" applyAlignment="1">
      <alignment horizontal="left" vertical="top"/>
    </xf>
    <xf numFmtId="0" fontId="32" fillId="5" borderId="8" xfId="4" applyFont="1" applyFill="1" applyBorder="1" applyAlignment="1">
      <alignment horizontal="left" vertical="top"/>
    </xf>
    <xf numFmtId="0" fontId="32" fillId="5" borderId="4" xfId="4" applyFont="1" applyFill="1" applyBorder="1" applyAlignment="1">
      <alignment horizontal="left" vertical="top"/>
    </xf>
    <xf numFmtId="0" fontId="32" fillId="5" borderId="1" xfId="4" applyFont="1" applyFill="1" applyBorder="1" applyAlignment="1">
      <alignment horizontal="center" vertical="top"/>
    </xf>
    <xf numFmtId="9" fontId="32" fillId="5" borderId="1" xfId="4" applyNumberFormat="1" applyFont="1" applyFill="1" applyBorder="1" applyAlignment="1">
      <alignment horizontal="center" vertical="top"/>
    </xf>
    <xf numFmtId="0" fontId="32" fillId="5" borderId="9" xfId="4" applyFont="1" applyFill="1" applyBorder="1" applyAlignment="1">
      <alignment horizontal="center" vertical="top"/>
    </xf>
    <xf numFmtId="0" fontId="32" fillId="5" borderId="11" xfId="4" applyFont="1" applyFill="1" applyBorder="1" applyAlignment="1">
      <alignment horizontal="center" vertical="top"/>
    </xf>
    <xf numFmtId="9" fontId="32" fillId="5" borderId="10" xfId="4" applyNumberFormat="1" applyFont="1" applyFill="1" applyBorder="1" applyAlignment="1">
      <alignment horizontal="center" vertical="top"/>
    </xf>
    <xf numFmtId="9" fontId="32" fillId="5" borderId="11" xfId="4" applyNumberFormat="1" applyFont="1" applyFill="1" applyBorder="1" applyAlignment="1">
      <alignment horizontal="center" vertical="top"/>
    </xf>
    <xf numFmtId="16" fontId="32" fillId="5" borderId="9" xfId="4" quotePrefix="1" applyNumberFormat="1" applyFont="1" applyFill="1" applyBorder="1" applyAlignment="1">
      <alignment horizontal="center" vertical="top"/>
    </xf>
    <xf numFmtId="0" fontId="32" fillId="5" borderId="9" xfId="4" quotePrefix="1" applyFont="1" applyFill="1" applyBorder="1" applyAlignment="1">
      <alignment horizontal="center" vertical="top"/>
    </xf>
    <xf numFmtId="0" fontId="35" fillId="5" borderId="5" xfId="4" applyFont="1" applyFill="1" applyBorder="1" applyAlignment="1">
      <alignment horizontal="left" wrapText="1"/>
    </xf>
    <xf numFmtId="0" fontId="35" fillId="5" borderId="7" xfId="4" applyFont="1" applyFill="1" applyBorder="1" applyAlignment="1">
      <alignment horizontal="left" wrapText="1"/>
    </xf>
    <xf numFmtId="0" fontId="35" fillId="5" borderId="6" xfId="4" applyFont="1" applyFill="1" applyBorder="1" applyAlignment="1">
      <alignment horizontal="left" wrapText="1"/>
    </xf>
    <xf numFmtId="0" fontId="35" fillId="5" borderId="8" xfId="4" applyFont="1" applyFill="1" applyBorder="1" applyAlignment="1">
      <alignment horizontal="left" wrapText="1"/>
    </xf>
    <xf numFmtId="0" fontId="35" fillId="5" borderId="2" xfId="4" applyFont="1" applyFill="1" applyBorder="1" applyAlignment="1">
      <alignment horizontal="left" wrapText="1"/>
    </xf>
    <xf numFmtId="0" fontId="35" fillId="5" borderId="4" xfId="4" applyFont="1" applyFill="1" applyBorder="1" applyAlignment="1">
      <alignment horizontal="left" wrapText="1"/>
    </xf>
    <xf numFmtId="0" fontId="32" fillId="5" borderId="7" xfId="4" applyFont="1" applyFill="1" applyBorder="1" applyAlignment="1">
      <alignment vertical="center" wrapText="1"/>
    </xf>
    <xf numFmtId="0" fontId="32" fillId="5" borderId="0" xfId="4" applyFont="1" applyFill="1" applyAlignment="1">
      <alignment vertical="center" wrapText="1"/>
    </xf>
    <xf numFmtId="0" fontId="58" fillId="5" borderId="5" xfId="0" applyFont="1" applyFill="1" applyBorder="1" applyAlignment="1">
      <alignment horizontal="left" wrapText="1"/>
    </xf>
    <xf numFmtId="0" fontId="58" fillId="5" borderId="7" xfId="0" applyFont="1" applyFill="1" applyBorder="1" applyAlignment="1">
      <alignment horizontal="left" wrapText="1"/>
    </xf>
    <xf numFmtId="0" fontId="58" fillId="5" borderId="6" xfId="0" applyFont="1" applyFill="1" applyBorder="1" applyAlignment="1">
      <alignment horizontal="left" wrapText="1"/>
    </xf>
    <xf numFmtId="0" fontId="58" fillId="5" borderId="8" xfId="0" applyFont="1" applyFill="1" applyBorder="1" applyAlignment="1">
      <alignment horizontal="left" wrapText="1"/>
    </xf>
    <xf numFmtId="0" fontId="58" fillId="5" borderId="2" xfId="0" applyFont="1" applyFill="1" applyBorder="1" applyAlignment="1">
      <alignment horizontal="left" wrapText="1"/>
    </xf>
    <xf numFmtId="0" fontId="58" fillId="5" borderId="4" xfId="0" applyFont="1" applyFill="1" applyBorder="1" applyAlignment="1">
      <alignment horizontal="left" wrapText="1"/>
    </xf>
    <xf numFmtId="0" fontId="12" fillId="5" borderId="5" xfId="0" applyFont="1" applyFill="1" applyBorder="1" applyAlignment="1">
      <alignment horizontal="left" vertical="top" wrapText="1"/>
    </xf>
    <xf numFmtId="0" fontId="12" fillId="5" borderId="7" xfId="0" applyFont="1" applyFill="1" applyBorder="1" applyAlignment="1">
      <alignment horizontal="left" vertical="top" wrapText="1"/>
    </xf>
    <xf numFmtId="0" fontId="0" fillId="0" borderId="6" xfId="0" applyBorder="1" applyAlignment="1">
      <alignment horizontal="left" vertical="top" wrapText="1"/>
    </xf>
    <xf numFmtId="0" fontId="12" fillId="5" borderId="2" xfId="0" applyFont="1" applyFill="1" applyBorder="1"/>
    <xf numFmtId="0" fontId="0" fillId="0" borderId="11" xfId="0" applyBorder="1" applyAlignment="1">
      <alignment horizontal="left" vertical="top" wrapText="1"/>
    </xf>
    <xf numFmtId="0" fontId="12" fillId="5" borderId="7" xfId="0" applyFont="1" applyFill="1" applyBorder="1" applyAlignment="1">
      <alignment horizontal="left" vertical="top"/>
    </xf>
    <xf numFmtId="0" fontId="12" fillId="5" borderId="6" xfId="0" applyFont="1" applyFill="1" applyBorder="1" applyAlignment="1">
      <alignment horizontal="left" vertical="top"/>
    </xf>
    <xf numFmtId="0" fontId="0" fillId="0" borderId="11" xfId="0" applyBorder="1" applyAlignment="1">
      <alignment horizontal="left" vertical="top"/>
    </xf>
    <xf numFmtId="0" fontId="12" fillId="5" borderId="9" xfId="0" applyFont="1" applyFill="1" applyBorder="1" applyAlignment="1">
      <alignment vertical="center" wrapText="1"/>
    </xf>
    <xf numFmtId="0" fontId="0" fillId="0" borderId="11" xfId="0" applyBorder="1" applyAlignment="1">
      <alignment vertical="center" wrapText="1"/>
    </xf>
    <xf numFmtId="0" fontId="0" fillId="0" borderId="6" xfId="0" applyBorder="1" applyAlignment="1">
      <alignment horizontal="left" vertical="top"/>
    </xf>
    <xf numFmtId="0" fontId="12" fillId="5" borderId="12" xfId="0" applyFont="1" applyFill="1" applyBorder="1" applyAlignment="1">
      <alignment horizontal="left" vertical="top" wrapText="1"/>
    </xf>
    <xf numFmtId="0" fontId="0" fillId="0" borderId="3" xfId="0" applyBorder="1" applyAlignment="1">
      <alignment horizontal="left" vertical="top"/>
    </xf>
    <xf numFmtId="0" fontId="12" fillId="5" borderId="8" xfId="0" applyFont="1" applyFill="1" applyBorder="1" applyAlignment="1">
      <alignment horizontal="left" vertical="top" wrapText="1"/>
    </xf>
    <xf numFmtId="0" fontId="0" fillId="0" borderId="4" xfId="0" applyBorder="1" applyAlignment="1">
      <alignment horizontal="left" vertical="top"/>
    </xf>
    <xf numFmtId="0" fontId="12" fillId="5" borderId="1" xfId="0" applyFont="1" applyFill="1" applyBorder="1" applyAlignment="1">
      <alignment horizontal="left" vertical="center" wrapText="1"/>
    </xf>
    <xf numFmtId="0" fontId="19" fillId="0" borderId="0" xfId="0" applyFont="1" applyAlignment="1">
      <alignment horizontal="left"/>
    </xf>
    <xf numFmtId="0" fontId="24" fillId="0" borderId="7" xfId="0" applyFont="1" applyBorder="1" applyAlignment="1">
      <alignment horizontal="center"/>
    </xf>
    <xf numFmtId="0" fontId="24" fillId="0" borderId="6" xfId="0" applyFont="1" applyBorder="1" applyAlignment="1">
      <alignment horizontal="center"/>
    </xf>
    <xf numFmtId="0" fontId="24" fillId="0" borderId="7"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right" vertical="center"/>
    </xf>
    <xf numFmtId="0" fontId="12" fillId="5" borderId="0" xfId="0" applyFont="1" applyFill="1" applyAlignment="1">
      <alignment horizontal="left" wrapText="1"/>
    </xf>
    <xf numFmtId="0" fontId="12" fillId="5" borderId="6" xfId="0" applyFont="1" applyFill="1" applyBorder="1" applyAlignment="1">
      <alignment horizontal="left" vertical="top" wrapText="1"/>
    </xf>
    <xf numFmtId="0" fontId="12" fillId="5" borderId="2"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10" xfId="0" applyFont="1" applyFill="1" applyBorder="1" applyAlignment="1">
      <alignment horizontal="left"/>
    </xf>
    <xf numFmtId="0" fontId="12" fillId="5" borderId="11" xfId="0" applyFont="1" applyFill="1" applyBorder="1" applyAlignment="1">
      <alignment horizontal="left"/>
    </xf>
    <xf numFmtId="0" fontId="11" fillId="5" borderId="1" xfId="0" applyFont="1" applyFill="1" applyBorder="1" applyAlignment="1">
      <alignment horizontal="left" vertical="top"/>
    </xf>
    <xf numFmtId="9" fontId="12" fillId="5" borderId="9" xfId="0" applyNumberFormat="1" applyFont="1" applyFill="1" applyBorder="1" applyAlignment="1">
      <alignment horizontal="left" vertical="top"/>
    </xf>
    <xf numFmtId="9" fontId="12" fillId="5" borderId="1" xfId="0" applyNumberFormat="1" applyFont="1" applyFill="1" applyBorder="1" applyAlignment="1">
      <alignment horizontal="left" vertical="top"/>
    </xf>
    <xf numFmtId="0" fontId="16" fillId="5" borderId="0" xfId="0" applyFont="1" applyFill="1" applyAlignment="1">
      <alignment horizontal="left" wrapText="1"/>
    </xf>
    <xf numFmtId="0" fontId="12" fillId="5" borderId="5" xfId="0" applyFont="1" applyFill="1" applyBorder="1" applyAlignment="1">
      <alignment horizontal="left" vertical="top"/>
    </xf>
    <xf numFmtId="0" fontId="12" fillId="5" borderId="12" xfId="0" applyFont="1" applyFill="1" applyBorder="1" applyAlignment="1">
      <alignment horizontal="left" vertical="top"/>
    </xf>
    <xf numFmtId="0" fontId="12" fillId="5" borderId="3" xfId="0" applyFont="1" applyFill="1" applyBorder="1" applyAlignment="1">
      <alignment horizontal="left" vertical="top"/>
    </xf>
    <xf numFmtId="9" fontId="11" fillId="5" borderId="10" xfId="0" applyNumberFormat="1" applyFont="1" applyFill="1" applyBorder="1" applyAlignment="1">
      <alignment horizontal="left" vertical="top"/>
    </xf>
    <xf numFmtId="9" fontId="11" fillId="5" borderId="11" xfId="0" applyNumberFormat="1" applyFont="1" applyFill="1" applyBorder="1" applyAlignment="1">
      <alignment horizontal="left" vertical="top"/>
    </xf>
    <xf numFmtId="10" fontId="12" fillId="5" borderId="10" xfId="0" applyNumberFormat="1" applyFont="1" applyFill="1" applyBorder="1" applyAlignment="1">
      <alignment horizontal="left" vertical="top"/>
    </xf>
    <xf numFmtId="10" fontId="12" fillId="5" borderId="11" xfId="0" applyNumberFormat="1" applyFont="1" applyFill="1" applyBorder="1" applyAlignment="1">
      <alignment horizontal="left" vertical="top"/>
    </xf>
    <xf numFmtId="10" fontId="12" fillId="5" borderId="9" xfId="0" applyNumberFormat="1" applyFont="1" applyFill="1" applyBorder="1" applyAlignment="1">
      <alignment horizontal="left" vertical="top"/>
    </xf>
    <xf numFmtId="0" fontId="62" fillId="5" borderId="20" xfId="0" applyFont="1" applyFill="1" applyBorder="1" applyAlignment="1">
      <alignment vertical="center"/>
    </xf>
    <xf numFmtId="0" fontId="62" fillId="5" borderId="21" xfId="0" applyFont="1" applyFill="1" applyBorder="1" applyAlignment="1">
      <alignment vertical="center"/>
    </xf>
    <xf numFmtId="0" fontId="62" fillId="5" borderId="16" xfId="0" applyFont="1" applyFill="1" applyBorder="1" applyAlignment="1">
      <alignment vertical="center"/>
    </xf>
    <xf numFmtId="0" fontId="61" fillId="15" borderId="24" xfId="0" applyFont="1" applyFill="1" applyBorder="1" applyAlignment="1">
      <alignment vertical="center"/>
    </xf>
    <xf numFmtId="0" fontId="61" fillId="15" borderId="23" xfId="0" applyFont="1" applyFill="1" applyBorder="1" applyAlignment="1">
      <alignment vertical="center"/>
    </xf>
    <xf numFmtId="0" fontId="61" fillId="15" borderId="22" xfId="0" applyFont="1" applyFill="1" applyBorder="1" applyAlignment="1">
      <alignment vertical="center"/>
    </xf>
    <xf numFmtId="0" fontId="61" fillId="5" borderId="20" xfId="0" applyFont="1" applyFill="1" applyBorder="1" applyAlignment="1">
      <alignment vertical="center"/>
    </xf>
    <xf numFmtId="0" fontId="61" fillId="5" borderId="21" xfId="0" applyFont="1" applyFill="1" applyBorder="1" applyAlignment="1">
      <alignment vertical="center"/>
    </xf>
    <xf numFmtId="0" fontId="61" fillId="5" borderId="16" xfId="0" applyFont="1" applyFill="1" applyBorder="1" applyAlignment="1">
      <alignment vertical="center"/>
    </xf>
    <xf numFmtId="0" fontId="39" fillId="5" borderId="9" xfId="0" applyFont="1" applyFill="1" applyBorder="1" applyAlignment="1">
      <alignment horizontal="left"/>
    </xf>
    <xf numFmtId="0" fontId="39" fillId="5" borderId="10" xfId="0" applyFont="1" applyFill="1" applyBorder="1" applyAlignment="1">
      <alignment horizontal="left"/>
    </xf>
    <xf numFmtId="0" fontId="39" fillId="5" borderId="11" xfId="0" applyFont="1" applyFill="1" applyBorder="1" applyAlignment="1">
      <alignment horizontal="left"/>
    </xf>
    <xf numFmtId="0" fontId="62" fillId="5" borderId="25" xfId="0" applyFont="1" applyFill="1" applyBorder="1" applyAlignment="1">
      <alignment vertical="center"/>
    </xf>
    <xf numFmtId="0" fontId="62" fillId="5" borderId="17" xfId="0" applyFont="1" applyFill="1" applyBorder="1" applyAlignment="1">
      <alignment vertical="center"/>
    </xf>
    <xf numFmtId="0" fontId="62" fillId="5" borderId="20" xfId="0" applyFont="1" applyFill="1" applyBorder="1" applyAlignment="1">
      <alignment horizontal="left" vertical="center"/>
    </xf>
    <xf numFmtId="0" fontId="62" fillId="5" borderId="16" xfId="0" applyFont="1" applyFill="1" applyBorder="1" applyAlignment="1">
      <alignment horizontal="left" vertical="center"/>
    </xf>
    <xf numFmtId="0" fontId="62" fillId="15" borderId="24" xfId="0" applyFont="1" applyFill="1" applyBorder="1" applyAlignment="1">
      <alignment vertical="center"/>
    </xf>
    <xf numFmtId="0" fontId="62" fillId="15" borderId="23" xfId="0" applyFont="1" applyFill="1" applyBorder="1" applyAlignment="1">
      <alignment vertical="center"/>
    </xf>
    <xf numFmtId="0" fontId="62" fillId="15" borderId="22" xfId="0" applyFont="1" applyFill="1" applyBorder="1" applyAlignment="1">
      <alignment vertical="center"/>
    </xf>
    <xf numFmtId="0" fontId="62" fillId="5" borderId="19" xfId="0" applyFont="1" applyFill="1" applyBorder="1" applyAlignment="1">
      <alignment vertical="center"/>
    </xf>
    <xf numFmtId="0" fontId="62" fillId="5" borderId="27" xfId="0" applyFont="1" applyFill="1" applyBorder="1" applyAlignment="1">
      <alignment vertical="center"/>
    </xf>
    <xf numFmtId="0" fontId="62" fillId="5" borderId="18" xfId="0" applyFont="1" applyFill="1" applyBorder="1" applyAlignment="1">
      <alignment vertical="center"/>
    </xf>
    <xf numFmtId="0" fontId="61" fillId="15" borderId="19" xfId="0" applyFont="1" applyFill="1" applyBorder="1" applyAlignment="1">
      <alignment vertical="center"/>
    </xf>
    <xf numFmtId="0" fontId="61" fillId="15" borderId="27" xfId="0" applyFont="1" applyFill="1" applyBorder="1" applyAlignment="1">
      <alignment vertical="center"/>
    </xf>
    <xf numFmtId="0" fontId="61" fillId="15" borderId="18" xfId="0" applyFont="1" applyFill="1" applyBorder="1" applyAlignment="1">
      <alignment vertical="center"/>
    </xf>
    <xf numFmtId="0" fontId="14" fillId="5" borderId="9" xfId="0" applyFont="1" applyFill="1" applyBorder="1" applyAlignment="1">
      <alignment horizontal="center"/>
    </xf>
    <xf numFmtId="0" fontId="14" fillId="5" borderId="10" xfId="0" applyFont="1" applyFill="1" applyBorder="1" applyAlignment="1">
      <alignment horizontal="center"/>
    </xf>
    <xf numFmtId="0" fontId="14" fillId="5" borderId="11" xfId="0" applyFont="1" applyFill="1" applyBorder="1" applyAlignment="1">
      <alignment horizontal="center"/>
    </xf>
    <xf numFmtId="0" fontId="14" fillId="0" borderId="0" xfId="0" applyFont="1" applyAlignment="1">
      <alignment horizontal="center"/>
    </xf>
    <xf numFmtId="0" fontId="39" fillId="5" borderId="9" xfId="0" applyFont="1" applyFill="1" applyBorder="1" applyAlignment="1">
      <alignment horizontal="left" vertical="center"/>
    </xf>
    <xf numFmtId="0" fontId="39" fillId="5" borderId="10" xfId="0" applyFont="1" applyFill="1" applyBorder="1" applyAlignment="1">
      <alignment horizontal="left" vertical="center"/>
    </xf>
    <xf numFmtId="0" fontId="39" fillId="5" borderId="11" xfId="0" applyFont="1" applyFill="1" applyBorder="1" applyAlignment="1">
      <alignment horizontal="left" vertical="center"/>
    </xf>
    <xf numFmtId="0" fontId="4" fillId="2" borderId="0" xfId="14" applyFont="1" applyFill="1" applyAlignment="1">
      <alignment horizontal="left" vertical="top" wrapText="1"/>
    </xf>
    <xf numFmtId="0" fontId="4" fillId="2" borderId="0" xfId="14" applyFont="1" applyFill="1" applyAlignment="1">
      <alignment horizontal="right" vertical="center" wrapText="1"/>
    </xf>
    <xf numFmtId="180" fontId="4" fillId="2" borderId="0" xfId="14" applyNumberFormat="1" applyFont="1" applyFill="1" applyAlignment="1">
      <alignment horizontal="right" vertical="center" wrapText="1"/>
    </xf>
    <xf numFmtId="0" fontId="4" fillId="2" borderId="0" xfId="0" applyFont="1" applyFill="1" applyAlignment="1">
      <alignment horizontal="right" vertical="center" wrapText="1"/>
    </xf>
    <xf numFmtId="180" fontId="4" fillId="2" borderId="0" xfId="0" applyNumberFormat="1" applyFont="1" applyFill="1" applyAlignment="1">
      <alignment horizontal="right" vertical="center" wrapText="1"/>
    </xf>
    <xf numFmtId="0" fontId="4" fillId="2" borderId="0" xfId="17" applyFont="1" applyFill="1" applyAlignment="1">
      <alignment horizontal="left" vertical="top" wrapText="1"/>
    </xf>
    <xf numFmtId="0" fontId="4" fillId="2" borderId="9" xfId="0" applyFont="1" applyFill="1" applyBorder="1" applyAlignment="1">
      <alignment vertical="center" wrapText="1"/>
    </xf>
    <xf numFmtId="0" fontId="5" fillId="2" borderId="19"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8" xfId="0" applyFont="1" applyFill="1" applyBorder="1" applyAlignment="1">
      <alignment horizontal="center" vertical="center" wrapText="1"/>
    </xf>
    <xf numFmtId="10" fontId="4" fillId="2" borderId="1" xfId="16" applyNumberFormat="1" applyFont="1" applyFill="1" applyBorder="1" applyAlignment="1">
      <alignment horizontal="center"/>
    </xf>
    <xf numFmtId="0" fontId="4" fillId="2" borderId="0" xfId="14" applyFont="1" applyFill="1" applyAlignment="1">
      <alignment horizontal="left" wrapText="1"/>
    </xf>
    <xf numFmtId="2" fontId="4" fillId="2" borderId="1" xfId="16" applyNumberFormat="1" applyFont="1" applyFill="1" applyBorder="1" applyAlignment="1">
      <alignment horizontal="center"/>
    </xf>
    <xf numFmtId="180" fontId="4" fillId="2" borderId="9" xfId="21" applyNumberFormat="1" applyFont="1" applyFill="1" applyBorder="1" applyAlignment="1">
      <alignment horizontal="center"/>
    </xf>
    <xf numFmtId="180" fontId="4" fillId="2" borderId="11" xfId="21" applyNumberFormat="1" applyFont="1" applyFill="1" applyBorder="1" applyAlignment="1">
      <alignment horizontal="center"/>
    </xf>
    <xf numFmtId="168" fontId="4" fillId="2" borderId="1" xfId="16" applyNumberFormat="1" applyFont="1" applyFill="1" applyBorder="1" applyAlignment="1">
      <alignment horizontal="center"/>
    </xf>
    <xf numFmtId="0" fontId="5" fillId="2" borderId="9" xfId="14" applyFont="1" applyFill="1" applyBorder="1" applyAlignment="1">
      <alignment horizontal="center"/>
    </xf>
    <xf numFmtId="0" fontId="5" fillId="2" borderId="10" xfId="14" applyFont="1" applyFill="1" applyBorder="1" applyAlignment="1">
      <alignment horizontal="center"/>
    </xf>
    <xf numFmtId="0" fontId="5" fillId="2" borderId="11" xfId="14" applyFont="1" applyFill="1" applyBorder="1" applyAlignment="1">
      <alignment horizontal="center"/>
    </xf>
    <xf numFmtId="14" fontId="4" fillId="2" borderId="1" xfId="14" applyNumberFormat="1" applyFont="1" applyFill="1" applyBorder="1" applyAlignment="1">
      <alignment horizontal="center"/>
    </xf>
    <xf numFmtId="168" fontId="70" fillId="2" borderId="1" xfId="16" applyNumberFormat="1" applyFont="1" applyFill="1" applyBorder="1" applyAlignment="1">
      <alignment horizontal="center"/>
    </xf>
    <xf numFmtId="180" fontId="4" fillId="2" borderId="9" xfId="2" applyNumberFormat="1" applyFont="1" applyFill="1" applyBorder="1" applyAlignment="1">
      <alignment horizontal="center"/>
    </xf>
    <xf numFmtId="180" fontId="4" fillId="2" borderId="11" xfId="2" applyNumberFormat="1" applyFont="1" applyFill="1" applyBorder="1" applyAlignment="1">
      <alignment horizontal="center"/>
    </xf>
    <xf numFmtId="0" fontId="4" fillId="2" borderId="0" xfId="0" applyFont="1" applyFill="1" applyAlignment="1">
      <alignment horizontal="left" wrapText="1"/>
    </xf>
    <xf numFmtId="14" fontId="4" fillId="2" borderId="1" xfId="0" applyNumberFormat="1" applyFont="1" applyFill="1" applyBorder="1" applyAlignment="1">
      <alignment horizontal="center"/>
    </xf>
    <xf numFmtId="168" fontId="70" fillId="2" borderId="1" xfId="3" applyNumberFormat="1" applyFont="1" applyFill="1" applyBorder="1" applyAlignment="1">
      <alignment horizontal="center"/>
    </xf>
    <xf numFmtId="10" fontId="4" fillId="2" borderId="1" xfId="3" applyNumberFormat="1" applyFont="1" applyFill="1" applyBorder="1" applyAlignment="1">
      <alignment horizontal="center"/>
    </xf>
    <xf numFmtId="168" fontId="4" fillId="2" borderId="1" xfId="3" applyNumberFormat="1" applyFont="1" applyFill="1" applyBorder="1" applyAlignment="1">
      <alignment horizontal="center"/>
    </xf>
    <xf numFmtId="2" fontId="4" fillId="2" borderId="1" xfId="3" applyNumberFormat="1" applyFont="1" applyFill="1" applyBorder="1" applyAlignment="1">
      <alignment horizontal="center"/>
    </xf>
    <xf numFmtId="180" fontId="4" fillId="2" borderId="1" xfId="16" applyNumberFormat="1" applyFont="1" applyFill="1" applyBorder="1" applyAlignment="1">
      <alignment horizontal="center"/>
    </xf>
    <xf numFmtId="6" fontId="4" fillId="2" borderId="1" xfId="14" applyNumberFormat="1" applyFont="1" applyFill="1" applyBorder="1" applyAlignment="1">
      <alignment horizontal="center"/>
    </xf>
    <xf numFmtId="6" fontId="4" fillId="2" borderId="1" xfId="14" applyNumberFormat="1" applyFont="1" applyFill="1" applyBorder="1" applyAlignment="1">
      <alignment horizontal="center" wrapText="1"/>
    </xf>
    <xf numFmtId="0" fontId="4" fillId="2" borderId="0" xfId="14" applyFont="1" applyFill="1" applyAlignment="1">
      <alignment horizontal="left" vertical="center" wrapText="1"/>
    </xf>
    <xf numFmtId="168" fontId="70" fillId="2" borderId="9" xfId="16" applyNumberFormat="1" applyFont="1" applyFill="1" applyBorder="1" applyAlignment="1">
      <alignment horizontal="center"/>
    </xf>
    <xf numFmtId="168" fontId="70" fillId="2" borderId="11" xfId="16" applyNumberFormat="1" applyFont="1" applyFill="1" applyBorder="1" applyAlignment="1">
      <alignment horizontal="center"/>
    </xf>
    <xf numFmtId="6" fontId="4" fillId="2" borderId="1" xfId="0" applyNumberFormat="1" applyFont="1" applyFill="1" applyBorder="1" applyAlignment="1">
      <alignment horizontal="center"/>
    </xf>
    <xf numFmtId="6" fontId="4" fillId="2" borderId="1" xfId="0" applyNumberFormat="1" applyFont="1" applyFill="1" applyBorder="1" applyAlignment="1">
      <alignment horizontal="center" wrapText="1"/>
    </xf>
    <xf numFmtId="0" fontId="4" fillId="2" borderId="0" xfId="0" applyFont="1" applyFill="1" applyAlignment="1">
      <alignment horizontal="left" vertical="center" wrapText="1"/>
    </xf>
    <xf numFmtId="168" fontId="70" fillId="2" borderId="9" xfId="3" applyNumberFormat="1" applyFont="1" applyFill="1" applyBorder="1" applyAlignment="1">
      <alignment horizontal="center"/>
    </xf>
    <xf numFmtId="168" fontId="70" fillId="2" borderId="11" xfId="3" applyNumberFormat="1" applyFont="1" applyFill="1" applyBorder="1" applyAlignment="1">
      <alignment horizontal="center"/>
    </xf>
    <xf numFmtId="180" fontId="4" fillId="2" borderId="1" xfId="3" applyNumberFormat="1" applyFont="1" applyFill="1" applyBorder="1" applyAlignment="1">
      <alignment horizontal="center"/>
    </xf>
    <xf numFmtId="0" fontId="4" fillId="0" borderId="0" xfId="0" applyFont="1" applyAlignment="1">
      <alignment horizontal="left" vertical="top" wrapText="1"/>
    </xf>
    <xf numFmtId="0" fontId="4" fillId="2" borderId="0" xfId="0" applyFont="1" applyFill="1" applyAlignment="1">
      <alignment wrapText="1"/>
    </xf>
    <xf numFmtId="0" fontId="89" fillId="2" borderId="1" xfId="0" applyFont="1" applyFill="1" applyBorder="1" applyAlignment="1">
      <alignment vertical="center" wrapText="1"/>
    </xf>
    <xf numFmtId="0" fontId="4" fillId="2" borderId="1" xfId="0" applyFont="1" applyFill="1" applyBorder="1" applyAlignment="1">
      <alignment horizontal="left" wrapText="1"/>
    </xf>
    <xf numFmtId="0" fontId="11" fillId="5" borderId="1" xfId="0" applyFont="1" applyFill="1" applyBorder="1" applyAlignment="1">
      <alignment horizontal="center"/>
    </xf>
    <xf numFmtId="0" fontId="15" fillId="5" borderId="1" xfId="0" applyFont="1" applyFill="1" applyBorder="1" applyAlignment="1">
      <alignment horizontal="left"/>
    </xf>
    <xf numFmtId="10" fontId="88" fillId="2" borderId="9" xfId="0" applyNumberFormat="1" applyFont="1" applyFill="1" applyBorder="1" applyAlignment="1">
      <alignment horizontal="center" vertical="center" wrapText="1"/>
    </xf>
    <xf numFmtId="10" fontId="88" fillId="2" borderId="11" xfId="0" applyNumberFormat="1" applyFont="1" applyFill="1" applyBorder="1" applyAlignment="1">
      <alignment horizontal="center" vertical="center" wrapText="1"/>
    </xf>
    <xf numFmtId="0" fontId="0" fillId="0" borderId="0" xfId="0" applyAlignment="1">
      <alignment wrapText="1"/>
    </xf>
    <xf numFmtId="0" fontId="88" fillId="2" borderId="9" xfId="0" applyFont="1" applyFill="1" applyBorder="1" applyAlignment="1">
      <alignment horizontal="left" vertical="center" wrapText="1"/>
    </xf>
    <xf numFmtId="0" fontId="88" fillId="2" borderId="11"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76" fillId="2" borderId="1" xfId="0" applyFont="1" applyFill="1" applyBorder="1" applyAlignment="1">
      <alignment vertical="center" wrapText="1"/>
    </xf>
    <xf numFmtId="10" fontId="70" fillId="2" borderId="1" xfId="0" applyNumberFormat="1" applyFont="1" applyFill="1" applyBorder="1" applyAlignment="1">
      <alignment horizontal="center" vertical="center" wrapText="1"/>
    </xf>
    <xf numFmtId="0" fontId="70" fillId="2" borderId="0" xfId="0" applyFont="1" applyFill="1" applyAlignment="1">
      <alignment vertical="center" wrapText="1"/>
    </xf>
    <xf numFmtId="0" fontId="15" fillId="5" borderId="9" xfId="0" applyFont="1" applyFill="1" applyBorder="1" applyAlignment="1">
      <alignment horizontal="left" wrapText="1"/>
    </xf>
    <xf numFmtId="0" fontId="15" fillId="5" borderId="10" xfId="0" applyFont="1" applyFill="1" applyBorder="1" applyAlignment="1">
      <alignment horizontal="left" wrapText="1"/>
    </xf>
    <xf numFmtId="0" fontId="15" fillId="5" borderId="11" xfId="0" applyFont="1" applyFill="1" applyBorder="1" applyAlignment="1">
      <alignment horizontal="left" wrapText="1"/>
    </xf>
    <xf numFmtId="0" fontId="15" fillId="5" borderId="9" xfId="0" applyFont="1" applyFill="1" applyBorder="1"/>
    <xf numFmtId="0" fontId="15" fillId="5" borderId="10" xfId="0" applyFont="1" applyFill="1" applyBorder="1"/>
    <xf numFmtId="0" fontId="15" fillId="5" borderId="11" xfId="0" applyFont="1" applyFill="1" applyBorder="1"/>
    <xf numFmtId="0" fontId="4" fillId="2" borderId="0" xfId="17" applyFont="1" applyFill="1" applyAlignment="1">
      <alignment horizontal="center" vertical="top" wrapText="1"/>
    </xf>
    <xf numFmtId="0" fontId="4" fillId="2" borderId="9" xfId="0" applyFont="1" applyFill="1" applyBorder="1" applyAlignment="1">
      <alignment horizontal="right" wrapText="1"/>
    </xf>
    <xf numFmtId="0" fontId="4" fillId="2" borderId="11" xfId="0" applyFont="1" applyFill="1" applyBorder="1" applyAlignment="1">
      <alignment horizontal="right" wrapText="1"/>
    </xf>
    <xf numFmtId="0" fontId="12" fillId="21" borderId="1" xfId="24" applyFont="1" applyFill="1" applyBorder="1" applyAlignment="1">
      <alignment horizontal="left"/>
    </xf>
    <xf numFmtId="0" fontId="12" fillId="21" borderId="13" xfId="24" applyFont="1" applyFill="1" applyBorder="1" applyAlignment="1">
      <alignment horizontal="left"/>
    </xf>
    <xf numFmtId="0" fontId="12" fillId="21" borderId="5" xfId="24" applyFont="1" applyFill="1" applyBorder="1" applyAlignment="1">
      <alignment horizontal="left"/>
    </xf>
    <xf numFmtId="0" fontId="12" fillId="21" borderId="7" xfId="24" applyFont="1" applyFill="1" applyBorder="1" applyAlignment="1">
      <alignment horizontal="left"/>
    </xf>
    <xf numFmtId="0" fontId="12" fillId="21" borderId="8" xfId="24" applyFont="1" applyFill="1" applyBorder="1" applyAlignment="1">
      <alignment horizontal="left"/>
    </xf>
    <xf numFmtId="0" fontId="12" fillId="21" borderId="2" xfId="24" applyFont="1" applyFill="1" applyBorder="1" applyAlignment="1">
      <alignment horizontal="left"/>
    </xf>
    <xf numFmtId="0" fontId="12" fillId="21" borderId="14" xfId="24" applyFont="1" applyFill="1" applyBorder="1" applyAlignment="1">
      <alignment horizontal="left"/>
    </xf>
    <xf numFmtId="0" fontId="12" fillId="21" borderId="1" xfId="27" applyFont="1" applyFill="1" applyBorder="1" applyAlignment="1">
      <alignment horizontal="left"/>
    </xf>
    <xf numFmtId="0" fontId="12" fillId="21" borderId="13" xfId="27" applyFont="1" applyFill="1" applyBorder="1" applyAlignment="1">
      <alignment horizontal="left"/>
    </xf>
    <xf numFmtId="0" fontId="12" fillId="21" borderId="5" xfId="27" applyFont="1" applyFill="1" applyBorder="1" applyAlignment="1">
      <alignment horizontal="left"/>
    </xf>
    <xf numFmtId="0" fontId="12" fillId="21" borderId="7" xfId="27" applyFont="1" applyFill="1" applyBorder="1" applyAlignment="1">
      <alignment horizontal="left"/>
    </xf>
    <xf numFmtId="0" fontId="12" fillId="21" borderId="8" xfId="27" applyFont="1" applyFill="1" applyBorder="1" applyAlignment="1">
      <alignment horizontal="left"/>
    </xf>
    <xf numFmtId="0" fontId="12" fillId="21" borderId="2" xfId="27" applyFont="1" applyFill="1" applyBorder="1" applyAlignment="1">
      <alignment horizontal="left"/>
    </xf>
    <xf numFmtId="0" fontId="12" fillId="21" borderId="14" xfId="27" applyFont="1" applyFill="1" applyBorder="1" applyAlignment="1">
      <alignment horizontal="left"/>
    </xf>
    <xf numFmtId="0" fontId="35" fillId="5" borderId="0" xfId="0" applyFont="1" applyFill="1" applyAlignment="1">
      <alignment horizontal="left"/>
    </xf>
    <xf numFmtId="0" fontId="32" fillId="5" borderId="0" xfId="0" applyFont="1" applyFill="1" applyAlignment="1">
      <alignment horizontal="center"/>
    </xf>
    <xf numFmtId="0" fontId="35" fillId="5" borderId="9" xfId="0" applyFont="1" applyFill="1" applyBorder="1" applyAlignment="1">
      <alignment horizontal="left"/>
    </xf>
    <xf numFmtId="0" fontId="35" fillId="5" borderId="10" xfId="0" applyFont="1" applyFill="1" applyBorder="1" applyAlignment="1">
      <alignment horizontal="left"/>
    </xf>
    <xf numFmtId="0" fontId="35" fillId="5" borderId="11" xfId="0" applyFont="1" applyFill="1" applyBorder="1" applyAlignment="1">
      <alignment horizontal="left"/>
    </xf>
    <xf numFmtId="0" fontId="0" fillId="0" borderId="23" xfId="0" applyBorder="1" applyAlignment="1">
      <alignment horizontal="left" vertical="center" wrapText="1"/>
    </xf>
    <xf numFmtId="0" fontId="0" fillId="0" borderId="22" xfId="0" applyBorder="1" applyAlignment="1">
      <alignment horizontal="left" vertical="center" wrapText="1"/>
    </xf>
    <xf numFmtId="0" fontId="0" fillId="0" borderId="0" xfId="0" applyAlignment="1">
      <alignment horizontal="left" vertical="center" wrapText="1"/>
    </xf>
    <xf numFmtId="0" fontId="0" fillId="0" borderId="37" xfId="0" applyBorder="1" applyAlignment="1">
      <alignment horizontal="left" vertical="center" wrapText="1"/>
    </xf>
    <xf numFmtId="0" fontId="0" fillId="0" borderId="21" xfId="0" applyBorder="1" applyAlignment="1">
      <alignment horizontal="left" vertical="center" wrapText="1"/>
    </xf>
    <xf numFmtId="0" fontId="0" fillId="0" borderId="16" xfId="0" applyBorder="1" applyAlignment="1">
      <alignment horizontal="left" vertical="center" wrapText="1"/>
    </xf>
    <xf numFmtId="0" fontId="31" fillId="0" borderId="43"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41" xfId="0" applyFont="1" applyBorder="1" applyAlignment="1">
      <alignment horizontal="center" vertical="center" wrapText="1"/>
    </xf>
    <xf numFmtId="0" fontId="0" fillId="0" borderId="38" xfId="0" applyBorder="1" applyAlignment="1">
      <alignment horizontal="left" vertical="top" wrapText="1"/>
    </xf>
    <xf numFmtId="0" fontId="0" fillId="0" borderId="21" xfId="0" applyBorder="1" applyAlignment="1">
      <alignment horizontal="left" vertical="top" wrapText="1"/>
    </xf>
    <xf numFmtId="0" fontId="0" fillId="0" borderId="39" xfId="0" applyBorder="1" applyAlignment="1">
      <alignment horizontal="left" vertical="top" wrapText="1"/>
    </xf>
    <xf numFmtId="0" fontId="0" fillId="0" borderId="16" xfId="0" applyBorder="1" applyAlignment="1">
      <alignment horizontal="left" vertical="top" wrapText="1"/>
    </xf>
    <xf numFmtId="0" fontId="123" fillId="0" borderId="0" xfId="0" applyFont="1" applyAlignment="1">
      <alignment horizontal="center" vertical="center"/>
    </xf>
    <xf numFmtId="0" fontId="123" fillId="0" borderId="37" xfId="0" applyFont="1" applyBorder="1" applyAlignment="1">
      <alignment horizontal="center" vertical="center"/>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40"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0" fillId="0" borderId="37" xfId="0" applyBorder="1" applyAlignment="1">
      <alignment horizontal="left" vertical="top" wrapText="1"/>
    </xf>
    <xf numFmtId="0" fontId="127" fillId="0" borderId="0" xfId="8" applyFont="1" applyAlignment="1">
      <alignment horizontal="center"/>
    </xf>
    <xf numFmtId="0" fontId="1" fillId="0" borderId="0" xfId="8"/>
    <xf numFmtId="0" fontId="128" fillId="0" borderId="0" xfId="8" applyFont="1"/>
    <xf numFmtId="0" fontId="129" fillId="0" borderId="0" xfId="8" applyFont="1" applyAlignment="1">
      <alignment horizontal="center"/>
    </xf>
    <xf numFmtId="0" fontId="1" fillId="0" borderId="0" xfId="8" applyAlignment="1">
      <alignment horizontal="right" vertical="top" indent="1"/>
    </xf>
    <xf numFmtId="0" fontId="130" fillId="0" borderId="0" xfId="8" applyFont="1" applyAlignment="1">
      <alignment horizontal="left" wrapText="1"/>
    </xf>
    <xf numFmtId="0" fontId="130" fillId="0" borderId="0" xfId="8" applyFont="1"/>
    <xf numFmtId="0" fontId="131" fillId="0" borderId="0" xfId="32"/>
    <xf numFmtId="0" fontId="112" fillId="0" borderId="0" xfId="8" applyFont="1" applyAlignment="1">
      <alignment horizontal="left"/>
    </xf>
    <xf numFmtId="0" fontId="112" fillId="0" borderId="0" xfId="8" applyFont="1" applyAlignment="1">
      <alignment horizontal="center"/>
    </xf>
    <xf numFmtId="0" fontId="112" fillId="0" borderId="0" xfId="8" applyFont="1" applyAlignment="1">
      <alignment horizontal="right"/>
    </xf>
  </cellXfs>
  <cellStyles count="33">
    <cellStyle name="Comma" xfId="1" builtinId="3"/>
    <cellStyle name="Comma 2" xfId="5" xr:uid="{0269CE13-39F4-47EE-BD08-9EA7A98C41BA}"/>
    <cellStyle name="Comma 2 2" xfId="13" xr:uid="{F1D5EC8B-DBD3-43A7-9643-49BAA8DE275B}"/>
    <cellStyle name="Comma 2 2 2" xfId="19" xr:uid="{5A46C828-E1DA-4E19-B545-6457E8AAE159}"/>
    <cellStyle name="Comma 2 3" xfId="23" xr:uid="{F1AFD357-1369-4241-83AB-98C9A4C583B7}"/>
    <cellStyle name="Comma 2 3 2" xfId="29" xr:uid="{2E7AE0A3-50DE-4EC9-A455-E6ED15F8F623}"/>
    <cellStyle name="Comma 2 4" xfId="30" xr:uid="{1C761E21-3F4C-4C45-BB05-DE57FE611E7E}"/>
    <cellStyle name="Comma 3" xfId="7" xr:uid="{DA976F4A-D9B3-43FA-AC55-527F553216D7}"/>
    <cellStyle name="Comma 3 2" xfId="15" xr:uid="{6EB0C9BB-F2B9-4CD9-B45D-32A7B36B8E21}"/>
    <cellStyle name="Comma 4" xfId="20" xr:uid="{C1B703DA-4579-46B0-82E8-C1C5D7309420}"/>
    <cellStyle name="Comma 5" xfId="26" xr:uid="{ED766772-079D-4F7C-A87D-221FD0A15636}"/>
    <cellStyle name="Currency" xfId="2" builtinId="4"/>
    <cellStyle name="Currency 2" xfId="22" xr:uid="{BB6C92D6-46B5-43C6-813E-EFEEBA55EC4F}"/>
    <cellStyle name="Currency 3" xfId="21" xr:uid="{D964CBB1-E481-46FF-A7BC-11A6B508CA97}"/>
    <cellStyle name="Hyperlink" xfId="32" builtinId="8"/>
    <cellStyle name="Milliers 2" xfId="10" xr:uid="{A5E1D25B-A867-4D90-9E77-A512450671F3}"/>
    <cellStyle name="Milliers 2 2" xfId="31" xr:uid="{AF12956A-3132-4F3B-A7F3-C078CAEC04C4}"/>
    <cellStyle name="Monétaire 2" xfId="6" xr:uid="{1F47B9FC-E45D-4DEE-8BFA-06F8AFD5AC2F}"/>
    <cellStyle name="Monétaire 3" xfId="9" xr:uid="{E6D3BDDA-E8D4-499B-80F9-8D3A9960FC9A}"/>
    <cellStyle name="Normal" xfId="0" builtinId="0"/>
    <cellStyle name="Normal 2" xfId="12" xr:uid="{AC8F41B6-1E57-416F-A45A-BD0BF93C3D84}"/>
    <cellStyle name="Normal 2 2" xfId="18" xr:uid="{87162263-C2DC-457B-94DB-295613D8124D}"/>
    <cellStyle name="Normal 3" xfId="4" xr:uid="{BB1E5F64-B8C5-4A4D-97BA-4F0AA688B96C}"/>
    <cellStyle name="Normal 3 2" xfId="27" xr:uid="{384B3844-878A-476C-A93F-76BDD0640434}"/>
    <cellStyle name="Normal 4" xfId="8" xr:uid="{3FA10681-929B-439B-8019-063457991F78}"/>
    <cellStyle name="Normal 4 2" xfId="24" xr:uid="{2A88B27F-6268-4E18-8B53-F52398D3977E}"/>
    <cellStyle name="Normal 5" xfId="14" xr:uid="{CD020448-4932-4188-A287-062EA37A10BF}"/>
    <cellStyle name="Normal 6 2" xfId="17" xr:uid="{2F5C4EC0-771B-4C0F-B299-98CD77F61E67}"/>
    <cellStyle name="Percent" xfId="3" builtinId="5"/>
    <cellStyle name="Percent 2" xfId="28" xr:uid="{C854375D-7D88-45E2-8D03-06A50E7D723C}"/>
    <cellStyle name="Percent 3" xfId="16" xr:uid="{A90EEA48-C215-4112-8A18-F4AFE4A0FAB4}"/>
    <cellStyle name="Percent 4" xfId="25" xr:uid="{6C9E673E-4E23-4478-B8A6-5959BFB3759E}"/>
    <cellStyle name="Pourcentage 2" xfId="11" xr:uid="{8A99738D-44EA-45A3-A53B-9F4E38CC69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0.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5.xml"/><Relationship Id="rId5" Type="http://schemas.openxmlformats.org/officeDocument/2006/relationships/worksheet" Target="worksheets/sheet5.xml"/><Relationship Id="rId90"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6.xml"/><Relationship Id="rId85" Type="http://schemas.openxmlformats.org/officeDocument/2006/relationships/externalLink" Target="externalLinks/externalLink11.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1.xml"/><Relationship Id="rId83" Type="http://schemas.openxmlformats.org/officeDocument/2006/relationships/externalLink" Target="externalLinks/externalLink9.xml"/><Relationship Id="rId88" Type="http://schemas.openxmlformats.org/officeDocument/2006/relationships/styles" Target="styles.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4.xml"/><Relationship Id="rId81" Type="http://schemas.openxmlformats.org/officeDocument/2006/relationships/externalLink" Target="externalLinks/externalLink7.xml"/><Relationship Id="rId86"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externalLink" Target="externalLinks/externalLink8.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DB7B4B98-5B02-4444-A194-8B8CD9DA96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6764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F40AD8EA-0469-474D-A4C5-C262D68FF726}"/>
            </a:ext>
          </a:extLst>
        </xdr:cNvPr>
        <xdr:cNvCxnSpPr/>
      </xdr:nvCxnSpPr>
      <xdr:spPr>
        <a:xfrm>
          <a:off x="281940" y="172974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D859FB74-643B-4996-83D1-556E762C3B7F}"/>
            </a:ext>
          </a:extLst>
        </xdr:cNvPr>
        <xdr:cNvCxnSpPr/>
      </xdr:nvCxnSpPr>
      <xdr:spPr>
        <a:xfrm>
          <a:off x="293370" y="87630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274320</xdr:colOff>
          <xdr:row>28</xdr:row>
          <xdr:rowOff>68580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274320</xdr:colOff>
          <xdr:row>30</xdr:row>
          <xdr:rowOff>68580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274320</xdr:colOff>
          <xdr:row>24</xdr:row>
          <xdr:rowOff>68580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0</xdr:colOff>
      <xdr:row>41</xdr:row>
      <xdr:rowOff>0</xdr:rowOff>
    </xdr:from>
    <xdr:to>
      <xdr:col>1</xdr:col>
      <xdr:colOff>274320</xdr:colOff>
      <xdr:row>42</xdr:row>
      <xdr:rowOff>26670</xdr:rowOff>
    </xdr:to>
    <xdr:pic>
      <xdr:nvPicPr>
        <xdr:cNvPr id="2" name="Picture 1">
          <a:extLst>
            <a:ext uri="{FF2B5EF4-FFF2-40B4-BE49-F238E27FC236}">
              <a16:creationId xmlns:a16="http://schemas.microsoft.com/office/drawing/2014/main" id="{AF900A39-E519-4C6F-95B4-C1859DA81126}"/>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8125" y="10125075"/>
          <a:ext cx="274320" cy="226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43</xdr:row>
      <xdr:rowOff>0</xdr:rowOff>
    </xdr:from>
    <xdr:to>
      <xdr:col>1</xdr:col>
      <xdr:colOff>274320</xdr:colOff>
      <xdr:row>44</xdr:row>
      <xdr:rowOff>26670</xdr:rowOff>
    </xdr:to>
    <xdr:pic>
      <xdr:nvPicPr>
        <xdr:cNvPr id="3" name="Picture 2">
          <a:extLst>
            <a:ext uri="{FF2B5EF4-FFF2-40B4-BE49-F238E27FC236}">
              <a16:creationId xmlns:a16="http://schemas.microsoft.com/office/drawing/2014/main" id="{0300CE8E-9B70-4CB1-BF49-C2F0B0F89729}"/>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8125" y="10525125"/>
          <a:ext cx="274320" cy="226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45</xdr:row>
      <xdr:rowOff>0</xdr:rowOff>
    </xdr:from>
    <xdr:to>
      <xdr:col>1</xdr:col>
      <xdr:colOff>274320</xdr:colOff>
      <xdr:row>46</xdr:row>
      <xdr:rowOff>26670</xdr:rowOff>
    </xdr:to>
    <xdr:pic>
      <xdr:nvPicPr>
        <xdr:cNvPr id="4" name="Picture 3">
          <a:extLst>
            <a:ext uri="{FF2B5EF4-FFF2-40B4-BE49-F238E27FC236}">
              <a16:creationId xmlns:a16="http://schemas.microsoft.com/office/drawing/2014/main" id="{1F34D321-92C0-4EE6-BE7E-18C7C41CB0E6}"/>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8125" y="10925175"/>
          <a:ext cx="274320" cy="226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47</xdr:row>
      <xdr:rowOff>0</xdr:rowOff>
    </xdr:from>
    <xdr:to>
      <xdr:col>1</xdr:col>
      <xdr:colOff>274320</xdr:colOff>
      <xdr:row>48</xdr:row>
      <xdr:rowOff>26670</xdr:rowOff>
    </xdr:to>
    <xdr:pic>
      <xdr:nvPicPr>
        <xdr:cNvPr id="5" name="Picture 4">
          <a:extLst>
            <a:ext uri="{FF2B5EF4-FFF2-40B4-BE49-F238E27FC236}">
              <a16:creationId xmlns:a16="http://schemas.microsoft.com/office/drawing/2014/main" id="{B5B83EA2-94E1-4D2F-A765-FC2A57F3F962}"/>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8125" y="11325225"/>
          <a:ext cx="274320" cy="226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39</xdr:row>
      <xdr:rowOff>0</xdr:rowOff>
    </xdr:from>
    <xdr:to>
      <xdr:col>1</xdr:col>
      <xdr:colOff>274320</xdr:colOff>
      <xdr:row>40</xdr:row>
      <xdr:rowOff>22860</xdr:rowOff>
    </xdr:to>
    <xdr:pic>
      <xdr:nvPicPr>
        <xdr:cNvPr id="6" name="Picture 5">
          <a:extLst>
            <a:ext uri="{FF2B5EF4-FFF2-40B4-BE49-F238E27FC236}">
              <a16:creationId xmlns:a16="http://schemas.microsoft.com/office/drawing/2014/main" id="{820CBA67-EFCD-4472-9644-FE790894A17E}"/>
            </a:ext>
          </a:extLst>
        </xdr:cNvPr>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8125" y="9725025"/>
          <a:ext cx="274320" cy="222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7</xdr:col>
      <xdr:colOff>515919</xdr:colOff>
      <xdr:row>86</xdr:row>
      <xdr:rowOff>33170</xdr:rowOff>
    </xdr:from>
    <xdr:ext cx="484076" cy="309181"/>
    <mc:AlternateContent xmlns:mc="http://schemas.openxmlformats.org/markup-compatibility/2006" xmlns:a14="http://schemas.microsoft.com/office/drawing/2010/main">
      <mc:Choice Requires="a14">
        <xdr:sp macro="" textlink="">
          <xdr:nvSpPr>
            <xdr:cNvPr id="2" name="Object 5">
              <a:extLst>
                <a:ext uri="{FF2B5EF4-FFF2-40B4-BE49-F238E27FC236}">
                  <a16:creationId xmlns:a16="http://schemas.microsoft.com/office/drawing/2014/main" id="{B31972C2-A667-4C73-AAFA-3D0C8F6207E4}"/>
                </a:ext>
              </a:extLst>
            </xdr:cNvPr>
            <xdr:cNvSpPr txBox="1"/>
          </xdr:nvSpPr>
          <xdr:spPr>
            <a:xfrm>
              <a:off x="7859694" y="17854445"/>
              <a:ext cx="484076" cy="309181"/>
            </a:xfrm>
            <a:prstGeom prst="rect">
              <a:avLst/>
            </a:prstGeom>
          </xdr:spPr>
          <xdr:txBody>
            <a:bodyPr wrap="none">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b="1" i="1">
                            <a:solidFill>
                              <a:srgbClr val="002060"/>
                            </a:solidFill>
                            <a:latin typeface="Cambria Math" panose="02040503050406030204" pitchFamily="18" charset="0"/>
                          </a:rPr>
                        </m:ctrlPr>
                      </m:sSubSupPr>
                      <m:e>
                        <m:acc>
                          <m:accPr>
                            <m:chr m:val="̈"/>
                            <m:ctrlPr>
                              <a:rPr lang="en-US" b="1" i="1">
                                <a:solidFill>
                                  <a:srgbClr val="002060"/>
                                </a:solidFill>
                                <a:latin typeface="Cambria Math" panose="02040503050406030204" pitchFamily="18" charset="0"/>
                              </a:rPr>
                            </m:ctrlPr>
                          </m:accPr>
                          <m:e>
                            <m:r>
                              <a:rPr lang="en-US" b="1" i="0">
                                <a:solidFill>
                                  <a:srgbClr val="002060"/>
                                </a:solidFill>
                                <a:latin typeface="Cambria Math" panose="02040503050406030204" pitchFamily="18" charset="0"/>
                              </a:rPr>
                              <m:t>𝐚</m:t>
                            </m:r>
                          </m:e>
                        </m:acc>
                      </m:e>
                      <m:sub>
                        <m:r>
                          <a:rPr lang="en-US" b="1" i="1">
                            <a:solidFill>
                              <a:srgbClr val="002060"/>
                            </a:solidFill>
                            <a:latin typeface="Cambria Math" panose="02040503050406030204" pitchFamily="18" charset="0"/>
                          </a:rPr>
                          <m:t>𝟕𝟔</m:t>
                        </m:r>
                      </m:sub>
                      <m:sup>
                        <m:d>
                          <m:dPr>
                            <m:ctrlPr>
                              <a:rPr lang="en-US" b="1" i="1">
                                <a:solidFill>
                                  <a:srgbClr val="002060"/>
                                </a:solidFill>
                                <a:latin typeface="Cambria Math" panose="02040503050406030204" pitchFamily="18" charset="0"/>
                              </a:rPr>
                            </m:ctrlPr>
                          </m:dPr>
                          <m:e>
                            <m:r>
                              <a:rPr lang="en-US" b="1" i="1">
                                <a:solidFill>
                                  <a:srgbClr val="002060"/>
                                </a:solidFill>
                                <a:latin typeface="Cambria Math" panose="02040503050406030204" pitchFamily="18" charset="0"/>
                              </a:rPr>
                              <m:t>𝟏𝟐</m:t>
                            </m:r>
                          </m:e>
                        </m:d>
                      </m:sup>
                    </m:sSubSup>
                  </m:oMath>
                </m:oMathPara>
              </a14:m>
              <a:endParaRPr lang="en-US" b="1">
                <a:solidFill>
                  <a:srgbClr val="002060"/>
                </a:solidFill>
              </a:endParaRPr>
            </a:p>
          </xdr:txBody>
        </xdr:sp>
      </mc:Choice>
      <mc:Fallback xmlns="">
        <xdr:sp macro="" textlink="">
          <xdr:nvSpPr>
            <xdr:cNvPr id="2" name="Object 5">
              <a:extLst>
                <a:ext uri="{FF2B5EF4-FFF2-40B4-BE49-F238E27FC236}">
                  <a16:creationId xmlns:a16="http://schemas.microsoft.com/office/drawing/2014/main" id="{B31972C2-A667-4C73-AAFA-3D0C8F6207E4}"/>
                </a:ext>
              </a:extLst>
            </xdr:cNvPr>
            <xdr:cNvSpPr txBox="1"/>
          </xdr:nvSpPr>
          <xdr:spPr>
            <a:xfrm>
              <a:off x="7859694" y="17854445"/>
              <a:ext cx="484076" cy="309181"/>
            </a:xfrm>
            <a:prstGeom prst="rect">
              <a:avLst/>
            </a:prstGeom>
          </xdr:spPr>
          <xdr:txBody>
            <a:bodyPr wrap="none">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𝐚 ̈_𝟕𝟔^((𝟏𝟐) )</a:t>
              </a:r>
              <a:endParaRPr lang="en-US" b="1">
                <a:solidFill>
                  <a:srgbClr val="002060"/>
                </a:solidFill>
              </a:endParaRPr>
            </a:p>
          </xdr:txBody>
        </xdr:sp>
      </mc:Fallback>
    </mc:AlternateContent>
    <xdr:clientData/>
  </xdr:oneCellAnchor>
  <xdr:oneCellAnchor>
    <xdr:from>
      <xdr:col>6</xdr:col>
      <xdr:colOff>722108</xdr:colOff>
      <xdr:row>86</xdr:row>
      <xdr:rowOff>18825</xdr:rowOff>
    </xdr:from>
    <xdr:ext cx="466747" cy="355507"/>
    <mc:AlternateContent xmlns:mc="http://schemas.openxmlformats.org/markup-compatibility/2006" xmlns:a14="http://schemas.microsoft.com/office/drawing/2010/main">
      <mc:Choice Requires="a14">
        <xdr:sp macro="" textlink="">
          <xdr:nvSpPr>
            <xdr:cNvPr id="3" name="Object 4">
              <a:extLst>
                <a:ext uri="{FF2B5EF4-FFF2-40B4-BE49-F238E27FC236}">
                  <a16:creationId xmlns:a16="http://schemas.microsoft.com/office/drawing/2014/main" id="{DEAC40ED-18D5-45BC-980D-DA992779A6B4}"/>
                </a:ext>
              </a:extLst>
            </xdr:cNvPr>
            <xdr:cNvSpPr txBox="1"/>
          </xdr:nvSpPr>
          <xdr:spPr>
            <a:xfrm>
              <a:off x="6970508" y="17840100"/>
              <a:ext cx="466747" cy="355507"/>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b="1" i="1">
                            <a:solidFill>
                              <a:srgbClr val="002060"/>
                            </a:solidFill>
                            <a:latin typeface="Cambria Math" panose="02040503050406030204" pitchFamily="18" charset="0"/>
                          </a:rPr>
                        </m:ctrlPr>
                      </m:sSubSupPr>
                      <m:e>
                        <m:acc>
                          <m:accPr>
                            <m:chr m:val="̈"/>
                            <m:ctrlPr>
                              <a:rPr lang="en-US" b="1" i="1">
                                <a:solidFill>
                                  <a:srgbClr val="002060"/>
                                </a:solidFill>
                                <a:latin typeface="Cambria Math" panose="02040503050406030204" pitchFamily="18" charset="0"/>
                              </a:rPr>
                            </m:ctrlPr>
                          </m:accPr>
                          <m:e>
                            <m:r>
                              <a:rPr lang="en-US" b="1" i="0">
                                <a:solidFill>
                                  <a:srgbClr val="002060"/>
                                </a:solidFill>
                                <a:latin typeface="Cambria Math" panose="02040503050406030204" pitchFamily="18" charset="0"/>
                              </a:rPr>
                              <m:t>𝐚</m:t>
                            </m:r>
                          </m:e>
                        </m:acc>
                      </m:e>
                      <m:sub>
                        <m:r>
                          <a:rPr lang="en-US" b="1" i="1">
                            <a:solidFill>
                              <a:srgbClr val="002060"/>
                            </a:solidFill>
                            <a:latin typeface="Cambria Math" panose="02040503050406030204" pitchFamily="18" charset="0"/>
                          </a:rPr>
                          <m:t>𝟔𝟓</m:t>
                        </m:r>
                      </m:sub>
                      <m:sup>
                        <m:d>
                          <m:dPr>
                            <m:ctrlPr>
                              <a:rPr lang="en-US" b="1" i="1">
                                <a:solidFill>
                                  <a:srgbClr val="002060"/>
                                </a:solidFill>
                                <a:latin typeface="Cambria Math" panose="02040503050406030204" pitchFamily="18" charset="0"/>
                              </a:rPr>
                            </m:ctrlPr>
                          </m:dPr>
                          <m:e>
                            <m:r>
                              <a:rPr lang="en-US" b="1" i="1">
                                <a:solidFill>
                                  <a:srgbClr val="002060"/>
                                </a:solidFill>
                                <a:latin typeface="Cambria Math" panose="02040503050406030204" pitchFamily="18" charset="0"/>
                              </a:rPr>
                              <m:t>𝟏𝟐</m:t>
                            </m:r>
                          </m:e>
                        </m:d>
                      </m:sup>
                    </m:sSubSup>
                  </m:oMath>
                </m:oMathPara>
              </a14:m>
              <a:endParaRPr lang="en-US" b="1">
                <a:solidFill>
                  <a:srgbClr val="002060"/>
                </a:solidFill>
              </a:endParaRPr>
            </a:p>
          </xdr:txBody>
        </xdr:sp>
      </mc:Choice>
      <mc:Fallback xmlns="">
        <xdr:sp macro="" textlink="">
          <xdr:nvSpPr>
            <xdr:cNvPr id="3" name="Object 4">
              <a:extLst>
                <a:ext uri="{FF2B5EF4-FFF2-40B4-BE49-F238E27FC236}">
                  <a16:creationId xmlns:a16="http://schemas.microsoft.com/office/drawing/2014/main" id="{DEAC40ED-18D5-45BC-980D-DA992779A6B4}"/>
                </a:ext>
              </a:extLst>
            </xdr:cNvPr>
            <xdr:cNvSpPr txBox="1"/>
          </xdr:nvSpPr>
          <xdr:spPr>
            <a:xfrm>
              <a:off x="6970508" y="17840100"/>
              <a:ext cx="466747" cy="355507"/>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𝐚 ̈_𝟔𝟓^((𝟏𝟐) )</a:t>
              </a:r>
              <a:endParaRPr lang="en-US" b="1">
                <a:solidFill>
                  <a:srgbClr val="002060"/>
                </a:solidFill>
              </a:endParaRPr>
            </a:p>
          </xdr:txBody>
        </xdr:sp>
      </mc:Fallback>
    </mc:AlternateContent>
    <xdr:clientData/>
  </xdr:oneCellAnchor>
  <xdr:oneCellAnchor>
    <xdr:from>
      <xdr:col>3</xdr:col>
      <xdr:colOff>1071283</xdr:colOff>
      <xdr:row>86</xdr:row>
      <xdr:rowOff>43031</xdr:rowOff>
    </xdr:from>
    <xdr:ext cx="408880" cy="366296"/>
    <mc:AlternateContent xmlns:mc="http://schemas.openxmlformats.org/markup-compatibility/2006" xmlns:a14="http://schemas.microsoft.com/office/drawing/2010/main">
      <mc:Choice Requires="a14">
        <xdr:sp macro="" textlink="">
          <xdr:nvSpPr>
            <xdr:cNvPr id="4" name="Object 4">
              <a:extLst>
                <a:ext uri="{FF2B5EF4-FFF2-40B4-BE49-F238E27FC236}">
                  <a16:creationId xmlns:a16="http://schemas.microsoft.com/office/drawing/2014/main" id="{799378A5-9812-4637-B9CA-CD71038A36D5}"/>
                </a:ext>
              </a:extLst>
            </xdr:cNvPr>
            <xdr:cNvSpPr txBox="1"/>
          </xdr:nvSpPr>
          <xdr:spPr>
            <a:xfrm>
              <a:off x="3671608" y="17864306"/>
              <a:ext cx="408880" cy="366296"/>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b="1" i="1">
                            <a:solidFill>
                              <a:srgbClr val="002060"/>
                            </a:solidFill>
                            <a:latin typeface="Cambria Math" panose="02040503050406030204" pitchFamily="18" charset="0"/>
                          </a:rPr>
                        </m:ctrlPr>
                      </m:sSubSupPr>
                      <m:e>
                        <m:acc>
                          <m:accPr>
                            <m:chr m:val="̈"/>
                            <m:ctrlPr>
                              <a:rPr lang="en-US" b="1" i="1">
                                <a:solidFill>
                                  <a:srgbClr val="002060"/>
                                </a:solidFill>
                                <a:latin typeface="Cambria Math" panose="02040503050406030204" pitchFamily="18" charset="0"/>
                              </a:rPr>
                            </m:ctrlPr>
                          </m:accPr>
                          <m:e>
                            <m:r>
                              <a:rPr lang="en-US" b="1" i="0">
                                <a:solidFill>
                                  <a:srgbClr val="002060"/>
                                </a:solidFill>
                                <a:latin typeface="Cambria Math" panose="02040503050406030204" pitchFamily="18" charset="0"/>
                              </a:rPr>
                              <m:t>𝐚</m:t>
                            </m:r>
                          </m:e>
                        </m:acc>
                      </m:e>
                      <m:sub>
                        <m:r>
                          <a:rPr lang="en-US" b="1" i="1">
                            <a:solidFill>
                              <a:srgbClr val="002060"/>
                            </a:solidFill>
                            <a:latin typeface="Cambria Math" panose="02040503050406030204" pitchFamily="18" charset="0"/>
                          </a:rPr>
                          <m:t>𝟓𝟓</m:t>
                        </m:r>
                      </m:sub>
                      <m:sup>
                        <m:d>
                          <m:dPr>
                            <m:ctrlPr>
                              <a:rPr lang="en-US" b="1" i="1">
                                <a:solidFill>
                                  <a:srgbClr val="002060"/>
                                </a:solidFill>
                                <a:latin typeface="Cambria Math" panose="02040503050406030204" pitchFamily="18" charset="0"/>
                              </a:rPr>
                            </m:ctrlPr>
                          </m:dPr>
                          <m:e>
                            <m:r>
                              <a:rPr lang="en-US" b="1" i="1">
                                <a:solidFill>
                                  <a:srgbClr val="002060"/>
                                </a:solidFill>
                                <a:latin typeface="Cambria Math" panose="02040503050406030204" pitchFamily="18" charset="0"/>
                              </a:rPr>
                              <m:t>𝟏𝟐</m:t>
                            </m:r>
                          </m:e>
                        </m:d>
                      </m:sup>
                    </m:sSubSup>
                  </m:oMath>
                </m:oMathPara>
              </a14:m>
              <a:endParaRPr lang="en-US" b="1">
                <a:solidFill>
                  <a:srgbClr val="002060"/>
                </a:solidFill>
              </a:endParaRPr>
            </a:p>
          </xdr:txBody>
        </xdr:sp>
      </mc:Choice>
      <mc:Fallback xmlns="">
        <xdr:sp macro="" textlink="">
          <xdr:nvSpPr>
            <xdr:cNvPr id="4" name="Object 4">
              <a:extLst>
                <a:ext uri="{FF2B5EF4-FFF2-40B4-BE49-F238E27FC236}">
                  <a16:creationId xmlns:a16="http://schemas.microsoft.com/office/drawing/2014/main" id="{799378A5-9812-4637-B9CA-CD71038A36D5}"/>
                </a:ext>
              </a:extLst>
            </xdr:cNvPr>
            <xdr:cNvSpPr txBox="1"/>
          </xdr:nvSpPr>
          <xdr:spPr>
            <a:xfrm>
              <a:off x="3671608" y="17864306"/>
              <a:ext cx="408880" cy="366296"/>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𝐚 ̈_𝟓𝟓^((𝟏𝟐) )</a:t>
              </a:r>
              <a:endParaRPr lang="en-US" b="1">
                <a:solidFill>
                  <a:srgbClr val="002060"/>
                </a:solidFill>
              </a:endParaRPr>
            </a:p>
          </xdr:txBody>
        </xdr:sp>
      </mc:Fallback>
    </mc:AlternateContent>
    <xdr:clientData/>
  </xdr:oneCellAnchor>
  <xdr:oneCellAnchor>
    <xdr:from>
      <xdr:col>5</xdr:col>
      <xdr:colOff>610945</xdr:colOff>
      <xdr:row>86</xdr:row>
      <xdr:rowOff>54685</xdr:rowOff>
    </xdr:from>
    <xdr:ext cx="477505" cy="361622"/>
    <mc:AlternateContent xmlns:mc="http://schemas.openxmlformats.org/markup-compatibility/2006" xmlns:a14="http://schemas.microsoft.com/office/drawing/2010/main">
      <mc:Choice Requires="a14">
        <xdr:sp macro="" textlink="">
          <xdr:nvSpPr>
            <xdr:cNvPr id="5" name="Object 4">
              <a:extLst>
                <a:ext uri="{FF2B5EF4-FFF2-40B4-BE49-F238E27FC236}">
                  <a16:creationId xmlns:a16="http://schemas.microsoft.com/office/drawing/2014/main" id="{02957894-5573-4350-912A-C0B8A123D404}"/>
                </a:ext>
              </a:extLst>
            </xdr:cNvPr>
            <xdr:cNvSpPr txBox="1"/>
          </xdr:nvSpPr>
          <xdr:spPr>
            <a:xfrm>
              <a:off x="5582995" y="17875960"/>
              <a:ext cx="477505" cy="361622"/>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b="1" i="1">
                            <a:solidFill>
                              <a:srgbClr val="002060"/>
                            </a:solidFill>
                            <a:latin typeface="Cambria Math" panose="02040503050406030204" pitchFamily="18" charset="0"/>
                          </a:rPr>
                        </m:ctrlPr>
                      </m:sSubSupPr>
                      <m:e>
                        <m:acc>
                          <m:accPr>
                            <m:chr m:val="̈"/>
                            <m:ctrlPr>
                              <a:rPr lang="en-US" b="1" i="1">
                                <a:solidFill>
                                  <a:srgbClr val="002060"/>
                                </a:solidFill>
                                <a:latin typeface="Cambria Math" panose="02040503050406030204" pitchFamily="18" charset="0"/>
                              </a:rPr>
                            </m:ctrlPr>
                          </m:accPr>
                          <m:e>
                            <m:r>
                              <a:rPr lang="en-US" b="1" i="0">
                                <a:solidFill>
                                  <a:srgbClr val="002060"/>
                                </a:solidFill>
                                <a:latin typeface="Cambria Math" panose="02040503050406030204" pitchFamily="18" charset="0"/>
                              </a:rPr>
                              <m:t>𝐚</m:t>
                            </m:r>
                          </m:e>
                        </m:acc>
                      </m:e>
                      <m:sub>
                        <m:r>
                          <a:rPr lang="en-US" b="1" i="1">
                            <a:solidFill>
                              <a:srgbClr val="002060"/>
                            </a:solidFill>
                            <a:latin typeface="Cambria Math" panose="02040503050406030204" pitchFamily="18" charset="0"/>
                          </a:rPr>
                          <m:t>𝟔𝟏</m:t>
                        </m:r>
                      </m:sub>
                      <m:sup>
                        <m:d>
                          <m:dPr>
                            <m:ctrlPr>
                              <a:rPr lang="en-US" b="1" i="1">
                                <a:solidFill>
                                  <a:srgbClr val="002060"/>
                                </a:solidFill>
                                <a:latin typeface="Cambria Math" panose="02040503050406030204" pitchFamily="18" charset="0"/>
                              </a:rPr>
                            </m:ctrlPr>
                          </m:dPr>
                          <m:e>
                            <m:r>
                              <a:rPr lang="en-US" b="1" i="1">
                                <a:solidFill>
                                  <a:srgbClr val="002060"/>
                                </a:solidFill>
                                <a:latin typeface="Cambria Math" panose="02040503050406030204" pitchFamily="18" charset="0"/>
                              </a:rPr>
                              <m:t>𝟏𝟐</m:t>
                            </m:r>
                          </m:e>
                        </m:d>
                      </m:sup>
                    </m:sSubSup>
                  </m:oMath>
                </m:oMathPara>
              </a14:m>
              <a:endParaRPr lang="en-US" b="1">
                <a:solidFill>
                  <a:srgbClr val="002060"/>
                </a:solidFill>
              </a:endParaRPr>
            </a:p>
          </xdr:txBody>
        </xdr:sp>
      </mc:Choice>
      <mc:Fallback xmlns="">
        <xdr:sp macro="" textlink="">
          <xdr:nvSpPr>
            <xdr:cNvPr id="5" name="Object 4">
              <a:extLst>
                <a:ext uri="{FF2B5EF4-FFF2-40B4-BE49-F238E27FC236}">
                  <a16:creationId xmlns:a16="http://schemas.microsoft.com/office/drawing/2014/main" id="{02957894-5573-4350-912A-C0B8A123D404}"/>
                </a:ext>
              </a:extLst>
            </xdr:cNvPr>
            <xdr:cNvSpPr txBox="1"/>
          </xdr:nvSpPr>
          <xdr:spPr>
            <a:xfrm>
              <a:off x="5582995" y="17875960"/>
              <a:ext cx="477505" cy="361622"/>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𝐚 ̈_𝟔𝟏^((𝟏𝟐) )</a:t>
              </a:r>
              <a:endParaRPr lang="en-US" b="1">
                <a:solidFill>
                  <a:srgbClr val="002060"/>
                </a:solidFill>
              </a:endParaRPr>
            </a:p>
          </xdr:txBody>
        </xdr:sp>
      </mc:Fallback>
    </mc:AlternateContent>
    <xdr:clientData/>
  </xdr:oneCellAnchor>
  <xdr:oneCellAnchor>
    <xdr:from>
      <xdr:col>4</xdr:col>
      <xdr:colOff>493059</xdr:colOff>
      <xdr:row>86</xdr:row>
      <xdr:rowOff>54684</xdr:rowOff>
    </xdr:from>
    <xdr:ext cx="397083" cy="314735"/>
    <mc:AlternateContent xmlns:mc="http://schemas.openxmlformats.org/markup-compatibility/2006" xmlns:a14="http://schemas.microsoft.com/office/drawing/2010/main">
      <mc:Choice Requires="a14">
        <xdr:sp macro="" textlink="">
          <xdr:nvSpPr>
            <xdr:cNvPr id="6" name="Object 4">
              <a:extLst>
                <a:ext uri="{FF2B5EF4-FFF2-40B4-BE49-F238E27FC236}">
                  <a16:creationId xmlns:a16="http://schemas.microsoft.com/office/drawing/2014/main" id="{C668AB41-4F17-4119-8204-449A8A5F6BF0}"/>
                </a:ext>
              </a:extLst>
            </xdr:cNvPr>
            <xdr:cNvSpPr txBox="1"/>
          </xdr:nvSpPr>
          <xdr:spPr>
            <a:xfrm flipH="1">
              <a:off x="4550709" y="17875959"/>
              <a:ext cx="397083" cy="314735"/>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b="1" i="1">
                            <a:solidFill>
                              <a:srgbClr val="002060"/>
                            </a:solidFill>
                            <a:latin typeface="Cambria Math" panose="02040503050406030204" pitchFamily="18" charset="0"/>
                          </a:rPr>
                        </m:ctrlPr>
                      </m:sSubSupPr>
                      <m:e>
                        <m:acc>
                          <m:accPr>
                            <m:chr m:val="̈"/>
                            <m:ctrlPr>
                              <a:rPr lang="en-US" b="1" i="1">
                                <a:solidFill>
                                  <a:srgbClr val="002060"/>
                                </a:solidFill>
                                <a:latin typeface="Cambria Math" panose="02040503050406030204" pitchFamily="18" charset="0"/>
                              </a:rPr>
                            </m:ctrlPr>
                          </m:accPr>
                          <m:e>
                            <m:r>
                              <a:rPr lang="en-US" b="1" i="0">
                                <a:solidFill>
                                  <a:srgbClr val="002060"/>
                                </a:solidFill>
                                <a:latin typeface="Cambria Math" panose="02040503050406030204" pitchFamily="18" charset="0"/>
                              </a:rPr>
                              <m:t>𝐚</m:t>
                            </m:r>
                          </m:e>
                        </m:acc>
                      </m:e>
                      <m:sub>
                        <m:r>
                          <a:rPr lang="en-US" b="1" i="1">
                            <a:solidFill>
                              <a:srgbClr val="002060"/>
                            </a:solidFill>
                            <a:latin typeface="Cambria Math" panose="02040503050406030204" pitchFamily="18" charset="0"/>
                          </a:rPr>
                          <m:t>𝟔𝟎</m:t>
                        </m:r>
                      </m:sub>
                      <m:sup>
                        <m:d>
                          <m:dPr>
                            <m:ctrlPr>
                              <a:rPr lang="en-US" b="1" i="1">
                                <a:solidFill>
                                  <a:srgbClr val="002060"/>
                                </a:solidFill>
                                <a:latin typeface="Cambria Math" panose="02040503050406030204" pitchFamily="18" charset="0"/>
                              </a:rPr>
                            </m:ctrlPr>
                          </m:dPr>
                          <m:e>
                            <m:r>
                              <a:rPr lang="en-US" b="1" i="1">
                                <a:solidFill>
                                  <a:srgbClr val="002060"/>
                                </a:solidFill>
                                <a:latin typeface="Cambria Math" panose="02040503050406030204" pitchFamily="18" charset="0"/>
                              </a:rPr>
                              <m:t>𝟏𝟐</m:t>
                            </m:r>
                          </m:e>
                        </m:d>
                      </m:sup>
                    </m:sSubSup>
                  </m:oMath>
                </m:oMathPara>
              </a14:m>
              <a:endParaRPr lang="en-US" b="1">
                <a:solidFill>
                  <a:srgbClr val="002060"/>
                </a:solidFill>
              </a:endParaRPr>
            </a:p>
          </xdr:txBody>
        </xdr:sp>
      </mc:Choice>
      <mc:Fallback xmlns="">
        <xdr:sp macro="" textlink="">
          <xdr:nvSpPr>
            <xdr:cNvPr id="6" name="Object 4">
              <a:extLst>
                <a:ext uri="{FF2B5EF4-FFF2-40B4-BE49-F238E27FC236}">
                  <a16:creationId xmlns:a16="http://schemas.microsoft.com/office/drawing/2014/main" id="{C668AB41-4F17-4119-8204-449A8A5F6BF0}"/>
                </a:ext>
              </a:extLst>
            </xdr:cNvPr>
            <xdr:cNvSpPr txBox="1"/>
          </xdr:nvSpPr>
          <xdr:spPr>
            <a:xfrm flipH="1">
              <a:off x="4550709" y="17875959"/>
              <a:ext cx="397083" cy="314735"/>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𝐚 ̈_𝟔𝟎^((𝟏𝟐) )</a:t>
              </a:r>
              <a:endParaRPr lang="en-US" b="1">
                <a:solidFill>
                  <a:srgbClr val="002060"/>
                </a:solidFill>
              </a:endParaRPr>
            </a:p>
          </xdr:txBody>
        </xdr:sp>
      </mc:Fallback>
    </mc:AlternateContent>
    <xdr:clientData/>
  </xdr:oneCellAnchor>
  <xdr:oneCellAnchor>
    <xdr:from>
      <xdr:col>2</xdr:col>
      <xdr:colOff>167640</xdr:colOff>
      <xdr:row>91</xdr:row>
      <xdr:rowOff>182880</xdr:rowOff>
    </xdr:from>
    <xdr:ext cx="1402150" cy="284867"/>
    <mc:AlternateContent xmlns:mc="http://schemas.openxmlformats.org/markup-compatibility/2006" xmlns:a14="http://schemas.microsoft.com/office/drawing/2010/main">
      <mc:Choice Requires="a14">
        <xdr:sp macro="" textlink="">
          <xdr:nvSpPr>
            <xdr:cNvPr id="7" name="Object 4">
              <a:extLst>
                <a:ext uri="{FF2B5EF4-FFF2-40B4-BE49-F238E27FC236}">
                  <a16:creationId xmlns:a16="http://schemas.microsoft.com/office/drawing/2014/main" id="{3265E811-C991-471A-8DF4-314BA8F4CC30}"/>
                </a:ext>
              </a:extLst>
            </xdr:cNvPr>
            <xdr:cNvSpPr txBox="1"/>
          </xdr:nvSpPr>
          <xdr:spPr>
            <a:xfrm>
              <a:off x="1148715" y="19004280"/>
              <a:ext cx="1402150" cy="284867"/>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Pre>
                      <m:sPrePr>
                        <m:ctrlPr>
                          <a:rPr lang="en-US" b="1" i="1">
                            <a:solidFill>
                              <a:srgbClr val="002060"/>
                            </a:solidFill>
                            <a:latin typeface="Cambria Math" panose="02040503050406030204" pitchFamily="18" charset="0"/>
                          </a:rPr>
                        </m:ctrlPr>
                      </m:sPrePr>
                      <m:sub>
                        <m:r>
                          <a:rPr lang="en-US" b="1" i="1">
                            <a:solidFill>
                              <a:srgbClr val="002060"/>
                            </a:solidFill>
                            <a:latin typeface="Cambria Math" panose="02040503050406030204" pitchFamily="18" charset="0"/>
                          </a:rPr>
                          <m:t>𝒅</m:t>
                        </m:r>
                        <m:r>
                          <a:rPr lang="en-US" b="1" i="1">
                            <a:solidFill>
                              <a:srgbClr val="002060"/>
                            </a:solidFill>
                            <a:latin typeface="Cambria Math" panose="02040503050406030204" pitchFamily="18" charset="0"/>
                          </a:rPr>
                          <m:t>|</m:t>
                        </m:r>
                      </m:sub>
                      <m:sup>
                        <m:r>
                          <a:rPr lang="en-CA" b="1" i="1">
                            <a:solidFill>
                              <a:srgbClr val="002060"/>
                            </a:solidFill>
                            <a:latin typeface="Cambria Math" panose="02040503050406030204" pitchFamily="18" charset="0"/>
                          </a:rPr>
                          <m:t> </m:t>
                        </m:r>
                      </m:sup>
                      <m:e>
                        <m:sSubSup>
                          <m:sSubSupPr>
                            <m:ctrlPr>
                              <a:rPr lang="en-US" sz="1100" b="1" i="1">
                                <a:solidFill>
                                  <a:srgbClr val="002060"/>
                                </a:solidFill>
                                <a:effectLst/>
                                <a:latin typeface="Cambria Math" panose="02040503050406030204" pitchFamily="18" charset="0"/>
                                <a:ea typeface="+mn-ea"/>
                                <a:cs typeface="+mn-cs"/>
                              </a:rPr>
                            </m:ctrlPr>
                          </m:sSubSupPr>
                          <m:e>
                            <m:acc>
                              <m:accPr>
                                <m:chr m:val="̈"/>
                                <m:ctrlPr>
                                  <a:rPr lang="en-US" sz="1100" b="1" i="1">
                                    <a:solidFill>
                                      <a:srgbClr val="002060"/>
                                    </a:solidFill>
                                    <a:effectLst/>
                                    <a:latin typeface="Cambria Math" panose="02040503050406030204" pitchFamily="18" charset="0"/>
                                    <a:ea typeface="+mn-ea"/>
                                    <a:cs typeface="+mn-cs"/>
                                  </a:rPr>
                                </m:ctrlPr>
                              </m:accPr>
                              <m:e>
                                <m:r>
                                  <a:rPr lang="en-US" sz="1100" b="1" i="0">
                                    <a:solidFill>
                                      <a:srgbClr val="002060"/>
                                    </a:solidFill>
                                    <a:effectLst/>
                                    <a:latin typeface="Cambria Math" panose="02040503050406030204" pitchFamily="18" charset="0"/>
                                    <a:ea typeface="+mn-ea"/>
                                    <a:cs typeface="+mn-cs"/>
                                  </a:rPr>
                                  <m:t>𝐚</m:t>
                                </m:r>
                              </m:e>
                            </m:acc>
                          </m:e>
                          <m:sub>
                            <m:r>
                              <a:rPr lang="en-US" sz="1100" b="1" i="1">
                                <a:solidFill>
                                  <a:srgbClr val="002060"/>
                                </a:solidFill>
                                <a:effectLst/>
                                <a:latin typeface="Cambria Math" panose="02040503050406030204" pitchFamily="18" charset="0"/>
                                <a:ea typeface="+mn-ea"/>
                                <a:cs typeface="+mn-cs"/>
                              </a:rPr>
                              <m:t>𝒙</m:t>
                            </m:r>
                          </m:sub>
                          <m:sup>
                            <m:d>
                              <m:dPr>
                                <m:ctrlPr>
                                  <a:rPr lang="en-US" sz="1100" b="1" i="1">
                                    <a:solidFill>
                                      <a:srgbClr val="002060"/>
                                    </a:solidFill>
                                    <a:effectLst/>
                                    <a:latin typeface="Cambria Math" panose="02040503050406030204" pitchFamily="18" charset="0"/>
                                    <a:ea typeface="+mn-ea"/>
                                    <a:cs typeface="+mn-cs"/>
                                  </a:rPr>
                                </m:ctrlPr>
                              </m:dPr>
                              <m:e>
                                <m:r>
                                  <a:rPr lang="en-US" sz="1100" b="1" i="1">
                                    <a:solidFill>
                                      <a:srgbClr val="002060"/>
                                    </a:solidFill>
                                    <a:effectLst/>
                                    <a:latin typeface="Cambria Math" panose="02040503050406030204" pitchFamily="18" charset="0"/>
                                    <a:ea typeface="+mn-ea"/>
                                    <a:cs typeface="+mn-cs"/>
                                  </a:rPr>
                                  <m:t>𝟏𝟐</m:t>
                                </m:r>
                              </m:e>
                            </m:d>
                          </m:sup>
                        </m:sSubSup>
                      </m:e>
                    </m:sPre>
                  </m:oMath>
                </m:oMathPara>
              </a14:m>
              <a:endParaRPr lang="en-US" b="1">
                <a:solidFill>
                  <a:srgbClr val="002060"/>
                </a:solidFill>
              </a:endParaRPr>
            </a:p>
          </xdr:txBody>
        </xdr:sp>
      </mc:Choice>
      <mc:Fallback xmlns="">
        <xdr:sp macro="" textlink="">
          <xdr:nvSpPr>
            <xdr:cNvPr id="7" name="Object 4">
              <a:extLst>
                <a:ext uri="{FF2B5EF4-FFF2-40B4-BE49-F238E27FC236}">
                  <a16:creationId xmlns:a16="http://schemas.microsoft.com/office/drawing/2014/main" id="{3265E811-C991-471A-8DF4-314BA8F4CC30}"/>
                </a:ext>
              </a:extLst>
            </xdr:cNvPr>
            <xdr:cNvSpPr txBox="1"/>
          </xdr:nvSpPr>
          <xdr:spPr>
            <a:xfrm>
              <a:off x="1148715" y="19004280"/>
              <a:ext cx="1402150" cy="284867"/>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(_𝒅|</a:t>
              </a:r>
              <a:r>
                <a:rPr lang="en-CA" b="1" i="0">
                  <a:solidFill>
                    <a:srgbClr val="002060"/>
                  </a:solidFill>
                  <a:latin typeface="Cambria Math" panose="02040503050406030204" pitchFamily="18" charset="0"/>
                </a:rPr>
                <a:t>^ </a:t>
              </a:r>
              <a:r>
                <a:rPr lang="en-US" b="1" i="0">
                  <a:solidFill>
                    <a:srgbClr val="002060"/>
                  </a:solidFill>
                  <a:latin typeface="Cambria Math" panose="02040503050406030204" pitchFamily="18" charset="0"/>
                </a:rPr>
                <a:t>)</a:t>
              </a:r>
              <a:r>
                <a:rPr lang="en-US" sz="1100" b="1" i="0">
                  <a:solidFill>
                    <a:srgbClr val="002060"/>
                  </a:solidFill>
                  <a:effectLst/>
                  <a:latin typeface="Cambria Math" panose="02040503050406030204" pitchFamily="18" charset="0"/>
                  <a:ea typeface="+mn-ea"/>
                  <a:cs typeface="+mn-cs"/>
                </a:rPr>
                <a:t>𝐚 ̈_𝒙^((𝟏𝟐) ) </a:t>
              </a:r>
              <a:endParaRPr lang="en-US" b="1">
                <a:solidFill>
                  <a:srgbClr val="002060"/>
                </a:solidFill>
              </a:endParaRPr>
            </a:p>
          </xdr:txBody>
        </xdr:sp>
      </mc:Fallback>
    </mc:AlternateContent>
    <xdr:clientData/>
  </xdr:oneCellAnchor>
  <xdr:oneCellAnchor>
    <xdr:from>
      <xdr:col>2</xdr:col>
      <xdr:colOff>663388</xdr:colOff>
      <xdr:row>111</xdr:row>
      <xdr:rowOff>101301</xdr:rowOff>
    </xdr:from>
    <xdr:ext cx="491810" cy="424926"/>
    <mc:AlternateContent xmlns:mc="http://schemas.openxmlformats.org/markup-compatibility/2006" xmlns:a14="http://schemas.microsoft.com/office/drawing/2010/main">
      <mc:Choice Requires="a14">
        <xdr:sp macro="" textlink="">
          <xdr:nvSpPr>
            <xdr:cNvPr id="8" name="Object 5">
              <a:extLst>
                <a:ext uri="{FF2B5EF4-FFF2-40B4-BE49-F238E27FC236}">
                  <a16:creationId xmlns:a16="http://schemas.microsoft.com/office/drawing/2014/main" id="{482C2586-3297-4406-A451-506740A07616}"/>
                </a:ext>
              </a:extLst>
            </xdr:cNvPr>
            <xdr:cNvSpPr txBox="1"/>
          </xdr:nvSpPr>
          <xdr:spPr>
            <a:xfrm>
              <a:off x="1644463" y="22923201"/>
              <a:ext cx="491810" cy="424926"/>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i="1">
                            <a:solidFill>
                              <a:srgbClr val="002060"/>
                            </a:solidFill>
                            <a:latin typeface="Cambria Math" panose="02040503050406030204" pitchFamily="18" charset="0"/>
                          </a:rPr>
                        </m:ctrlPr>
                      </m:sSubSupPr>
                      <m:e>
                        <m:acc>
                          <m:accPr>
                            <m:chr m:val="̈"/>
                            <m:ctrlPr>
                              <a:rPr lang="en-US" i="1">
                                <a:solidFill>
                                  <a:srgbClr val="002060"/>
                                </a:solidFill>
                                <a:latin typeface="Cambria Math" panose="02040503050406030204" pitchFamily="18" charset="0"/>
                              </a:rPr>
                            </m:ctrlPr>
                          </m:accPr>
                          <m:e>
                            <m:r>
                              <m:rPr>
                                <m:sty m:val="p"/>
                              </m:rPr>
                              <a:rPr lang="en-US" i="0">
                                <a:solidFill>
                                  <a:srgbClr val="002060"/>
                                </a:solidFill>
                                <a:latin typeface="Cambria Math" panose="02040503050406030204" pitchFamily="18" charset="0"/>
                              </a:rPr>
                              <m:t>a</m:t>
                            </m:r>
                          </m:e>
                        </m:acc>
                      </m:e>
                      <m:sub>
                        <m:r>
                          <a:rPr lang="en-US" b="0" i="1">
                            <a:solidFill>
                              <a:srgbClr val="002060"/>
                            </a:solidFill>
                            <a:latin typeface="Cambria Math" panose="02040503050406030204" pitchFamily="18" charset="0"/>
                          </a:rPr>
                          <m:t>76</m:t>
                        </m:r>
                      </m:sub>
                      <m:sup>
                        <m:d>
                          <m:dPr>
                            <m:ctrlPr>
                              <a:rPr lang="en-US" i="1">
                                <a:solidFill>
                                  <a:srgbClr val="002060"/>
                                </a:solidFill>
                                <a:latin typeface="Cambria Math" panose="02040503050406030204" pitchFamily="18" charset="0"/>
                              </a:rPr>
                            </m:ctrlPr>
                          </m:dPr>
                          <m:e>
                            <m:r>
                              <a:rPr lang="en-US" i="1">
                                <a:solidFill>
                                  <a:srgbClr val="002060"/>
                                </a:solidFill>
                                <a:latin typeface="Cambria Math" panose="02040503050406030204" pitchFamily="18" charset="0"/>
                              </a:rPr>
                              <m:t>12</m:t>
                            </m:r>
                          </m:e>
                        </m:d>
                      </m:sup>
                    </m:sSubSup>
                  </m:oMath>
                </m:oMathPara>
              </a14:m>
              <a:endParaRPr lang="en-US">
                <a:solidFill>
                  <a:srgbClr val="002060"/>
                </a:solidFill>
              </a:endParaRPr>
            </a:p>
          </xdr:txBody>
        </xdr:sp>
      </mc:Choice>
      <mc:Fallback xmlns="">
        <xdr:sp macro="" textlink="">
          <xdr:nvSpPr>
            <xdr:cNvPr id="8" name="Object 5">
              <a:extLst>
                <a:ext uri="{FF2B5EF4-FFF2-40B4-BE49-F238E27FC236}">
                  <a16:creationId xmlns:a16="http://schemas.microsoft.com/office/drawing/2014/main" id="{482C2586-3297-4406-A451-506740A07616}"/>
                </a:ext>
              </a:extLst>
            </xdr:cNvPr>
            <xdr:cNvSpPr txBox="1"/>
          </xdr:nvSpPr>
          <xdr:spPr>
            <a:xfrm>
              <a:off x="1644463" y="22923201"/>
              <a:ext cx="491810" cy="424926"/>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i="0">
                  <a:solidFill>
                    <a:srgbClr val="002060"/>
                  </a:solidFill>
                  <a:latin typeface="Cambria Math" panose="02040503050406030204" pitchFamily="18" charset="0"/>
                </a:rPr>
                <a:t>a ̈_</a:t>
              </a:r>
              <a:r>
                <a:rPr lang="en-US" b="0" i="0">
                  <a:solidFill>
                    <a:srgbClr val="002060"/>
                  </a:solidFill>
                  <a:latin typeface="Cambria Math" panose="02040503050406030204" pitchFamily="18" charset="0"/>
                </a:rPr>
                <a:t>76^((</a:t>
              </a:r>
              <a:r>
                <a:rPr lang="en-US" i="0">
                  <a:solidFill>
                    <a:srgbClr val="002060"/>
                  </a:solidFill>
                  <a:latin typeface="Cambria Math" panose="02040503050406030204" pitchFamily="18" charset="0"/>
                </a:rPr>
                <a:t>12) )</a:t>
              </a:r>
              <a:endParaRPr lang="en-US">
                <a:solidFill>
                  <a:srgbClr val="002060"/>
                </a:solidFill>
              </a:endParaRPr>
            </a:p>
          </xdr:txBody>
        </xdr:sp>
      </mc:Fallback>
    </mc:AlternateContent>
    <xdr:clientData/>
  </xdr:oneCellAnchor>
  <xdr:oneCellAnchor>
    <xdr:from>
      <xdr:col>2</xdr:col>
      <xdr:colOff>667422</xdr:colOff>
      <xdr:row>109</xdr:row>
      <xdr:rowOff>114300</xdr:rowOff>
    </xdr:from>
    <xdr:ext cx="495905" cy="395169"/>
    <mc:AlternateContent xmlns:mc="http://schemas.openxmlformats.org/markup-compatibility/2006" xmlns:a14="http://schemas.microsoft.com/office/drawing/2010/main">
      <mc:Choice Requires="a14">
        <xdr:sp macro="" textlink="">
          <xdr:nvSpPr>
            <xdr:cNvPr id="9" name="Object 5">
              <a:extLst>
                <a:ext uri="{FF2B5EF4-FFF2-40B4-BE49-F238E27FC236}">
                  <a16:creationId xmlns:a16="http://schemas.microsoft.com/office/drawing/2014/main" id="{C2D77C92-3D03-46A9-988E-3C4CF59B0040}"/>
                </a:ext>
              </a:extLst>
            </xdr:cNvPr>
            <xdr:cNvSpPr txBox="1"/>
          </xdr:nvSpPr>
          <xdr:spPr>
            <a:xfrm>
              <a:off x="1648497" y="22536150"/>
              <a:ext cx="495905" cy="395169"/>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i="1">
                            <a:solidFill>
                              <a:srgbClr val="002060"/>
                            </a:solidFill>
                            <a:latin typeface="Cambria Math" panose="02040503050406030204" pitchFamily="18" charset="0"/>
                          </a:rPr>
                        </m:ctrlPr>
                      </m:sSubSupPr>
                      <m:e>
                        <m:acc>
                          <m:accPr>
                            <m:chr m:val="̈"/>
                            <m:ctrlPr>
                              <a:rPr lang="en-US" i="1">
                                <a:solidFill>
                                  <a:srgbClr val="002060"/>
                                </a:solidFill>
                                <a:latin typeface="Cambria Math" panose="02040503050406030204" pitchFamily="18" charset="0"/>
                              </a:rPr>
                            </m:ctrlPr>
                          </m:accPr>
                          <m:e>
                            <m:r>
                              <m:rPr>
                                <m:sty m:val="p"/>
                              </m:rPr>
                              <a:rPr lang="en-US" i="0">
                                <a:solidFill>
                                  <a:srgbClr val="002060"/>
                                </a:solidFill>
                                <a:latin typeface="Cambria Math" panose="02040503050406030204" pitchFamily="18" charset="0"/>
                              </a:rPr>
                              <m:t>a</m:t>
                            </m:r>
                          </m:e>
                        </m:acc>
                      </m:e>
                      <m:sub>
                        <m:r>
                          <a:rPr lang="en-US" b="0" i="1">
                            <a:solidFill>
                              <a:srgbClr val="002060"/>
                            </a:solidFill>
                            <a:latin typeface="Cambria Math" panose="02040503050406030204" pitchFamily="18" charset="0"/>
                          </a:rPr>
                          <m:t>61</m:t>
                        </m:r>
                      </m:sub>
                      <m:sup>
                        <m:d>
                          <m:dPr>
                            <m:ctrlPr>
                              <a:rPr lang="en-US" i="1">
                                <a:solidFill>
                                  <a:srgbClr val="002060"/>
                                </a:solidFill>
                                <a:latin typeface="Cambria Math" panose="02040503050406030204" pitchFamily="18" charset="0"/>
                              </a:rPr>
                            </m:ctrlPr>
                          </m:dPr>
                          <m:e>
                            <m:r>
                              <a:rPr lang="en-US" i="1">
                                <a:solidFill>
                                  <a:srgbClr val="002060"/>
                                </a:solidFill>
                                <a:latin typeface="Cambria Math" panose="02040503050406030204" pitchFamily="18" charset="0"/>
                              </a:rPr>
                              <m:t>12</m:t>
                            </m:r>
                          </m:e>
                        </m:d>
                      </m:sup>
                    </m:sSubSup>
                  </m:oMath>
                </m:oMathPara>
              </a14:m>
              <a:endParaRPr lang="en-US">
                <a:solidFill>
                  <a:srgbClr val="002060"/>
                </a:solidFill>
              </a:endParaRPr>
            </a:p>
          </xdr:txBody>
        </xdr:sp>
      </mc:Choice>
      <mc:Fallback xmlns="">
        <xdr:sp macro="" textlink="">
          <xdr:nvSpPr>
            <xdr:cNvPr id="9" name="Object 5">
              <a:extLst>
                <a:ext uri="{FF2B5EF4-FFF2-40B4-BE49-F238E27FC236}">
                  <a16:creationId xmlns:a16="http://schemas.microsoft.com/office/drawing/2014/main" id="{C2D77C92-3D03-46A9-988E-3C4CF59B0040}"/>
                </a:ext>
              </a:extLst>
            </xdr:cNvPr>
            <xdr:cNvSpPr txBox="1"/>
          </xdr:nvSpPr>
          <xdr:spPr>
            <a:xfrm>
              <a:off x="1648497" y="22536150"/>
              <a:ext cx="495905" cy="395169"/>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i="0">
                  <a:solidFill>
                    <a:srgbClr val="002060"/>
                  </a:solidFill>
                  <a:latin typeface="Cambria Math" panose="02040503050406030204" pitchFamily="18" charset="0"/>
                </a:rPr>
                <a:t>a ̈_</a:t>
              </a:r>
              <a:r>
                <a:rPr lang="en-US" b="0" i="0">
                  <a:solidFill>
                    <a:srgbClr val="002060"/>
                  </a:solidFill>
                  <a:latin typeface="Cambria Math" panose="02040503050406030204" pitchFamily="18" charset="0"/>
                </a:rPr>
                <a:t>61^((</a:t>
              </a:r>
              <a:r>
                <a:rPr lang="en-US" i="0">
                  <a:solidFill>
                    <a:srgbClr val="002060"/>
                  </a:solidFill>
                  <a:latin typeface="Cambria Math" panose="02040503050406030204" pitchFamily="18" charset="0"/>
                </a:rPr>
                <a:t>12) )</a:t>
              </a:r>
              <a:endParaRPr lang="en-US">
                <a:solidFill>
                  <a:srgbClr val="002060"/>
                </a:solidFill>
              </a:endParaRPr>
            </a:p>
          </xdr:txBody>
        </xdr:sp>
      </mc:Fallback>
    </mc:AlternateContent>
    <xdr:clientData/>
  </xdr:oneCellAnchor>
  <xdr:oneCellAnchor>
    <xdr:from>
      <xdr:col>2</xdr:col>
      <xdr:colOff>649493</xdr:colOff>
      <xdr:row>107</xdr:row>
      <xdr:rowOff>146125</xdr:rowOff>
    </xdr:from>
    <xdr:ext cx="495905" cy="450558"/>
    <mc:AlternateContent xmlns:mc="http://schemas.openxmlformats.org/markup-compatibility/2006" xmlns:a14="http://schemas.microsoft.com/office/drawing/2010/main">
      <mc:Choice Requires="a14">
        <xdr:sp macro="" textlink="">
          <xdr:nvSpPr>
            <xdr:cNvPr id="10" name="Object 5">
              <a:extLst>
                <a:ext uri="{FF2B5EF4-FFF2-40B4-BE49-F238E27FC236}">
                  <a16:creationId xmlns:a16="http://schemas.microsoft.com/office/drawing/2014/main" id="{D57F4061-3A00-4AD0-A42A-044A0C6C938E}"/>
                </a:ext>
              </a:extLst>
            </xdr:cNvPr>
            <xdr:cNvSpPr txBox="1"/>
          </xdr:nvSpPr>
          <xdr:spPr>
            <a:xfrm>
              <a:off x="1630568" y="22167925"/>
              <a:ext cx="495905" cy="450558"/>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b="1" i="1">
                            <a:solidFill>
                              <a:srgbClr val="002060"/>
                            </a:solidFill>
                            <a:latin typeface="Cambria Math" panose="02040503050406030204" pitchFamily="18" charset="0"/>
                          </a:rPr>
                        </m:ctrlPr>
                      </m:sSubSupPr>
                      <m:e>
                        <m:acc>
                          <m:accPr>
                            <m:chr m:val="̈"/>
                            <m:ctrlPr>
                              <a:rPr lang="en-US" b="1" i="1">
                                <a:solidFill>
                                  <a:srgbClr val="002060"/>
                                </a:solidFill>
                                <a:latin typeface="Cambria Math" panose="02040503050406030204" pitchFamily="18" charset="0"/>
                              </a:rPr>
                            </m:ctrlPr>
                          </m:accPr>
                          <m:e>
                            <m:r>
                              <a:rPr lang="en-US" b="1" i="0">
                                <a:solidFill>
                                  <a:srgbClr val="002060"/>
                                </a:solidFill>
                                <a:latin typeface="Cambria Math" panose="02040503050406030204" pitchFamily="18" charset="0"/>
                              </a:rPr>
                              <m:t>𝐚</m:t>
                            </m:r>
                          </m:e>
                        </m:acc>
                      </m:e>
                      <m:sub>
                        <m:r>
                          <a:rPr lang="en-US" b="1" i="1">
                            <a:solidFill>
                              <a:srgbClr val="002060"/>
                            </a:solidFill>
                            <a:latin typeface="Cambria Math" panose="02040503050406030204" pitchFamily="18" charset="0"/>
                          </a:rPr>
                          <m:t>𝟓𝟓</m:t>
                        </m:r>
                      </m:sub>
                      <m:sup>
                        <m:d>
                          <m:dPr>
                            <m:ctrlPr>
                              <a:rPr lang="en-US" b="1" i="1">
                                <a:solidFill>
                                  <a:srgbClr val="002060"/>
                                </a:solidFill>
                                <a:latin typeface="Cambria Math" panose="02040503050406030204" pitchFamily="18" charset="0"/>
                              </a:rPr>
                            </m:ctrlPr>
                          </m:dPr>
                          <m:e>
                            <m:r>
                              <a:rPr lang="en-US" b="1" i="1">
                                <a:solidFill>
                                  <a:srgbClr val="002060"/>
                                </a:solidFill>
                                <a:latin typeface="Cambria Math" panose="02040503050406030204" pitchFamily="18" charset="0"/>
                              </a:rPr>
                              <m:t>𝟏𝟐</m:t>
                            </m:r>
                          </m:e>
                        </m:d>
                      </m:sup>
                    </m:sSubSup>
                  </m:oMath>
                </m:oMathPara>
              </a14:m>
              <a:endParaRPr lang="en-US" b="1">
                <a:solidFill>
                  <a:srgbClr val="002060"/>
                </a:solidFill>
              </a:endParaRPr>
            </a:p>
          </xdr:txBody>
        </xdr:sp>
      </mc:Choice>
      <mc:Fallback xmlns="">
        <xdr:sp macro="" textlink="">
          <xdr:nvSpPr>
            <xdr:cNvPr id="10" name="Object 5">
              <a:extLst>
                <a:ext uri="{FF2B5EF4-FFF2-40B4-BE49-F238E27FC236}">
                  <a16:creationId xmlns:a16="http://schemas.microsoft.com/office/drawing/2014/main" id="{D57F4061-3A00-4AD0-A42A-044A0C6C938E}"/>
                </a:ext>
              </a:extLst>
            </xdr:cNvPr>
            <xdr:cNvSpPr txBox="1"/>
          </xdr:nvSpPr>
          <xdr:spPr>
            <a:xfrm>
              <a:off x="1630568" y="22167925"/>
              <a:ext cx="495905" cy="450558"/>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𝐚 ̈_𝟓𝟓^((𝟏𝟐) )</a:t>
              </a:r>
              <a:endParaRPr lang="en-US" b="1">
                <a:solidFill>
                  <a:srgbClr val="002060"/>
                </a:solidFill>
              </a:endParaRPr>
            </a:p>
          </xdr:txBody>
        </xdr:sp>
      </mc:Fallback>
    </mc:AlternateContent>
    <xdr:clientData/>
  </xdr:oneCellAnchor>
  <xdr:oneCellAnchor>
    <xdr:from>
      <xdr:col>2</xdr:col>
      <xdr:colOff>617668</xdr:colOff>
      <xdr:row>105</xdr:row>
      <xdr:rowOff>100405</xdr:rowOff>
    </xdr:from>
    <xdr:ext cx="742208" cy="365967"/>
    <mc:AlternateContent xmlns:mc="http://schemas.openxmlformats.org/markup-compatibility/2006" xmlns:a14="http://schemas.microsoft.com/office/drawing/2010/main">
      <mc:Choice Requires="a14">
        <xdr:sp macro="" textlink="">
          <xdr:nvSpPr>
            <xdr:cNvPr id="11" name="Object 4">
              <a:extLst>
                <a:ext uri="{FF2B5EF4-FFF2-40B4-BE49-F238E27FC236}">
                  <a16:creationId xmlns:a16="http://schemas.microsoft.com/office/drawing/2014/main" id="{C8FBEC1A-0782-4552-B347-5125F371D283}"/>
                </a:ext>
              </a:extLst>
            </xdr:cNvPr>
            <xdr:cNvSpPr txBox="1"/>
          </xdr:nvSpPr>
          <xdr:spPr>
            <a:xfrm>
              <a:off x="1598743" y="21722155"/>
              <a:ext cx="742208" cy="365967"/>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Pre>
                      <m:sPrePr>
                        <m:ctrlPr>
                          <a:rPr lang="en-US" b="1" i="1">
                            <a:solidFill>
                              <a:srgbClr val="002060"/>
                            </a:solidFill>
                            <a:latin typeface="Cambria Math" panose="02040503050406030204" pitchFamily="18" charset="0"/>
                          </a:rPr>
                        </m:ctrlPr>
                      </m:sPrePr>
                      <m:sub>
                        <m:r>
                          <a:rPr lang="en-US" b="1" i="1">
                            <a:solidFill>
                              <a:srgbClr val="002060"/>
                            </a:solidFill>
                            <a:latin typeface="Cambria Math" panose="02040503050406030204" pitchFamily="18" charset="0"/>
                          </a:rPr>
                          <m:t>𝟏𝟒</m:t>
                        </m:r>
                        <m:r>
                          <a:rPr lang="en-US" b="1" i="1">
                            <a:solidFill>
                              <a:srgbClr val="002060"/>
                            </a:solidFill>
                            <a:latin typeface="Cambria Math" panose="02040503050406030204" pitchFamily="18" charset="0"/>
                          </a:rPr>
                          <m:t>|</m:t>
                        </m:r>
                      </m:sub>
                      <m:sup>
                        <m:r>
                          <a:rPr lang="en-CA" b="1" i="1">
                            <a:solidFill>
                              <a:srgbClr val="002060"/>
                            </a:solidFill>
                            <a:latin typeface="Cambria Math" panose="02040503050406030204" pitchFamily="18" charset="0"/>
                          </a:rPr>
                          <m:t> </m:t>
                        </m:r>
                      </m:sup>
                      <m:e>
                        <m:sSubSup>
                          <m:sSubSupPr>
                            <m:ctrlPr>
                              <a:rPr lang="en-US" sz="1100" b="1" i="1">
                                <a:solidFill>
                                  <a:srgbClr val="002060"/>
                                </a:solidFill>
                                <a:effectLst/>
                                <a:latin typeface="Cambria Math" panose="02040503050406030204" pitchFamily="18" charset="0"/>
                                <a:ea typeface="+mn-ea"/>
                                <a:cs typeface="+mn-cs"/>
                              </a:rPr>
                            </m:ctrlPr>
                          </m:sSubSupPr>
                          <m:e>
                            <m:acc>
                              <m:accPr>
                                <m:chr m:val="̈"/>
                                <m:ctrlPr>
                                  <a:rPr lang="en-US" sz="1100" b="1" i="1">
                                    <a:solidFill>
                                      <a:srgbClr val="002060"/>
                                    </a:solidFill>
                                    <a:effectLst/>
                                    <a:latin typeface="Cambria Math" panose="02040503050406030204" pitchFamily="18" charset="0"/>
                                    <a:ea typeface="+mn-ea"/>
                                    <a:cs typeface="+mn-cs"/>
                                  </a:rPr>
                                </m:ctrlPr>
                              </m:accPr>
                              <m:e>
                                <m:r>
                                  <a:rPr lang="en-US" sz="1100" b="1" i="0">
                                    <a:solidFill>
                                      <a:srgbClr val="002060"/>
                                    </a:solidFill>
                                    <a:effectLst/>
                                    <a:latin typeface="Cambria Math" panose="02040503050406030204" pitchFamily="18" charset="0"/>
                                    <a:ea typeface="+mn-ea"/>
                                    <a:cs typeface="+mn-cs"/>
                                  </a:rPr>
                                  <m:t>𝐚</m:t>
                                </m:r>
                              </m:e>
                            </m:acc>
                          </m:e>
                          <m:sub>
                            <m:r>
                              <a:rPr lang="en-US" sz="1100" b="1" i="1">
                                <a:solidFill>
                                  <a:srgbClr val="002060"/>
                                </a:solidFill>
                                <a:effectLst/>
                                <a:latin typeface="Cambria Math" panose="02040503050406030204" pitchFamily="18" charset="0"/>
                                <a:ea typeface="+mn-ea"/>
                                <a:cs typeface="+mn-cs"/>
                              </a:rPr>
                              <m:t>𝟓𝟏</m:t>
                            </m:r>
                          </m:sub>
                          <m:sup>
                            <m:d>
                              <m:dPr>
                                <m:ctrlPr>
                                  <a:rPr lang="en-US" sz="1100" b="1" i="1">
                                    <a:solidFill>
                                      <a:srgbClr val="002060"/>
                                    </a:solidFill>
                                    <a:effectLst/>
                                    <a:latin typeface="Cambria Math" panose="02040503050406030204" pitchFamily="18" charset="0"/>
                                    <a:ea typeface="+mn-ea"/>
                                    <a:cs typeface="+mn-cs"/>
                                  </a:rPr>
                                </m:ctrlPr>
                              </m:dPr>
                              <m:e>
                                <m:r>
                                  <a:rPr lang="en-US" sz="1100" b="1" i="1">
                                    <a:solidFill>
                                      <a:srgbClr val="002060"/>
                                    </a:solidFill>
                                    <a:effectLst/>
                                    <a:latin typeface="Cambria Math" panose="02040503050406030204" pitchFamily="18" charset="0"/>
                                    <a:ea typeface="+mn-ea"/>
                                    <a:cs typeface="+mn-cs"/>
                                  </a:rPr>
                                  <m:t>𝟏𝟐</m:t>
                                </m:r>
                              </m:e>
                            </m:d>
                          </m:sup>
                        </m:sSubSup>
                      </m:e>
                    </m:sPre>
                  </m:oMath>
                </m:oMathPara>
              </a14:m>
              <a:endParaRPr lang="en-US" b="1">
                <a:solidFill>
                  <a:srgbClr val="002060"/>
                </a:solidFill>
              </a:endParaRPr>
            </a:p>
          </xdr:txBody>
        </xdr:sp>
      </mc:Choice>
      <mc:Fallback xmlns="">
        <xdr:sp macro="" textlink="">
          <xdr:nvSpPr>
            <xdr:cNvPr id="11" name="Object 4">
              <a:extLst>
                <a:ext uri="{FF2B5EF4-FFF2-40B4-BE49-F238E27FC236}">
                  <a16:creationId xmlns:a16="http://schemas.microsoft.com/office/drawing/2014/main" id="{C8FBEC1A-0782-4552-B347-5125F371D283}"/>
                </a:ext>
              </a:extLst>
            </xdr:cNvPr>
            <xdr:cNvSpPr txBox="1"/>
          </xdr:nvSpPr>
          <xdr:spPr>
            <a:xfrm>
              <a:off x="1598743" y="21722155"/>
              <a:ext cx="742208" cy="365967"/>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(_𝟏𝟒|</a:t>
              </a:r>
              <a:r>
                <a:rPr lang="en-CA" b="1" i="0">
                  <a:solidFill>
                    <a:srgbClr val="002060"/>
                  </a:solidFill>
                  <a:latin typeface="Cambria Math" panose="02040503050406030204" pitchFamily="18" charset="0"/>
                </a:rPr>
                <a:t>^ </a:t>
              </a:r>
              <a:r>
                <a:rPr lang="en-US" b="1" i="0">
                  <a:solidFill>
                    <a:srgbClr val="002060"/>
                  </a:solidFill>
                  <a:latin typeface="Cambria Math" panose="02040503050406030204" pitchFamily="18" charset="0"/>
                </a:rPr>
                <a:t>)</a:t>
              </a:r>
              <a:r>
                <a:rPr lang="en-US" sz="1100" b="1" i="0">
                  <a:solidFill>
                    <a:srgbClr val="002060"/>
                  </a:solidFill>
                  <a:effectLst/>
                  <a:latin typeface="Cambria Math" panose="02040503050406030204" pitchFamily="18" charset="0"/>
                  <a:ea typeface="+mn-ea"/>
                  <a:cs typeface="+mn-cs"/>
                </a:rPr>
                <a:t>𝐚 ̈_𝟓𝟏^((𝟏𝟐) ) </a:t>
              </a:r>
              <a:endParaRPr lang="en-US" b="1">
                <a:solidFill>
                  <a:srgbClr val="002060"/>
                </a:solidFill>
              </a:endParaRPr>
            </a:p>
          </xdr:txBody>
        </xdr:sp>
      </mc:Fallback>
    </mc:AlternateContent>
    <xdr:clientData/>
  </xdr:oneCellAnchor>
</xdr:wsDr>
</file>

<file path=xl/drawings/drawing6.xml><?xml version="1.0" encoding="utf-8"?>
<xdr:wsDr xmlns:xdr="http://schemas.openxmlformats.org/drawingml/2006/spreadsheetDrawing" xmlns:a="http://schemas.openxmlformats.org/drawingml/2006/main">
  <xdr:oneCellAnchor>
    <xdr:from>
      <xdr:col>7</xdr:col>
      <xdr:colOff>515919</xdr:colOff>
      <xdr:row>86</xdr:row>
      <xdr:rowOff>33170</xdr:rowOff>
    </xdr:from>
    <xdr:ext cx="484076" cy="309181"/>
    <mc:AlternateContent xmlns:mc="http://schemas.openxmlformats.org/markup-compatibility/2006" xmlns:a14="http://schemas.microsoft.com/office/drawing/2010/main">
      <mc:Choice Requires="a14">
        <xdr:sp macro="" textlink="">
          <xdr:nvSpPr>
            <xdr:cNvPr id="2" name="Object 5">
              <a:extLst>
                <a:ext uri="{FF2B5EF4-FFF2-40B4-BE49-F238E27FC236}">
                  <a16:creationId xmlns:a16="http://schemas.microsoft.com/office/drawing/2014/main" id="{B71C529F-DA2E-4D0F-AEDB-FD02BDEADF48}"/>
                </a:ext>
              </a:extLst>
            </xdr:cNvPr>
            <xdr:cNvSpPr txBox="1"/>
          </xdr:nvSpPr>
          <xdr:spPr>
            <a:xfrm>
              <a:off x="7869219" y="17854445"/>
              <a:ext cx="484076" cy="309181"/>
            </a:xfrm>
            <a:prstGeom prst="rect">
              <a:avLst/>
            </a:prstGeom>
          </xdr:spPr>
          <xdr:txBody>
            <a:bodyPr wrap="none">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b="1" i="1">
                            <a:solidFill>
                              <a:srgbClr val="002060"/>
                            </a:solidFill>
                            <a:latin typeface="Cambria Math" panose="02040503050406030204" pitchFamily="18" charset="0"/>
                          </a:rPr>
                        </m:ctrlPr>
                      </m:sSubSupPr>
                      <m:e>
                        <m:acc>
                          <m:accPr>
                            <m:chr m:val="̈"/>
                            <m:ctrlPr>
                              <a:rPr lang="en-US" b="1" i="1">
                                <a:solidFill>
                                  <a:srgbClr val="002060"/>
                                </a:solidFill>
                                <a:latin typeface="Cambria Math" panose="02040503050406030204" pitchFamily="18" charset="0"/>
                              </a:rPr>
                            </m:ctrlPr>
                          </m:accPr>
                          <m:e>
                            <m:r>
                              <a:rPr lang="en-US" b="1" i="0">
                                <a:solidFill>
                                  <a:srgbClr val="002060"/>
                                </a:solidFill>
                                <a:latin typeface="Cambria Math" panose="02040503050406030204" pitchFamily="18" charset="0"/>
                              </a:rPr>
                              <m:t>𝐚</m:t>
                            </m:r>
                          </m:e>
                        </m:acc>
                      </m:e>
                      <m:sub>
                        <m:r>
                          <a:rPr lang="en-US" b="1" i="1">
                            <a:solidFill>
                              <a:srgbClr val="002060"/>
                            </a:solidFill>
                            <a:latin typeface="Cambria Math" panose="02040503050406030204" pitchFamily="18" charset="0"/>
                          </a:rPr>
                          <m:t>𝟕𝟔</m:t>
                        </m:r>
                      </m:sub>
                      <m:sup>
                        <m:d>
                          <m:dPr>
                            <m:ctrlPr>
                              <a:rPr lang="en-US" b="1" i="1">
                                <a:solidFill>
                                  <a:srgbClr val="002060"/>
                                </a:solidFill>
                                <a:latin typeface="Cambria Math" panose="02040503050406030204" pitchFamily="18" charset="0"/>
                              </a:rPr>
                            </m:ctrlPr>
                          </m:dPr>
                          <m:e>
                            <m:r>
                              <a:rPr lang="en-US" b="1" i="1">
                                <a:solidFill>
                                  <a:srgbClr val="002060"/>
                                </a:solidFill>
                                <a:latin typeface="Cambria Math" panose="02040503050406030204" pitchFamily="18" charset="0"/>
                              </a:rPr>
                              <m:t>𝟏𝟐</m:t>
                            </m:r>
                          </m:e>
                        </m:d>
                      </m:sup>
                    </m:sSubSup>
                  </m:oMath>
                </m:oMathPara>
              </a14:m>
              <a:endParaRPr lang="en-US" b="1">
                <a:solidFill>
                  <a:srgbClr val="002060"/>
                </a:solidFill>
              </a:endParaRPr>
            </a:p>
          </xdr:txBody>
        </xdr:sp>
      </mc:Choice>
      <mc:Fallback xmlns="">
        <xdr:sp macro="" textlink="">
          <xdr:nvSpPr>
            <xdr:cNvPr id="2" name="Object 5">
              <a:extLst>
                <a:ext uri="{FF2B5EF4-FFF2-40B4-BE49-F238E27FC236}">
                  <a16:creationId xmlns:a16="http://schemas.microsoft.com/office/drawing/2014/main" id="{B71C529F-DA2E-4D0F-AEDB-FD02BDEADF48}"/>
                </a:ext>
              </a:extLst>
            </xdr:cNvPr>
            <xdr:cNvSpPr txBox="1"/>
          </xdr:nvSpPr>
          <xdr:spPr>
            <a:xfrm>
              <a:off x="7869219" y="17854445"/>
              <a:ext cx="484076" cy="309181"/>
            </a:xfrm>
            <a:prstGeom prst="rect">
              <a:avLst/>
            </a:prstGeom>
          </xdr:spPr>
          <xdr:txBody>
            <a:bodyPr wrap="none">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𝐚 ̈_𝟕𝟔^((𝟏𝟐) )</a:t>
              </a:r>
              <a:endParaRPr lang="en-US" b="1">
                <a:solidFill>
                  <a:srgbClr val="002060"/>
                </a:solidFill>
              </a:endParaRPr>
            </a:p>
          </xdr:txBody>
        </xdr:sp>
      </mc:Fallback>
    </mc:AlternateContent>
    <xdr:clientData/>
  </xdr:oneCellAnchor>
  <xdr:oneCellAnchor>
    <xdr:from>
      <xdr:col>6</xdr:col>
      <xdr:colOff>722108</xdr:colOff>
      <xdr:row>86</xdr:row>
      <xdr:rowOff>18825</xdr:rowOff>
    </xdr:from>
    <xdr:ext cx="466747" cy="355507"/>
    <mc:AlternateContent xmlns:mc="http://schemas.openxmlformats.org/markup-compatibility/2006" xmlns:a14="http://schemas.microsoft.com/office/drawing/2010/main">
      <mc:Choice Requires="a14">
        <xdr:sp macro="" textlink="">
          <xdr:nvSpPr>
            <xdr:cNvPr id="3" name="Object 4">
              <a:extLst>
                <a:ext uri="{FF2B5EF4-FFF2-40B4-BE49-F238E27FC236}">
                  <a16:creationId xmlns:a16="http://schemas.microsoft.com/office/drawing/2014/main" id="{D01021E0-0A28-4D81-A377-D092A3189846}"/>
                </a:ext>
              </a:extLst>
            </xdr:cNvPr>
            <xdr:cNvSpPr txBox="1"/>
          </xdr:nvSpPr>
          <xdr:spPr>
            <a:xfrm>
              <a:off x="6980033" y="17840100"/>
              <a:ext cx="466747" cy="355507"/>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b="1" i="1">
                            <a:solidFill>
                              <a:srgbClr val="002060"/>
                            </a:solidFill>
                            <a:latin typeface="Cambria Math" panose="02040503050406030204" pitchFamily="18" charset="0"/>
                          </a:rPr>
                        </m:ctrlPr>
                      </m:sSubSupPr>
                      <m:e>
                        <m:acc>
                          <m:accPr>
                            <m:chr m:val="̈"/>
                            <m:ctrlPr>
                              <a:rPr lang="en-US" b="1" i="1">
                                <a:solidFill>
                                  <a:srgbClr val="002060"/>
                                </a:solidFill>
                                <a:latin typeface="Cambria Math" panose="02040503050406030204" pitchFamily="18" charset="0"/>
                              </a:rPr>
                            </m:ctrlPr>
                          </m:accPr>
                          <m:e>
                            <m:r>
                              <a:rPr lang="en-US" b="1" i="0">
                                <a:solidFill>
                                  <a:srgbClr val="002060"/>
                                </a:solidFill>
                                <a:latin typeface="Cambria Math" panose="02040503050406030204" pitchFamily="18" charset="0"/>
                              </a:rPr>
                              <m:t>𝐚</m:t>
                            </m:r>
                          </m:e>
                        </m:acc>
                      </m:e>
                      <m:sub>
                        <m:r>
                          <a:rPr lang="en-US" b="1" i="1">
                            <a:solidFill>
                              <a:srgbClr val="002060"/>
                            </a:solidFill>
                            <a:latin typeface="Cambria Math" panose="02040503050406030204" pitchFamily="18" charset="0"/>
                          </a:rPr>
                          <m:t>𝟔𝟓</m:t>
                        </m:r>
                      </m:sub>
                      <m:sup>
                        <m:d>
                          <m:dPr>
                            <m:ctrlPr>
                              <a:rPr lang="en-US" b="1" i="1">
                                <a:solidFill>
                                  <a:srgbClr val="002060"/>
                                </a:solidFill>
                                <a:latin typeface="Cambria Math" panose="02040503050406030204" pitchFamily="18" charset="0"/>
                              </a:rPr>
                            </m:ctrlPr>
                          </m:dPr>
                          <m:e>
                            <m:r>
                              <a:rPr lang="en-US" b="1" i="1">
                                <a:solidFill>
                                  <a:srgbClr val="002060"/>
                                </a:solidFill>
                                <a:latin typeface="Cambria Math" panose="02040503050406030204" pitchFamily="18" charset="0"/>
                              </a:rPr>
                              <m:t>𝟏𝟐</m:t>
                            </m:r>
                          </m:e>
                        </m:d>
                      </m:sup>
                    </m:sSubSup>
                  </m:oMath>
                </m:oMathPara>
              </a14:m>
              <a:endParaRPr lang="en-US" b="1">
                <a:solidFill>
                  <a:srgbClr val="002060"/>
                </a:solidFill>
              </a:endParaRPr>
            </a:p>
          </xdr:txBody>
        </xdr:sp>
      </mc:Choice>
      <mc:Fallback xmlns="">
        <xdr:sp macro="" textlink="">
          <xdr:nvSpPr>
            <xdr:cNvPr id="3" name="Object 4">
              <a:extLst>
                <a:ext uri="{FF2B5EF4-FFF2-40B4-BE49-F238E27FC236}">
                  <a16:creationId xmlns:a16="http://schemas.microsoft.com/office/drawing/2014/main" id="{D01021E0-0A28-4D81-A377-D092A3189846}"/>
                </a:ext>
              </a:extLst>
            </xdr:cNvPr>
            <xdr:cNvSpPr txBox="1"/>
          </xdr:nvSpPr>
          <xdr:spPr>
            <a:xfrm>
              <a:off x="6980033" y="17840100"/>
              <a:ext cx="466747" cy="355507"/>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𝐚 ̈_𝟔𝟓^((𝟏𝟐) )</a:t>
              </a:r>
              <a:endParaRPr lang="en-US" b="1">
                <a:solidFill>
                  <a:srgbClr val="002060"/>
                </a:solidFill>
              </a:endParaRPr>
            </a:p>
          </xdr:txBody>
        </xdr:sp>
      </mc:Fallback>
    </mc:AlternateContent>
    <xdr:clientData/>
  </xdr:oneCellAnchor>
  <xdr:oneCellAnchor>
    <xdr:from>
      <xdr:col>3</xdr:col>
      <xdr:colOff>1071283</xdr:colOff>
      <xdr:row>86</xdr:row>
      <xdr:rowOff>43031</xdr:rowOff>
    </xdr:from>
    <xdr:ext cx="408880" cy="366296"/>
    <mc:AlternateContent xmlns:mc="http://schemas.openxmlformats.org/markup-compatibility/2006" xmlns:a14="http://schemas.microsoft.com/office/drawing/2010/main">
      <mc:Choice Requires="a14">
        <xdr:sp macro="" textlink="">
          <xdr:nvSpPr>
            <xdr:cNvPr id="4" name="Object 4">
              <a:extLst>
                <a:ext uri="{FF2B5EF4-FFF2-40B4-BE49-F238E27FC236}">
                  <a16:creationId xmlns:a16="http://schemas.microsoft.com/office/drawing/2014/main" id="{135EF3C3-088A-4157-B95E-72A0749301BF}"/>
                </a:ext>
              </a:extLst>
            </xdr:cNvPr>
            <xdr:cNvSpPr txBox="1"/>
          </xdr:nvSpPr>
          <xdr:spPr>
            <a:xfrm>
              <a:off x="3681133" y="17864306"/>
              <a:ext cx="408880" cy="366296"/>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b="1" i="1">
                            <a:solidFill>
                              <a:srgbClr val="002060"/>
                            </a:solidFill>
                            <a:latin typeface="Cambria Math" panose="02040503050406030204" pitchFamily="18" charset="0"/>
                          </a:rPr>
                        </m:ctrlPr>
                      </m:sSubSupPr>
                      <m:e>
                        <m:acc>
                          <m:accPr>
                            <m:chr m:val="̈"/>
                            <m:ctrlPr>
                              <a:rPr lang="en-US" b="1" i="1">
                                <a:solidFill>
                                  <a:srgbClr val="002060"/>
                                </a:solidFill>
                                <a:latin typeface="Cambria Math" panose="02040503050406030204" pitchFamily="18" charset="0"/>
                              </a:rPr>
                            </m:ctrlPr>
                          </m:accPr>
                          <m:e>
                            <m:r>
                              <a:rPr lang="en-US" b="1" i="0">
                                <a:solidFill>
                                  <a:srgbClr val="002060"/>
                                </a:solidFill>
                                <a:latin typeface="Cambria Math" panose="02040503050406030204" pitchFamily="18" charset="0"/>
                              </a:rPr>
                              <m:t>𝐚</m:t>
                            </m:r>
                          </m:e>
                        </m:acc>
                      </m:e>
                      <m:sub>
                        <m:r>
                          <a:rPr lang="en-US" b="1" i="1">
                            <a:solidFill>
                              <a:srgbClr val="002060"/>
                            </a:solidFill>
                            <a:latin typeface="Cambria Math" panose="02040503050406030204" pitchFamily="18" charset="0"/>
                          </a:rPr>
                          <m:t>𝟓𝟓</m:t>
                        </m:r>
                      </m:sub>
                      <m:sup>
                        <m:d>
                          <m:dPr>
                            <m:ctrlPr>
                              <a:rPr lang="en-US" b="1" i="1">
                                <a:solidFill>
                                  <a:srgbClr val="002060"/>
                                </a:solidFill>
                                <a:latin typeface="Cambria Math" panose="02040503050406030204" pitchFamily="18" charset="0"/>
                              </a:rPr>
                            </m:ctrlPr>
                          </m:dPr>
                          <m:e>
                            <m:r>
                              <a:rPr lang="en-US" b="1" i="1">
                                <a:solidFill>
                                  <a:srgbClr val="002060"/>
                                </a:solidFill>
                                <a:latin typeface="Cambria Math" panose="02040503050406030204" pitchFamily="18" charset="0"/>
                              </a:rPr>
                              <m:t>𝟏𝟐</m:t>
                            </m:r>
                          </m:e>
                        </m:d>
                      </m:sup>
                    </m:sSubSup>
                  </m:oMath>
                </m:oMathPara>
              </a14:m>
              <a:endParaRPr lang="en-US" b="1">
                <a:solidFill>
                  <a:srgbClr val="002060"/>
                </a:solidFill>
              </a:endParaRPr>
            </a:p>
          </xdr:txBody>
        </xdr:sp>
      </mc:Choice>
      <mc:Fallback xmlns="">
        <xdr:sp macro="" textlink="">
          <xdr:nvSpPr>
            <xdr:cNvPr id="4" name="Object 4">
              <a:extLst>
                <a:ext uri="{FF2B5EF4-FFF2-40B4-BE49-F238E27FC236}">
                  <a16:creationId xmlns:a16="http://schemas.microsoft.com/office/drawing/2014/main" id="{135EF3C3-088A-4157-B95E-72A0749301BF}"/>
                </a:ext>
              </a:extLst>
            </xdr:cNvPr>
            <xdr:cNvSpPr txBox="1"/>
          </xdr:nvSpPr>
          <xdr:spPr>
            <a:xfrm>
              <a:off x="3681133" y="17864306"/>
              <a:ext cx="408880" cy="366296"/>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𝐚 ̈_𝟓𝟓^((𝟏𝟐) )</a:t>
              </a:r>
              <a:endParaRPr lang="en-US" b="1">
                <a:solidFill>
                  <a:srgbClr val="002060"/>
                </a:solidFill>
              </a:endParaRPr>
            </a:p>
          </xdr:txBody>
        </xdr:sp>
      </mc:Fallback>
    </mc:AlternateContent>
    <xdr:clientData/>
  </xdr:oneCellAnchor>
  <xdr:oneCellAnchor>
    <xdr:from>
      <xdr:col>5</xdr:col>
      <xdr:colOff>610945</xdr:colOff>
      <xdr:row>86</xdr:row>
      <xdr:rowOff>54685</xdr:rowOff>
    </xdr:from>
    <xdr:ext cx="477505" cy="361622"/>
    <mc:AlternateContent xmlns:mc="http://schemas.openxmlformats.org/markup-compatibility/2006" xmlns:a14="http://schemas.microsoft.com/office/drawing/2010/main">
      <mc:Choice Requires="a14">
        <xdr:sp macro="" textlink="">
          <xdr:nvSpPr>
            <xdr:cNvPr id="5" name="Object 4">
              <a:extLst>
                <a:ext uri="{FF2B5EF4-FFF2-40B4-BE49-F238E27FC236}">
                  <a16:creationId xmlns:a16="http://schemas.microsoft.com/office/drawing/2014/main" id="{F8899D44-D79B-448E-9285-B1B768FB92DF}"/>
                </a:ext>
              </a:extLst>
            </xdr:cNvPr>
            <xdr:cNvSpPr txBox="1"/>
          </xdr:nvSpPr>
          <xdr:spPr>
            <a:xfrm>
              <a:off x="5582995" y="17875960"/>
              <a:ext cx="477505" cy="361622"/>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b="1" i="1">
                            <a:solidFill>
                              <a:srgbClr val="002060"/>
                            </a:solidFill>
                            <a:latin typeface="Cambria Math" panose="02040503050406030204" pitchFamily="18" charset="0"/>
                          </a:rPr>
                        </m:ctrlPr>
                      </m:sSubSupPr>
                      <m:e>
                        <m:acc>
                          <m:accPr>
                            <m:chr m:val="̈"/>
                            <m:ctrlPr>
                              <a:rPr lang="en-US" b="1" i="1">
                                <a:solidFill>
                                  <a:srgbClr val="002060"/>
                                </a:solidFill>
                                <a:latin typeface="Cambria Math" panose="02040503050406030204" pitchFamily="18" charset="0"/>
                              </a:rPr>
                            </m:ctrlPr>
                          </m:accPr>
                          <m:e>
                            <m:r>
                              <a:rPr lang="en-US" b="1" i="0">
                                <a:solidFill>
                                  <a:srgbClr val="002060"/>
                                </a:solidFill>
                                <a:latin typeface="Cambria Math" panose="02040503050406030204" pitchFamily="18" charset="0"/>
                              </a:rPr>
                              <m:t>𝐚</m:t>
                            </m:r>
                          </m:e>
                        </m:acc>
                      </m:e>
                      <m:sub>
                        <m:r>
                          <a:rPr lang="en-US" b="1" i="1">
                            <a:solidFill>
                              <a:srgbClr val="002060"/>
                            </a:solidFill>
                            <a:latin typeface="Cambria Math" panose="02040503050406030204" pitchFamily="18" charset="0"/>
                          </a:rPr>
                          <m:t>𝟔𝟏</m:t>
                        </m:r>
                      </m:sub>
                      <m:sup>
                        <m:d>
                          <m:dPr>
                            <m:ctrlPr>
                              <a:rPr lang="en-US" b="1" i="1">
                                <a:solidFill>
                                  <a:srgbClr val="002060"/>
                                </a:solidFill>
                                <a:latin typeface="Cambria Math" panose="02040503050406030204" pitchFamily="18" charset="0"/>
                              </a:rPr>
                            </m:ctrlPr>
                          </m:dPr>
                          <m:e>
                            <m:r>
                              <a:rPr lang="en-US" b="1" i="1">
                                <a:solidFill>
                                  <a:srgbClr val="002060"/>
                                </a:solidFill>
                                <a:latin typeface="Cambria Math" panose="02040503050406030204" pitchFamily="18" charset="0"/>
                              </a:rPr>
                              <m:t>𝟏𝟐</m:t>
                            </m:r>
                          </m:e>
                        </m:d>
                      </m:sup>
                    </m:sSubSup>
                  </m:oMath>
                </m:oMathPara>
              </a14:m>
              <a:endParaRPr lang="en-US" b="1">
                <a:solidFill>
                  <a:srgbClr val="002060"/>
                </a:solidFill>
              </a:endParaRPr>
            </a:p>
          </xdr:txBody>
        </xdr:sp>
      </mc:Choice>
      <mc:Fallback xmlns="">
        <xdr:sp macro="" textlink="">
          <xdr:nvSpPr>
            <xdr:cNvPr id="5" name="Object 4">
              <a:extLst>
                <a:ext uri="{FF2B5EF4-FFF2-40B4-BE49-F238E27FC236}">
                  <a16:creationId xmlns:a16="http://schemas.microsoft.com/office/drawing/2014/main" id="{F8899D44-D79B-448E-9285-B1B768FB92DF}"/>
                </a:ext>
              </a:extLst>
            </xdr:cNvPr>
            <xdr:cNvSpPr txBox="1"/>
          </xdr:nvSpPr>
          <xdr:spPr>
            <a:xfrm>
              <a:off x="5582995" y="17875960"/>
              <a:ext cx="477505" cy="361622"/>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𝐚 ̈_𝟔𝟏^((𝟏𝟐) )</a:t>
              </a:r>
              <a:endParaRPr lang="en-US" b="1">
                <a:solidFill>
                  <a:srgbClr val="002060"/>
                </a:solidFill>
              </a:endParaRPr>
            </a:p>
          </xdr:txBody>
        </xdr:sp>
      </mc:Fallback>
    </mc:AlternateContent>
    <xdr:clientData/>
  </xdr:oneCellAnchor>
  <xdr:oneCellAnchor>
    <xdr:from>
      <xdr:col>4</xdr:col>
      <xdr:colOff>493059</xdr:colOff>
      <xdr:row>86</xdr:row>
      <xdr:rowOff>54684</xdr:rowOff>
    </xdr:from>
    <xdr:ext cx="397083" cy="314735"/>
    <mc:AlternateContent xmlns:mc="http://schemas.openxmlformats.org/markup-compatibility/2006" xmlns:a14="http://schemas.microsoft.com/office/drawing/2010/main">
      <mc:Choice Requires="a14">
        <xdr:sp macro="" textlink="">
          <xdr:nvSpPr>
            <xdr:cNvPr id="6" name="Object 4">
              <a:extLst>
                <a:ext uri="{FF2B5EF4-FFF2-40B4-BE49-F238E27FC236}">
                  <a16:creationId xmlns:a16="http://schemas.microsoft.com/office/drawing/2014/main" id="{74DBA14B-EC2E-4F9F-A93C-FAB3B07EE79D}"/>
                </a:ext>
              </a:extLst>
            </xdr:cNvPr>
            <xdr:cNvSpPr txBox="1"/>
          </xdr:nvSpPr>
          <xdr:spPr>
            <a:xfrm flipH="1">
              <a:off x="4550709" y="17875959"/>
              <a:ext cx="397083" cy="314735"/>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b="1" i="1">
                            <a:solidFill>
                              <a:srgbClr val="002060"/>
                            </a:solidFill>
                            <a:latin typeface="Cambria Math" panose="02040503050406030204" pitchFamily="18" charset="0"/>
                          </a:rPr>
                        </m:ctrlPr>
                      </m:sSubSupPr>
                      <m:e>
                        <m:acc>
                          <m:accPr>
                            <m:chr m:val="̈"/>
                            <m:ctrlPr>
                              <a:rPr lang="en-US" b="1" i="1">
                                <a:solidFill>
                                  <a:srgbClr val="002060"/>
                                </a:solidFill>
                                <a:latin typeface="Cambria Math" panose="02040503050406030204" pitchFamily="18" charset="0"/>
                              </a:rPr>
                            </m:ctrlPr>
                          </m:accPr>
                          <m:e>
                            <m:r>
                              <a:rPr lang="en-US" b="1" i="0">
                                <a:solidFill>
                                  <a:srgbClr val="002060"/>
                                </a:solidFill>
                                <a:latin typeface="Cambria Math" panose="02040503050406030204" pitchFamily="18" charset="0"/>
                              </a:rPr>
                              <m:t>𝐚</m:t>
                            </m:r>
                          </m:e>
                        </m:acc>
                      </m:e>
                      <m:sub>
                        <m:r>
                          <a:rPr lang="en-US" b="1" i="1">
                            <a:solidFill>
                              <a:srgbClr val="002060"/>
                            </a:solidFill>
                            <a:latin typeface="Cambria Math" panose="02040503050406030204" pitchFamily="18" charset="0"/>
                          </a:rPr>
                          <m:t>𝟔𝟎</m:t>
                        </m:r>
                      </m:sub>
                      <m:sup>
                        <m:d>
                          <m:dPr>
                            <m:ctrlPr>
                              <a:rPr lang="en-US" b="1" i="1">
                                <a:solidFill>
                                  <a:srgbClr val="002060"/>
                                </a:solidFill>
                                <a:latin typeface="Cambria Math" panose="02040503050406030204" pitchFamily="18" charset="0"/>
                              </a:rPr>
                            </m:ctrlPr>
                          </m:dPr>
                          <m:e>
                            <m:r>
                              <a:rPr lang="en-US" b="1" i="1">
                                <a:solidFill>
                                  <a:srgbClr val="002060"/>
                                </a:solidFill>
                                <a:latin typeface="Cambria Math" panose="02040503050406030204" pitchFamily="18" charset="0"/>
                              </a:rPr>
                              <m:t>𝟏𝟐</m:t>
                            </m:r>
                          </m:e>
                        </m:d>
                      </m:sup>
                    </m:sSubSup>
                  </m:oMath>
                </m:oMathPara>
              </a14:m>
              <a:endParaRPr lang="en-US" b="1">
                <a:solidFill>
                  <a:srgbClr val="002060"/>
                </a:solidFill>
              </a:endParaRPr>
            </a:p>
          </xdr:txBody>
        </xdr:sp>
      </mc:Choice>
      <mc:Fallback xmlns="">
        <xdr:sp macro="" textlink="">
          <xdr:nvSpPr>
            <xdr:cNvPr id="6" name="Object 4">
              <a:extLst>
                <a:ext uri="{FF2B5EF4-FFF2-40B4-BE49-F238E27FC236}">
                  <a16:creationId xmlns:a16="http://schemas.microsoft.com/office/drawing/2014/main" id="{74DBA14B-EC2E-4F9F-A93C-FAB3B07EE79D}"/>
                </a:ext>
              </a:extLst>
            </xdr:cNvPr>
            <xdr:cNvSpPr txBox="1"/>
          </xdr:nvSpPr>
          <xdr:spPr>
            <a:xfrm flipH="1">
              <a:off x="4550709" y="17875959"/>
              <a:ext cx="397083" cy="314735"/>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𝐚 ̈_𝟔𝟎^((𝟏𝟐) )</a:t>
              </a:r>
              <a:endParaRPr lang="en-US" b="1">
                <a:solidFill>
                  <a:srgbClr val="002060"/>
                </a:solidFill>
              </a:endParaRPr>
            </a:p>
          </xdr:txBody>
        </xdr:sp>
      </mc:Fallback>
    </mc:AlternateContent>
    <xdr:clientData/>
  </xdr:oneCellAnchor>
  <xdr:oneCellAnchor>
    <xdr:from>
      <xdr:col>2</xdr:col>
      <xdr:colOff>167640</xdr:colOff>
      <xdr:row>91</xdr:row>
      <xdr:rowOff>182880</xdr:rowOff>
    </xdr:from>
    <xdr:ext cx="1402150" cy="284867"/>
    <mc:AlternateContent xmlns:mc="http://schemas.openxmlformats.org/markup-compatibility/2006" xmlns:a14="http://schemas.microsoft.com/office/drawing/2010/main">
      <mc:Choice Requires="a14">
        <xdr:sp macro="" textlink="">
          <xdr:nvSpPr>
            <xdr:cNvPr id="7" name="Object 4">
              <a:extLst>
                <a:ext uri="{FF2B5EF4-FFF2-40B4-BE49-F238E27FC236}">
                  <a16:creationId xmlns:a16="http://schemas.microsoft.com/office/drawing/2014/main" id="{2F7E3023-4F6B-4AD7-A2BC-707EACDBAEFA}"/>
                </a:ext>
              </a:extLst>
            </xdr:cNvPr>
            <xdr:cNvSpPr txBox="1"/>
          </xdr:nvSpPr>
          <xdr:spPr>
            <a:xfrm>
              <a:off x="1158240" y="19004280"/>
              <a:ext cx="1402150" cy="284867"/>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Pre>
                      <m:sPrePr>
                        <m:ctrlPr>
                          <a:rPr lang="en-US" b="1" i="1">
                            <a:solidFill>
                              <a:srgbClr val="002060"/>
                            </a:solidFill>
                            <a:latin typeface="Cambria Math" panose="02040503050406030204" pitchFamily="18" charset="0"/>
                          </a:rPr>
                        </m:ctrlPr>
                      </m:sPrePr>
                      <m:sub>
                        <m:r>
                          <a:rPr lang="en-US" b="1" i="1">
                            <a:solidFill>
                              <a:srgbClr val="002060"/>
                            </a:solidFill>
                            <a:latin typeface="Cambria Math" panose="02040503050406030204" pitchFamily="18" charset="0"/>
                          </a:rPr>
                          <m:t>𝒅</m:t>
                        </m:r>
                        <m:r>
                          <a:rPr lang="en-US" b="1" i="1">
                            <a:solidFill>
                              <a:srgbClr val="002060"/>
                            </a:solidFill>
                            <a:latin typeface="Cambria Math" panose="02040503050406030204" pitchFamily="18" charset="0"/>
                          </a:rPr>
                          <m:t>|</m:t>
                        </m:r>
                      </m:sub>
                      <m:sup>
                        <m:r>
                          <a:rPr lang="en-CA" b="1" i="1">
                            <a:solidFill>
                              <a:srgbClr val="002060"/>
                            </a:solidFill>
                            <a:latin typeface="Cambria Math" panose="02040503050406030204" pitchFamily="18" charset="0"/>
                          </a:rPr>
                          <m:t> </m:t>
                        </m:r>
                      </m:sup>
                      <m:e>
                        <m:sSubSup>
                          <m:sSubSupPr>
                            <m:ctrlPr>
                              <a:rPr lang="en-US" sz="1100" b="1" i="1">
                                <a:solidFill>
                                  <a:srgbClr val="002060"/>
                                </a:solidFill>
                                <a:effectLst/>
                                <a:latin typeface="Cambria Math" panose="02040503050406030204" pitchFamily="18" charset="0"/>
                                <a:ea typeface="+mn-ea"/>
                                <a:cs typeface="+mn-cs"/>
                              </a:rPr>
                            </m:ctrlPr>
                          </m:sSubSupPr>
                          <m:e>
                            <m:acc>
                              <m:accPr>
                                <m:chr m:val="̈"/>
                                <m:ctrlPr>
                                  <a:rPr lang="en-US" sz="1100" b="1" i="1">
                                    <a:solidFill>
                                      <a:srgbClr val="002060"/>
                                    </a:solidFill>
                                    <a:effectLst/>
                                    <a:latin typeface="Cambria Math" panose="02040503050406030204" pitchFamily="18" charset="0"/>
                                    <a:ea typeface="+mn-ea"/>
                                    <a:cs typeface="+mn-cs"/>
                                  </a:rPr>
                                </m:ctrlPr>
                              </m:accPr>
                              <m:e>
                                <m:r>
                                  <a:rPr lang="en-US" sz="1100" b="1" i="0">
                                    <a:solidFill>
                                      <a:srgbClr val="002060"/>
                                    </a:solidFill>
                                    <a:effectLst/>
                                    <a:latin typeface="Cambria Math" panose="02040503050406030204" pitchFamily="18" charset="0"/>
                                    <a:ea typeface="+mn-ea"/>
                                    <a:cs typeface="+mn-cs"/>
                                  </a:rPr>
                                  <m:t>𝐚</m:t>
                                </m:r>
                              </m:e>
                            </m:acc>
                          </m:e>
                          <m:sub>
                            <m:r>
                              <a:rPr lang="en-US" sz="1100" b="1" i="1">
                                <a:solidFill>
                                  <a:srgbClr val="002060"/>
                                </a:solidFill>
                                <a:effectLst/>
                                <a:latin typeface="Cambria Math" panose="02040503050406030204" pitchFamily="18" charset="0"/>
                                <a:ea typeface="+mn-ea"/>
                                <a:cs typeface="+mn-cs"/>
                              </a:rPr>
                              <m:t>𝒙</m:t>
                            </m:r>
                          </m:sub>
                          <m:sup>
                            <m:d>
                              <m:dPr>
                                <m:ctrlPr>
                                  <a:rPr lang="en-US" sz="1100" b="1" i="1">
                                    <a:solidFill>
                                      <a:srgbClr val="002060"/>
                                    </a:solidFill>
                                    <a:effectLst/>
                                    <a:latin typeface="Cambria Math" panose="02040503050406030204" pitchFamily="18" charset="0"/>
                                    <a:ea typeface="+mn-ea"/>
                                    <a:cs typeface="+mn-cs"/>
                                  </a:rPr>
                                </m:ctrlPr>
                              </m:dPr>
                              <m:e>
                                <m:r>
                                  <a:rPr lang="en-US" sz="1100" b="1" i="1">
                                    <a:solidFill>
                                      <a:srgbClr val="002060"/>
                                    </a:solidFill>
                                    <a:effectLst/>
                                    <a:latin typeface="Cambria Math" panose="02040503050406030204" pitchFamily="18" charset="0"/>
                                    <a:ea typeface="+mn-ea"/>
                                    <a:cs typeface="+mn-cs"/>
                                  </a:rPr>
                                  <m:t>𝟏𝟐</m:t>
                                </m:r>
                              </m:e>
                            </m:d>
                          </m:sup>
                        </m:sSubSup>
                      </m:e>
                    </m:sPre>
                  </m:oMath>
                </m:oMathPara>
              </a14:m>
              <a:endParaRPr lang="en-US" b="1">
                <a:solidFill>
                  <a:srgbClr val="002060"/>
                </a:solidFill>
              </a:endParaRPr>
            </a:p>
          </xdr:txBody>
        </xdr:sp>
      </mc:Choice>
      <mc:Fallback xmlns="">
        <xdr:sp macro="" textlink="">
          <xdr:nvSpPr>
            <xdr:cNvPr id="7" name="Object 4">
              <a:extLst>
                <a:ext uri="{FF2B5EF4-FFF2-40B4-BE49-F238E27FC236}">
                  <a16:creationId xmlns:a16="http://schemas.microsoft.com/office/drawing/2014/main" id="{2F7E3023-4F6B-4AD7-A2BC-707EACDBAEFA}"/>
                </a:ext>
              </a:extLst>
            </xdr:cNvPr>
            <xdr:cNvSpPr txBox="1"/>
          </xdr:nvSpPr>
          <xdr:spPr>
            <a:xfrm>
              <a:off x="1158240" y="19004280"/>
              <a:ext cx="1402150" cy="284867"/>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(_𝒅|</a:t>
              </a:r>
              <a:r>
                <a:rPr lang="en-CA" b="1" i="0">
                  <a:solidFill>
                    <a:srgbClr val="002060"/>
                  </a:solidFill>
                  <a:latin typeface="Cambria Math" panose="02040503050406030204" pitchFamily="18" charset="0"/>
                </a:rPr>
                <a:t>^ </a:t>
              </a:r>
              <a:r>
                <a:rPr lang="en-US" b="1" i="0">
                  <a:solidFill>
                    <a:srgbClr val="002060"/>
                  </a:solidFill>
                  <a:latin typeface="Cambria Math" panose="02040503050406030204" pitchFamily="18" charset="0"/>
                </a:rPr>
                <a:t>)</a:t>
              </a:r>
              <a:r>
                <a:rPr lang="en-US" sz="1100" b="1" i="0">
                  <a:solidFill>
                    <a:srgbClr val="002060"/>
                  </a:solidFill>
                  <a:effectLst/>
                  <a:latin typeface="Cambria Math" panose="02040503050406030204" pitchFamily="18" charset="0"/>
                  <a:ea typeface="+mn-ea"/>
                  <a:cs typeface="+mn-cs"/>
                </a:rPr>
                <a:t>𝐚 ̈_𝒙^((𝟏𝟐) ) </a:t>
              </a:r>
              <a:endParaRPr lang="en-US" b="1">
                <a:solidFill>
                  <a:srgbClr val="002060"/>
                </a:solidFill>
              </a:endParaRPr>
            </a:p>
          </xdr:txBody>
        </xdr:sp>
      </mc:Fallback>
    </mc:AlternateContent>
    <xdr:clientData/>
  </xdr:oneCellAnchor>
  <xdr:oneCellAnchor>
    <xdr:from>
      <xdr:col>2</xdr:col>
      <xdr:colOff>663388</xdr:colOff>
      <xdr:row>111</xdr:row>
      <xdr:rowOff>101301</xdr:rowOff>
    </xdr:from>
    <xdr:ext cx="491810" cy="424926"/>
    <mc:AlternateContent xmlns:mc="http://schemas.openxmlformats.org/markup-compatibility/2006" xmlns:a14="http://schemas.microsoft.com/office/drawing/2010/main">
      <mc:Choice Requires="a14">
        <xdr:sp macro="" textlink="">
          <xdr:nvSpPr>
            <xdr:cNvPr id="8" name="Object 5">
              <a:extLst>
                <a:ext uri="{FF2B5EF4-FFF2-40B4-BE49-F238E27FC236}">
                  <a16:creationId xmlns:a16="http://schemas.microsoft.com/office/drawing/2014/main" id="{A9CFEF45-7945-43A8-BFBF-8BA9FC932D24}"/>
                </a:ext>
              </a:extLst>
            </xdr:cNvPr>
            <xdr:cNvSpPr txBox="1"/>
          </xdr:nvSpPr>
          <xdr:spPr>
            <a:xfrm>
              <a:off x="1653988" y="22923201"/>
              <a:ext cx="491810" cy="424926"/>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i="1">
                            <a:solidFill>
                              <a:srgbClr val="002060"/>
                            </a:solidFill>
                            <a:latin typeface="Cambria Math" panose="02040503050406030204" pitchFamily="18" charset="0"/>
                          </a:rPr>
                        </m:ctrlPr>
                      </m:sSubSupPr>
                      <m:e>
                        <m:acc>
                          <m:accPr>
                            <m:chr m:val="̈"/>
                            <m:ctrlPr>
                              <a:rPr lang="en-US" i="1">
                                <a:solidFill>
                                  <a:srgbClr val="002060"/>
                                </a:solidFill>
                                <a:latin typeface="Cambria Math" panose="02040503050406030204" pitchFamily="18" charset="0"/>
                              </a:rPr>
                            </m:ctrlPr>
                          </m:accPr>
                          <m:e>
                            <m:r>
                              <m:rPr>
                                <m:sty m:val="p"/>
                              </m:rPr>
                              <a:rPr lang="en-US" i="0">
                                <a:solidFill>
                                  <a:srgbClr val="002060"/>
                                </a:solidFill>
                                <a:latin typeface="Cambria Math" panose="02040503050406030204" pitchFamily="18" charset="0"/>
                              </a:rPr>
                              <m:t>a</m:t>
                            </m:r>
                          </m:e>
                        </m:acc>
                      </m:e>
                      <m:sub>
                        <m:r>
                          <a:rPr lang="en-US" b="0" i="1">
                            <a:solidFill>
                              <a:srgbClr val="002060"/>
                            </a:solidFill>
                            <a:latin typeface="Cambria Math" panose="02040503050406030204" pitchFamily="18" charset="0"/>
                          </a:rPr>
                          <m:t>76</m:t>
                        </m:r>
                      </m:sub>
                      <m:sup>
                        <m:d>
                          <m:dPr>
                            <m:ctrlPr>
                              <a:rPr lang="en-US" i="1">
                                <a:solidFill>
                                  <a:srgbClr val="002060"/>
                                </a:solidFill>
                                <a:latin typeface="Cambria Math" panose="02040503050406030204" pitchFamily="18" charset="0"/>
                              </a:rPr>
                            </m:ctrlPr>
                          </m:dPr>
                          <m:e>
                            <m:r>
                              <a:rPr lang="en-US" i="1">
                                <a:solidFill>
                                  <a:srgbClr val="002060"/>
                                </a:solidFill>
                                <a:latin typeface="Cambria Math" panose="02040503050406030204" pitchFamily="18" charset="0"/>
                              </a:rPr>
                              <m:t>12</m:t>
                            </m:r>
                          </m:e>
                        </m:d>
                      </m:sup>
                    </m:sSubSup>
                  </m:oMath>
                </m:oMathPara>
              </a14:m>
              <a:endParaRPr lang="en-US">
                <a:solidFill>
                  <a:srgbClr val="002060"/>
                </a:solidFill>
              </a:endParaRPr>
            </a:p>
          </xdr:txBody>
        </xdr:sp>
      </mc:Choice>
      <mc:Fallback xmlns="">
        <xdr:sp macro="" textlink="">
          <xdr:nvSpPr>
            <xdr:cNvPr id="8" name="Object 5">
              <a:extLst>
                <a:ext uri="{FF2B5EF4-FFF2-40B4-BE49-F238E27FC236}">
                  <a16:creationId xmlns:a16="http://schemas.microsoft.com/office/drawing/2014/main" id="{A9CFEF45-7945-43A8-BFBF-8BA9FC932D24}"/>
                </a:ext>
              </a:extLst>
            </xdr:cNvPr>
            <xdr:cNvSpPr txBox="1"/>
          </xdr:nvSpPr>
          <xdr:spPr>
            <a:xfrm>
              <a:off x="1653988" y="22923201"/>
              <a:ext cx="491810" cy="424926"/>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i="0">
                  <a:solidFill>
                    <a:srgbClr val="002060"/>
                  </a:solidFill>
                  <a:latin typeface="Cambria Math" panose="02040503050406030204" pitchFamily="18" charset="0"/>
                </a:rPr>
                <a:t>a ̈_</a:t>
              </a:r>
              <a:r>
                <a:rPr lang="en-US" b="0" i="0">
                  <a:solidFill>
                    <a:srgbClr val="002060"/>
                  </a:solidFill>
                  <a:latin typeface="Cambria Math" panose="02040503050406030204" pitchFamily="18" charset="0"/>
                </a:rPr>
                <a:t>76^((</a:t>
              </a:r>
              <a:r>
                <a:rPr lang="en-US" i="0">
                  <a:solidFill>
                    <a:srgbClr val="002060"/>
                  </a:solidFill>
                  <a:latin typeface="Cambria Math" panose="02040503050406030204" pitchFamily="18" charset="0"/>
                </a:rPr>
                <a:t>12) )</a:t>
              </a:r>
              <a:endParaRPr lang="en-US">
                <a:solidFill>
                  <a:srgbClr val="002060"/>
                </a:solidFill>
              </a:endParaRPr>
            </a:p>
          </xdr:txBody>
        </xdr:sp>
      </mc:Fallback>
    </mc:AlternateContent>
    <xdr:clientData/>
  </xdr:oneCellAnchor>
  <xdr:oneCellAnchor>
    <xdr:from>
      <xdr:col>2</xdr:col>
      <xdr:colOff>667422</xdr:colOff>
      <xdr:row>109</xdr:row>
      <xdr:rowOff>114300</xdr:rowOff>
    </xdr:from>
    <xdr:ext cx="495905" cy="395169"/>
    <mc:AlternateContent xmlns:mc="http://schemas.openxmlformats.org/markup-compatibility/2006" xmlns:a14="http://schemas.microsoft.com/office/drawing/2010/main">
      <mc:Choice Requires="a14">
        <xdr:sp macro="" textlink="">
          <xdr:nvSpPr>
            <xdr:cNvPr id="9" name="Object 5">
              <a:extLst>
                <a:ext uri="{FF2B5EF4-FFF2-40B4-BE49-F238E27FC236}">
                  <a16:creationId xmlns:a16="http://schemas.microsoft.com/office/drawing/2014/main" id="{CEF94F69-783F-454E-A930-B4C7F4BD7EC1}"/>
                </a:ext>
              </a:extLst>
            </xdr:cNvPr>
            <xdr:cNvSpPr txBox="1"/>
          </xdr:nvSpPr>
          <xdr:spPr>
            <a:xfrm>
              <a:off x="1658022" y="22536150"/>
              <a:ext cx="495905" cy="395169"/>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i="1">
                            <a:solidFill>
                              <a:srgbClr val="002060"/>
                            </a:solidFill>
                            <a:latin typeface="Cambria Math" panose="02040503050406030204" pitchFamily="18" charset="0"/>
                          </a:rPr>
                        </m:ctrlPr>
                      </m:sSubSupPr>
                      <m:e>
                        <m:acc>
                          <m:accPr>
                            <m:chr m:val="̈"/>
                            <m:ctrlPr>
                              <a:rPr lang="en-US" i="1">
                                <a:solidFill>
                                  <a:srgbClr val="002060"/>
                                </a:solidFill>
                                <a:latin typeface="Cambria Math" panose="02040503050406030204" pitchFamily="18" charset="0"/>
                              </a:rPr>
                            </m:ctrlPr>
                          </m:accPr>
                          <m:e>
                            <m:r>
                              <m:rPr>
                                <m:sty m:val="p"/>
                              </m:rPr>
                              <a:rPr lang="en-US" i="0">
                                <a:solidFill>
                                  <a:srgbClr val="002060"/>
                                </a:solidFill>
                                <a:latin typeface="Cambria Math" panose="02040503050406030204" pitchFamily="18" charset="0"/>
                              </a:rPr>
                              <m:t>a</m:t>
                            </m:r>
                          </m:e>
                        </m:acc>
                      </m:e>
                      <m:sub>
                        <m:r>
                          <a:rPr lang="en-US" b="0" i="1">
                            <a:solidFill>
                              <a:srgbClr val="002060"/>
                            </a:solidFill>
                            <a:latin typeface="Cambria Math" panose="02040503050406030204" pitchFamily="18" charset="0"/>
                          </a:rPr>
                          <m:t>61</m:t>
                        </m:r>
                      </m:sub>
                      <m:sup>
                        <m:d>
                          <m:dPr>
                            <m:ctrlPr>
                              <a:rPr lang="en-US" i="1">
                                <a:solidFill>
                                  <a:srgbClr val="002060"/>
                                </a:solidFill>
                                <a:latin typeface="Cambria Math" panose="02040503050406030204" pitchFamily="18" charset="0"/>
                              </a:rPr>
                            </m:ctrlPr>
                          </m:dPr>
                          <m:e>
                            <m:r>
                              <a:rPr lang="en-US" i="1">
                                <a:solidFill>
                                  <a:srgbClr val="002060"/>
                                </a:solidFill>
                                <a:latin typeface="Cambria Math" panose="02040503050406030204" pitchFamily="18" charset="0"/>
                              </a:rPr>
                              <m:t>12</m:t>
                            </m:r>
                          </m:e>
                        </m:d>
                      </m:sup>
                    </m:sSubSup>
                  </m:oMath>
                </m:oMathPara>
              </a14:m>
              <a:endParaRPr lang="en-US">
                <a:solidFill>
                  <a:srgbClr val="002060"/>
                </a:solidFill>
              </a:endParaRPr>
            </a:p>
          </xdr:txBody>
        </xdr:sp>
      </mc:Choice>
      <mc:Fallback xmlns="">
        <xdr:sp macro="" textlink="">
          <xdr:nvSpPr>
            <xdr:cNvPr id="9" name="Object 5">
              <a:extLst>
                <a:ext uri="{FF2B5EF4-FFF2-40B4-BE49-F238E27FC236}">
                  <a16:creationId xmlns:a16="http://schemas.microsoft.com/office/drawing/2014/main" id="{CEF94F69-783F-454E-A930-B4C7F4BD7EC1}"/>
                </a:ext>
              </a:extLst>
            </xdr:cNvPr>
            <xdr:cNvSpPr txBox="1"/>
          </xdr:nvSpPr>
          <xdr:spPr>
            <a:xfrm>
              <a:off x="1658022" y="22536150"/>
              <a:ext cx="495905" cy="395169"/>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i="0">
                  <a:solidFill>
                    <a:srgbClr val="002060"/>
                  </a:solidFill>
                  <a:latin typeface="Cambria Math" panose="02040503050406030204" pitchFamily="18" charset="0"/>
                </a:rPr>
                <a:t>a ̈_</a:t>
              </a:r>
              <a:r>
                <a:rPr lang="en-US" b="0" i="0">
                  <a:solidFill>
                    <a:srgbClr val="002060"/>
                  </a:solidFill>
                  <a:latin typeface="Cambria Math" panose="02040503050406030204" pitchFamily="18" charset="0"/>
                </a:rPr>
                <a:t>61^((</a:t>
              </a:r>
              <a:r>
                <a:rPr lang="en-US" i="0">
                  <a:solidFill>
                    <a:srgbClr val="002060"/>
                  </a:solidFill>
                  <a:latin typeface="Cambria Math" panose="02040503050406030204" pitchFamily="18" charset="0"/>
                </a:rPr>
                <a:t>12) )</a:t>
              </a:r>
              <a:endParaRPr lang="en-US">
                <a:solidFill>
                  <a:srgbClr val="002060"/>
                </a:solidFill>
              </a:endParaRPr>
            </a:p>
          </xdr:txBody>
        </xdr:sp>
      </mc:Fallback>
    </mc:AlternateContent>
    <xdr:clientData/>
  </xdr:oneCellAnchor>
  <xdr:oneCellAnchor>
    <xdr:from>
      <xdr:col>2</xdr:col>
      <xdr:colOff>649493</xdr:colOff>
      <xdr:row>107</xdr:row>
      <xdr:rowOff>146125</xdr:rowOff>
    </xdr:from>
    <xdr:ext cx="495905" cy="450558"/>
    <mc:AlternateContent xmlns:mc="http://schemas.openxmlformats.org/markup-compatibility/2006" xmlns:a14="http://schemas.microsoft.com/office/drawing/2010/main">
      <mc:Choice Requires="a14">
        <xdr:sp macro="" textlink="">
          <xdr:nvSpPr>
            <xdr:cNvPr id="10" name="Object 5">
              <a:extLst>
                <a:ext uri="{FF2B5EF4-FFF2-40B4-BE49-F238E27FC236}">
                  <a16:creationId xmlns:a16="http://schemas.microsoft.com/office/drawing/2014/main" id="{FFA6A46F-54BA-49B4-BB19-08A9283E3B77}"/>
                </a:ext>
              </a:extLst>
            </xdr:cNvPr>
            <xdr:cNvSpPr txBox="1"/>
          </xdr:nvSpPr>
          <xdr:spPr>
            <a:xfrm>
              <a:off x="1640093" y="22167925"/>
              <a:ext cx="495905" cy="450558"/>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SubSup>
                      <m:sSubSupPr>
                        <m:ctrlPr>
                          <a:rPr lang="en-US" b="1" i="1">
                            <a:solidFill>
                              <a:srgbClr val="002060"/>
                            </a:solidFill>
                            <a:latin typeface="Cambria Math" panose="02040503050406030204" pitchFamily="18" charset="0"/>
                          </a:rPr>
                        </m:ctrlPr>
                      </m:sSubSupPr>
                      <m:e>
                        <m:acc>
                          <m:accPr>
                            <m:chr m:val="̈"/>
                            <m:ctrlPr>
                              <a:rPr lang="en-US" b="1" i="1">
                                <a:solidFill>
                                  <a:srgbClr val="002060"/>
                                </a:solidFill>
                                <a:latin typeface="Cambria Math" panose="02040503050406030204" pitchFamily="18" charset="0"/>
                              </a:rPr>
                            </m:ctrlPr>
                          </m:accPr>
                          <m:e>
                            <m:r>
                              <a:rPr lang="en-US" b="1" i="0">
                                <a:solidFill>
                                  <a:srgbClr val="002060"/>
                                </a:solidFill>
                                <a:latin typeface="Cambria Math" panose="02040503050406030204" pitchFamily="18" charset="0"/>
                              </a:rPr>
                              <m:t>𝐚</m:t>
                            </m:r>
                          </m:e>
                        </m:acc>
                      </m:e>
                      <m:sub>
                        <m:r>
                          <a:rPr lang="en-US" b="1" i="1">
                            <a:solidFill>
                              <a:srgbClr val="002060"/>
                            </a:solidFill>
                            <a:latin typeface="Cambria Math" panose="02040503050406030204" pitchFamily="18" charset="0"/>
                          </a:rPr>
                          <m:t>𝟓𝟓</m:t>
                        </m:r>
                      </m:sub>
                      <m:sup>
                        <m:d>
                          <m:dPr>
                            <m:ctrlPr>
                              <a:rPr lang="en-US" b="1" i="1">
                                <a:solidFill>
                                  <a:srgbClr val="002060"/>
                                </a:solidFill>
                                <a:latin typeface="Cambria Math" panose="02040503050406030204" pitchFamily="18" charset="0"/>
                              </a:rPr>
                            </m:ctrlPr>
                          </m:dPr>
                          <m:e>
                            <m:r>
                              <a:rPr lang="en-US" b="1" i="1">
                                <a:solidFill>
                                  <a:srgbClr val="002060"/>
                                </a:solidFill>
                                <a:latin typeface="Cambria Math" panose="02040503050406030204" pitchFamily="18" charset="0"/>
                              </a:rPr>
                              <m:t>𝟏𝟐</m:t>
                            </m:r>
                          </m:e>
                        </m:d>
                      </m:sup>
                    </m:sSubSup>
                  </m:oMath>
                </m:oMathPara>
              </a14:m>
              <a:endParaRPr lang="en-US" b="1">
                <a:solidFill>
                  <a:srgbClr val="002060"/>
                </a:solidFill>
              </a:endParaRPr>
            </a:p>
          </xdr:txBody>
        </xdr:sp>
      </mc:Choice>
      <mc:Fallback xmlns="">
        <xdr:sp macro="" textlink="">
          <xdr:nvSpPr>
            <xdr:cNvPr id="10" name="Object 5">
              <a:extLst>
                <a:ext uri="{FF2B5EF4-FFF2-40B4-BE49-F238E27FC236}">
                  <a16:creationId xmlns:a16="http://schemas.microsoft.com/office/drawing/2014/main" id="{FFA6A46F-54BA-49B4-BB19-08A9283E3B77}"/>
                </a:ext>
              </a:extLst>
            </xdr:cNvPr>
            <xdr:cNvSpPr txBox="1"/>
          </xdr:nvSpPr>
          <xdr:spPr>
            <a:xfrm>
              <a:off x="1640093" y="22167925"/>
              <a:ext cx="495905" cy="450558"/>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𝐚 ̈_𝟓𝟓^((𝟏𝟐) )</a:t>
              </a:r>
              <a:endParaRPr lang="en-US" b="1">
                <a:solidFill>
                  <a:srgbClr val="002060"/>
                </a:solidFill>
              </a:endParaRPr>
            </a:p>
          </xdr:txBody>
        </xdr:sp>
      </mc:Fallback>
    </mc:AlternateContent>
    <xdr:clientData/>
  </xdr:oneCellAnchor>
  <xdr:oneCellAnchor>
    <xdr:from>
      <xdr:col>2</xdr:col>
      <xdr:colOff>617668</xdr:colOff>
      <xdr:row>105</xdr:row>
      <xdr:rowOff>100405</xdr:rowOff>
    </xdr:from>
    <xdr:ext cx="742208" cy="365967"/>
    <mc:AlternateContent xmlns:mc="http://schemas.openxmlformats.org/markup-compatibility/2006" xmlns:a14="http://schemas.microsoft.com/office/drawing/2010/main">
      <mc:Choice Requires="a14">
        <xdr:sp macro="" textlink="">
          <xdr:nvSpPr>
            <xdr:cNvPr id="11" name="Object 4">
              <a:extLst>
                <a:ext uri="{FF2B5EF4-FFF2-40B4-BE49-F238E27FC236}">
                  <a16:creationId xmlns:a16="http://schemas.microsoft.com/office/drawing/2014/main" id="{F7E0EC4E-2E75-4EC7-8F57-E78AE1D5EB40}"/>
                </a:ext>
              </a:extLst>
            </xdr:cNvPr>
            <xdr:cNvSpPr txBox="1"/>
          </xdr:nvSpPr>
          <xdr:spPr>
            <a:xfrm>
              <a:off x="1608268" y="21722155"/>
              <a:ext cx="742208" cy="365967"/>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14:m>
                <m:oMathPara xmlns:m="http://schemas.openxmlformats.org/officeDocument/2006/math">
                  <m:oMathParaPr>
                    <m:jc m:val="left"/>
                  </m:oMathParaPr>
                  <m:oMath xmlns:m="http://schemas.openxmlformats.org/officeDocument/2006/math">
                    <m:sPre>
                      <m:sPrePr>
                        <m:ctrlPr>
                          <a:rPr lang="en-US" b="1" i="1">
                            <a:solidFill>
                              <a:srgbClr val="002060"/>
                            </a:solidFill>
                            <a:latin typeface="Cambria Math" panose="02040503050406030204" pitchFamily="18" charset="0"/>
                          </a:rPr>
                        </m:ctrlPr>
                      </m:sPrePr>
                      <m:sub>
                        <m:r>
                          <a:rPr lang="en-US" b="1" i="1">
                            <a:solidFill>
                              <a:srgbClr val="002060"/>
                            </a:solidFill>
                            <a:latin typeface="Cambria Math" panose="02040503050406030204" pitchFamily="18" charset="0"/>
                          </a:rPr>
                          <m:t>𝟏𝟒</m:t>
                        </m:r>
                        <m:r>
                          <a:rPr lang="en-US" b="1" i="1">
                            <a:solidFill>
                              <a:srgbClr val="002060"/>
                            </a:solidFill>
                            <a:latin typeface="Cambria Math" panose="02040503050406030204" pitchFamily="18" charset="0"/>
                          </a:rPr>
                          <m:t>|</m:t>
                        </m:r>
                      </m:sub>
                      <m:sup>
                        <m:r>
                          <a:rPr lang="en-CA" b="1" i="1">
                            <a:solidFill>
                              <a:srgbClr val="002060"/>
                            </a:solidFill>
                            <a:latin typeface="Cambria Math" panose="02040503050406030204" pitchFamily="18" charset="0"/>
                          </a:rPr>
                          <m:t> </m:t>
                        </m:r>
                      </m:sup>
                      <m:e>
                        <m:sSubSup>
                          <m:sSubSupPr>
                            <m:ctrlPr>
                              <a:rPr lang="en-US" sz="1100" b="1" i="1">
                                <a:solidFill>
                                  <a:srgbClr val="002060"/>
                                </a:solidFill>
                                <a:effectLst/>
                                <a:latin typeface="Cambria Math" panose="02040503050406030204" pitchFamily="18" charset="0"/>
                                <a:ea typeface="+mn-ea"/>
                                <a:cs typeface="+mn-cs"/>
                              </a:rPr>
                            </m:ctrlPr>
                          </m:sSubSupPr>
                          <m:e>
                            <m:acc>
                              <m:accPr>
                                <m:chr m:val="̈"/>
                                <m:ctrlPr>
                                  <a:rPr lang="en-US" sz="1100" b="1" i="1">
                                    <a:solidFill>
                                      <a:srgbClr val="002060"/>
                                    </a:solidFill>
                                    <a:effectLst/>
                                    <a:latin typeface="Cambria Math" panose="02040503050406030204" pitchFamily="18" charset="0"/>
                                    <a:ea typeface="+mn-ea"/>
                                    <a:cs typeface="+mn-cs"/>
                                  </a:rPr>
                                </m:ctrlPr>
                              </m:accPr>
                              <m:e>
                                <m:r>
                                  <a:rPr lang="en-US" sz="1100" b="1" i="0">
                                    <a:solidFill>
                                      <a:srgbClr val="002060"/>
                                    </a:solidFill>
                                    <a:effectLst/>
                                    <a:latin typeface="Cambria Math" panose="02040503050406030204" pitchFamily="18" charset="0"/>
                                    <a:ea typeface="+mn-ea"/>
                                    <a:cs typeface="+mn-cs"/>
                                  </a:rPr>
                                  <m:t>𝐚</m:t>
                                </m:r>
                              </m:e>
                            </m:acc>
                          </m:e>
                          <m:sub>
                            <m:r>
                              <a:rPr lang="en-US" sz="1100" b="1" i="1">
                                <a:solidFill>
                                  <a:srgbClr val="002060"/>
                                </a:solidFill>
                                <a:effectLst/>
                                <a:latin typeface="Cambria Math" panose="02040503050406030204" pitchFamily="18" charset="0"/>
                                <a:ea typeface="+mn-ea"/>
                                <a:cs typeface="+mn-cs"/>
                              </a:rPr>
                              <m:t>𝟓𝟏</m:t>
                            </m:r>
                          </m:sub>
                          <m:sup>
                            <m:d>
                              <m:dPr>
                                <m:ctrlPr>
                                  <a:rPr lang="en-US" sz="1100" b="1" i="1">
                                    <a:solidFill>
                                      <a:srgbClr val="002060"/>
                                    </a:solidFill>
                                    <a:effectLst/>
                                    <a:latin typeface="Cambria Math" panose="02040503050406030204" pitchFamily="18" charset="0"/>
                                    <a:ea typeface="+mn-ea"/>
                                    <a:cs typeface="+mn-cs"/>
                                  </a:rPr>
                                </m:ctrlPr>
                              </m:dPr>
                              <m:e>
                                <m:r>
                                  <a:rPr lang="en-US" sz="1100" b="1" i="1">
                                    <a:solidFill>
                                      <a:srgbClr val="002060"/>
                                    </a:solidFill>
                                    <a:effectLst/>
                                    <a:latin typeface="Cambria Math" panose="02040503050406030204" pitchFamily="18" charset="0"/>
                                    <a:ea typeface="+mn-ea"/>
                                    <a:cs typeface="+mn-cs"/>
                                  </a:rPr>
                                  <m:t>𝟏𝟐</m:t>
                                </m:r>
                              </m:e>
                            </m:d>
                          </m:sup>
                        </m:sSubSup>
                      </m:e>
                    </m:sPre>
                  </m:oMath>
                </m:oMathPara>
              </a14:m>
              <a:endParaRPr lang="en-US" b="1">
                <a:solidFill>
                  <a:srgbClr val="002060"/>
                </a:solidFill>
              </a:endParaRPr>
            </a:p>
          </xdr:txBody>
        </xdr:sp>
      </mc:Choice>
      <mc:Fallback xmlns="">
        <xdr:sp macro="" textlink="">
          <xdr:nvSpPr>
            <xdr:cNvPr id="11" name="Object 4">
              <a:extLst>
                <a:ext uri="{FF2B5EF4-FFF2-40B4-BE49-F238E27FC236}">
                  <a16:creationId xmlns:a16="http://schemas.microsoft.com/office/drawing/2014/main" id="{F7E0EC4E-2E75-4EC7-8F57-E78AE1D5EB40}"/>
                </a:ext>
              </a:extLst>
            </xdr:cNvPr>
            <xdr:cNvSpPr txBox="1"/>
          </xdr:nvSpPr>
          <xdr:spPr>
            <a:xfrm>
              <a:off x="1608268" y="21722155"/>
              <a:ext cx="742208" cy="365967"/>
            </a:xfrm>
            <a:prstGeom prst="rect">
              <a:avLst/>
            </a:prstGeom>
          </xdr:spPr>
          <xdr:txBody>
            <a:bodyPr wrap="none">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r>
                <a:rPr lang="en-US" b="1" i="0">
                  <a:solidFill>
                    <a:srgbClr val="002060"/>
                  </a:solidFill>
                  <a:latin typeface="Cambria Math" panose="02040503050406030204" pitchFamily="18" charset="0"/>
                </a:rPr>
                <a:t>(_𝟏𝟒|</a:t>
              </a:r>
              <a:r>
                <a:rPr lang="en-CA" b="1" i="0">
                  <a:solidFill>
                    <a:srgbClr val="002060"/>
                  </a:solidFill>
                  <a:latin typeface="Cambria Math" panose="02040503050406030204" pitchFamily="18" charset="0"/>
                </a:rPr>
                <a:t>^ </a:t>
              </a:r>
              <a:r>
                <a:rPr lang="en-US" b="1" i="0">
                  <a:solidFill>
                    <a:srgbClr val="002060"/>
                  </a:solidFill>
                  <a:latin typeface="Cambria Math" panose="02040503050406030204" pitchFamily="18" charset="0"/>
                </a:rPr>
                <a:t>)</a:t>
              </a:r>
              <a:r>
                <a:rPr lang="en-US" sz="1100" b="1" i="0">
                  <a:solidFill>
                    <a:srgbClr val="002060"/>
                  </a:solidFill>
                  <a:effectLst/>
                  <a:latin typeface="Cambria Math" panose="02040503050406030204" pitchFamily="18" charset="0"/>
                  <a:ea typeface="+mn-ea"/>
                  <a:cs typeface="+mn-cs"/>
                </a:rPr>
                <a:t>𝐚 ̈_𝟓𝟏^((𝟏𝟐) ) </a:t>
              </a:r>
              <a:endParaRPr lang="en-US" b="1">
                <a:solidFill>
                  <a:srgbClr val="002060"/>
                </a:solidFill>
              </a:endParaRPr>
            </a:p>
          </xdr:txBody>
        </xdr:sp>
      </mc:Fallback>
    </mc:AlternateContent>
    <xdr:clientData/>
  </xdr:oneCellAnchor>
  <xdr:twoCellAnchor>
    <xdr:from>
      <xdr:col>5</xdr:col>
      <xdr:colOff>508000</xdr:colOff>
      <xdr:row>15</xdr:row>
      <xdr:rowOff>158750</xdr:rowOff>
    </xdr:from>
    <xdr:to>
      <xdr:col>10</xdr:col>
      <xdr:colOff>349626</xdr:colOff>
      <xdr:row>19</xdr:row>
      <xdr:rowOff>42368</xdr:rowOff>
    </xdr:to>
    <xdr:sp macro="" textlink="">
      <xdr:nvSpPr>
        <xdr:cNvPr id="12" name="GLOBALPEERREVIEW">
          <a:extLst>
            <a:ext uri="{FF2B5EF4-FFF2-40B4-BE49-F238E27FC236}">
              <a16:creationId xmlns:a16="http://schemas.microsoft.com/office/drawing/2014/main" id="{D77A7930-CDE3-4689-8470-BCF076C14EB6}"/>
            </a:ext>
          </a:extLst>
        </xdr:cNvPr>
        <xdr:cNvSpPr txBox="1"/>
      </xdr:nvSpPr>
      <xdr:spPr>
        <a:xfrm>
          <a:off x="5480050" y="3178175"/>
          <a:ext cx="4261226" cy="683718"/>
        </a:xfrm>
        <a:prstGeom prst="rect">
          <a:avLst/>
        </a:prstGeom>
        <a:solidFill>
          <a:schemeClr val="lt1">
            <a:alpha val="300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r>
            <a:rPr lang="en-US" sz="3200">
              <a:solidFill>
                <a:srgbClr val="A9A9A9"/>
              </a:solidFill>
              <a:latin typeface="Arial Black" panose="020B0A04020102020204" pitchFamily="34" charset="0"/>
            </a:rPr>
            <a:t>Not Peer Reviewed</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33</xdr:row>
      <xdr:rowOff>0</xdr:rowOff>
    </xdr:from>
    <xdr:to>
      <xdr:col>1</xdr:col>
      <xdr:colOff>387350</xdr:colOff>
      <xdr:row>34</xdr:row>
      <xdr:rowOff>0</xdr:rowOff>
    </xdr:to>
    <xdr:pic>
      <xdr:nvPicPr>
        <xdr:cNvPr id="2" name="Picture 1">
          <a:extLst>
            <a:ext uri="{FF2B5EF4-FFF2-40B4-BE49-F238E27FC236}">
              <a16:creationId xmlns:a16="http://schemas.microsoft.com/office/drawing/2014/main" id="{EA4AFEF7-8DE5-411C-8F84-0D710364C6B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42950" y="6800850"/>
          <a:ext cx="38735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34</xdr:row>
      <xdr:rowOff>0</xdr:rowOff>
    </xdr:from>
    <xdr:to>
      <xdr:col>1</xdr:col>
      <xdr:colOff>387350</xdr:colOff>
      <xdr:row>35</xdr:row>
      <xdr:rowOff>0</xdr:rowOff>
    </xdr:to>
    <xdr:pic>
      <xdr:nvPicPr>
        <xdr:cNvPr id="3" name="Picture 2">
          <a:extLst>
            <a:ext uri="{FF2B5EF4-FFF2-40B4-BE49-F238E27FC236}">
              <a16:creationId xmlns:a16="http://schemas.microsoft.com/office/drawing/2014/main" id="{E8A314F6-1EC5-4B0B-969E-5C0F597A9FB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42950" y="7000875"/>
          <a:ext cx="38735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33</xdr:row>
      <xdr:rowOff>0</xdr:rowOff>
    </xdr:from>
    <xdr:to>
      <xdr:col>1</xdr:col>
      <xdr:colOff>387350</xdr:colOff>
      <xdr:row>34</xdr:row>
      <xdr:rowOff>0</xdr:rowOff>
    </xdr:to>
    <xdr:pic>
      <xdr:nvPicPr>
        <xdr:cNvPr id="2" name="Picture 1">
          <a:extLst>
            <a:ext uri="{FF2B5EF4-FFF2-40B4-BE49-F238E27FC236}">
              <a16:creationId xmlns:a16="http://schemas.microsoft.com/office/drawing/2014/main" id="{49E76A50-01A1-4509-B5BC-44F7AF4ECEF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6825" y="6800850"/>
          <a:ext cx="38735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34</xdr:row>
      <xdr:rowOff>0</xdr:rowOff>
    </xdr:from>
    <xdr:to>
      <xdr:col>1</xdr:col>
      <xdr:colOff>387350</xdr:colOff>
      <xdr:row>35</xdr:row>
      <xdr:rowOff>0</xdr:rowOff>
    </xdr:to>
    <xdr:pic>
      <xdr:nvPicPr>
        <xdr:cNvPr id="3" name="Picture 2">
          <a:extLst>
            <a:ext uri="{FF2B5EF4-FFF2-40B4-BE49-F238E27FC236}">
              <a16:creationId xmlns:a16="http://schemas.microsoft.com/office/drawing/2014/main" id="{7EA4ECAD-6ACB-4A63-AD87-29D17391DA7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6825" y="7000875"/>
          <a:ext cx="38735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21166</xdr:colOff>
      <xdr:row>40</xdr:row>
      <xdr:rowOff>1</xdr:rowOff>
    </xdr:from>
    <xdr:to>
      <xdr:col>4</xdr:col>
      <xdr:colOff>649816</xdr:colOff>
      <xdr:row>40</xdr:row>
      <xdr:rowOff>226837</xdr:rowOff>
    </xdr:to>
    <xdr:pic>
      <xdr:nvPicPr>
        <xdr:cNvPr id="2" name="Image 1">
          <a:extLst>
            <a:ext uri="{FF2B5EF4-FFF2-40B4-BE49-F238E27FC236}">
              <a16:creationId xmlns:a16="http://schemas.microsoft.com/office/drawing/2014/main" id="{782BA448-0F44-40F7-BB7D-3816D779D06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31166" y="9686926"/>
          <a:ext cx="628650" cy="226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xdr:row>
      <xdr:rowOff>0</xdr:rowOff>
    </xdr:from>
    <xdr:to>
      <xdr:col>4</xdr:col>
      <xdr:colOff>628650</xdr:colOff>
      <xdr:row>41</xdr:row>
      <xdr:rowOff>219075</xdr:rowOff>
    </xdr:to>
    <xdr:pic>
      <xdr:nvPicPr>
        <xdr:cNvPr id="3" name="Image 2">
          <a:extLst>
            <a:ext uri="{FF2B5EF4-FFF2-40B4-BE49-F238E27FC236}">
              <a16:creationId xmlns:a16="http://schemas.microsoft.com/office/drawing/2014/main" id="{78F762D0-1406-4D4C-B2A9-E85BD9AB1926}"/>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00" y="9944100"/>
          <a:ext cx="62865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xdr:row>
      <xdr:rowOff>0</xdr:rowOff>
    </xdr:from>
    <xdr:to>
      <xdr:col>4</xdr:col>
      <xdr:colOff>628650</xdr:colOff>
      <xdr:row>42</xdr:row>
      <xdr:rowOff>219075</xdr:rowOff>
    </xdr:to>
    <xdr:pic>
      <xdr:nvPicPr>
        <xdr:cNvPr id="4" name="Image 3">
          <a:extLst>
            <a:ext uri="{FF2B5EF4-FFF2-40B4-BE49-F238E27FC236}">
              <a16:creationId xmlns:a16="http://schemas.microsoft.com/office/drawing/2014/main" id="{279079DF-2721-495D-9A2A-4E190FE6A5CB}"/>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00" y="10201275"/>
          <a:ext cx="62865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mcglobalcan-my.sharepoint.com/Users/licscs/OneDrive%20-%20Industrial%20Alliance/Desktop/Verif%20FM/V&#233;rif_FM_2021.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CURATED%20PAST%20EXAMS/Fully%20Assembled/RET101%20Curated%20Past%20Exam%20Excel%20Files.xlsx" TargetMode="External"/><Relationship Id="rId1" Type="http://schemas.openxmlformats.org/officeDocument/2006/relationships/externalLinkPath" Target="RET101%20Curated%20Past%20Exam%20Excel%20File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jbrennan.INSCONST\Downloads\ILA-LPM%20Spring%202021%20Exam%20Rubric%20with%20Calibration%20Notes%20(6).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sunlifefinancial-my.sharepoint.com/personal/al_na_sunlife_com/Documents/Documents/Personal%20Documents/SOA%20Volunteer/2022%20Spring%20CG/ILA-LPM%20Spring%202022%20Rubric%20Fina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ul/Dropbox/Documents/Paul/SOA%20Exam%20Committee/2017/Dec%202017%20-%20San%20Francisco/DA_Retirement_Case_Study_2018%20FINAL%2012182017.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aul\Dropbox\Documents\Paul\SOA%20Exam%20Committee\2017\Dec%202017%20-%20San%20Francisco\DA_Retirement_Case_Study_2018%20FINAL%201218201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y.aon.net/Users/Paul/Dropbox/Documents/Paul/SOA%20Exam%20Committee/2017/Dec%202017%20-%20San%20Francisco/DA_Retirement_Case_Study_2018%20FINAL%2012182017.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ncleg-my.sharepoint.com/personal/david_vanderweide_ncleg_gov/Documents/Documents/Desktop/SOA/Practice%20Problems/Excel/fall-2022-exam-retdac%20(1).xlsx" TargetMode="External"/><Relationship Id="rId1" Type="http://schemas.openxmlformats.org/officeDocument/2006/relationships/externalLinkPath" Target="Excel/fall-2022-exam-retdac%20(1).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david.vanderweide\Downloads\edu-2022-fall-solutions-ret-dac.xlsx" TargetMode="External"/><Relationship Id="rId1" Type="http://schemas.openxmlformats.org/officeDocument/2006/relationships/externalLinkPath" Target="file:///C:\Users\david.vanderweide\Downloads\edu-2022-fall-solutions-ret-dac.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david.vanderweide\Downloads\fall-2022-exam-retdau.xlsx" TargetMode="External"/><Relationship Id="rId1" Type="http://schemas.openxmlformats.org/officeDocument/2006/relationships/externalLinkPath" Target="file:///C:\Users\david.vanderweide\Downloads\fall-2022-exam-retdau.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Users\david.vanderweide\Downloads\edu-2022-fall-solutions-ret-dau.%20(1).xlsx" TargetMode="External"/><Relationship Id="rId1" Type="http://schemas.openxmlformats.org/officeDocument/2006/relationships/externalLinkPath" Target="file:///C:\Users\david.vanderweide\Downloads\edu-2022-fall-solutions-ret-dau.%20(1).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CURATED%20PAST%20EXAMS/Fully%20Assembled/ILA101%20Curated%20Past%20Exam%20Excel%20Files.xlsx" TargetMode="External"/><Relationship Id="rId1" Type="http://schemas.openxmlformats.org/officeDocument/2006/relationships/externalLinkPath" Target="ILA101%20Curated%20Past%20Exam%20Excel%20Fi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Aide mémoire"/>
      <sheetName val="Funding"/>
      <sheetName val="Funding LV"/>
      <sheetName val="Solvency"/>
      <sheetName val="MaxFunding"/>
      <sheetName val="Funding sens"/>
      <sheetName val="Solvency sens"/>
      <sheetName val="Incr cost Solv"/>
      <sheetName val=" FESP 2014"/>
      <sheetName val="PfAD ON"/>
      <sheetName val="PfAD NS"/>
      <sheetName val="PfAD QC"/>
      <sheetName val="Amortissement"/>
      <sheetName val="Sommaire"/>
      <sheetName val="Amort2"/>
      <sheetName val="Terminaison"/>
      <sheetName val="Terminaison Future"/>
      <sheetName val="Funding RCA"/>
      <sheetName val="Solvency RCA"/>
      <sheetName val="Projection to retirement"/>
      <sheetName val="Parameters"/>
      <sheetName val="Tables"/>
      <sheetName val="PA"/>
    </sheetNames>
    <sheetDataSet>
      <sheetData sheetId="0">
        <row r="3">
          <cell r="B3">
            <v>44562</v>
          </cell>
        </row>
        <row r="9">
          <cell r="B9" t="str">
            <v>M</v>
          </cell>
        </row>
      </sheetData>
      <sheetData sheetId="1" refreshError="1"/>
      <sheetData sheetId="2">
        <row r="47">
          <cell r="B47">
            <v>50</v>
          </cell>
        </row>
        <row r="48">
          <cell r="B48">
            <v>65</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15">
          <cell r="C115">
            <v>0</v>
          </cell>
        </row>
        <row r="117">
          <cell r="C117" t="str">
            <v>CPM2014</v>
          </cell>
          <cell r="D117" t="str">
            <v>CPM-B</v>
          </cell>
          <cell r="E117" t="str">
            <v>N</v>
          </cell>
          <cell r="F117" t="str">
            <v>N</v>
          </cell>
          <cell r="G117">
            <v>0</v>
          </cell>
        </row>
        <row r="119">
          <cell r="C119" t="str">
            <v>M</v>
          </cell>
        </row>
        <row r="123">
          <cell r="C123">
            <v>0</v>
          </cell>
        </row>
        <row r="125">
          <cell r="C125">
            <v>1</v>
          </cell>
        </row>
      </sheetData>
      <sheetData sheetId="22" refreshError="1"/>
      <sheetData sheetId="2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RET 101 LO 1"/>
      <sheetName val="DAC-Fall22-Q8"/>
      <sheetName val="DAC-Fall22-Q8Ans"/>
      <sheetName val="DAU-Spring24-Q4"/>
      <sheetName val="DAU-Spring24-Q4Ans"/>
      <sheetName val="RET 101 LO 2"/>
      <sheetName val="DAC-Fall21-Q10"/>
      <sheetName val="DAC-Fall21-Q10Ans"/>
      <sheetName val="DAC-Spring24-Q10"/>
      <sheetName val="DAC-Spring24-Q10Ans"/>
      <sheetName val="RET 101 LO 4"/>
      <sheetName val="DAC-Fall21-Q4"/>
      <sheetName val="DAC-Fall21-Q4A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ll"/>
      <sheetName val="Coverage"/>
      <sheetName val="BP-1-2020"/>
      <sheetName val="AA-1-2020"/>
      <sheetName val="Spring 2021 LPM Q2 Calibration"/>
      <sheetName val="Part a"/>
      <sheetName val="Part b"/>
      <sheetName val="Part c"/>
      <sheetName val="AA-1-2020 calc"/>
      <sheetName val="AA-1-2020 calc corrected"/>
      <sheetName val="DF-1-2020"/>
      <sheetName val="JR-1-2020"/>
      <sheetName val="JR-1-2020 calc"/>
      <sheetName val="KW-1-2020"/>
      <sheetName val="MD-1-2020"/>
      <sheetName val="MD-1-2020 calc"/>
      <sheetName val="SM-1-2019"/>
      <sheetName val="SM-1-2019 Calc"/>
      <sheetName val="SR-1-2020"/>
      <sheetName val="TL-1-2020"/>
      <sheetName val="TL-2-2020"/>
      <sheetName val="TL-Calc's"/>
      <sheetName val="Rubric Template"/>
      <sheetName val="BL-1-2020"/>
      <sheetName val="syllabus list"/>
      <sheetName val="ILA Prod Mgmt LOs and 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t="str">
            <v xml:space="preserve">LO#3-2, </v>
          </cell>
        </row>
        <row r="10">
          <cell r="C10" t="str">
            <v xml:space="preserve">LO#3-9, </v>
          </cell>
        </row>
        <row r="11">
          <cell r="C11" t="str">
            <v xml:space="preserve">LO#3-10, </v>
          </cell>
        </row>
        <row r="12">
          <cell r="C12" t="e">
            <v>#N/A</v>
          </cell>
        </row>
        <row r="13">
          <cell r="C13" t="e">
            <v>#N/A</v>
          </cell>
        </row>
        <row r="14">
          <cell r="C14" t="e">
            <v>#N/A</v>
          </cell>
        </row>
        <row r="15">
          <cell r="C15" t="e">
            <v>#N/A</v>
          </cell>
        </row>
        <row r="16">
          <cell r="C16" t="e">
            <v>#N/A</v>
          </cell>
        </row>
      </sheetData>
      <sheetData sheetId="26">
        <row r="4">
          <cell r="B4" t="str">
            <v>LPM-107-07: Experience Assumptions for Individual Life Insurance and Annuities</v>
          </cell>
        </row>
        <row r="5">
          <cell r="B5" t="str">
            <v>LPM-121-13: Life Insurance and Annuity Non-forfeiture Practices</v>
          </cell>
        </row>
        <row r="6">
          <cell r="B6" t="str">
            <v>LPM-134-15: Digital Distribution in Insurance: A Quiet Revolution</v>
          </cell>
        </row>
        <row r="7">
          <cell r="B7" t="str">
            <v>LPM-142-16: Malcolm Life Enhances Its Variable Annuities, 2010</v>
          </cell>
        </row>
        <row r="8">
          <cell r="B8" t="str">
            <v>LPM-147-17: Life Insurance: Focusing on the Consumer (excluding Appendices)</v>
          </cell>
        </row>
        <row r="9">
          <cell r="B9" t="str">
            <v>LPM-148-19: Ch. 9 of Life Insurance Products and Finance, Atkinson and Dallas</v>
          </cell>
        </row>
        <row r="10">
          <cell r="B10" t="str">
            <v>LPM-149-19: Ch. 11, pp. 499-502 of Life Insurance Products and Finance, Atkinson and Dallas</v>
          </cell>
        </row>
        <row r="11">
          <cell r="B11" t="str">
            <v>LPM-150-19: Tax Reform Impacts on Life Insurance Pricing and Profitability, 2018</v>
          </cell>
        </row>
        <row r="12">
          <cell r="B12" t="str">
            <v>LPM-151-19: Transamerica Term Life: Understanding Post-Level Experience</v>
          </cell>
        </row>
        <row r="13">
          <cell r="B13" t="str">
            <v>LPM-152-19: Lapse Supported Insurance Analysis</v>
          </cell>
        </row>
        <row r="14">
          <cell r="B14" t="str">
            <v>LPM-165-19: Life Products and Features, ILA Committee, 2019</v>
          </cell>
        </row>
        <row r="15">
          <cell r="B15" t="str">
            <v>LPM-166-19: Annuity Product and Features, ILA Committee, 2019</v>
          </cell>
        </row>
        <row r="16">
          <cell r="B16" t="str">
            <v>ASOP 2: Non-guaranteed Charges or Benefits for Life Insurance Policies and Annuity Contracts, May 2011 (excluding Appendices)</v>
          </cell>
        </row>
        <row r="17">
          <cell r="B17" t="str">
            <v>ASOP 54: Pricing of Life and Annuity Products, Jun 2018</v>
          </cell>
        </row>
        <row r="18">
          <cell r="B18" t="str">
            <v>Impact of VM-20 on Life Insurance Product Development, SOA Research, Nov 2016, pp. 1-31 (excluding discussion of 20-year term)</v>
          </cell>
        </row>
        <row r="19">
          <cell r="B19" t="str">
            <v>The Use of Predictive Analytics in the Development of Experience Studies, The Actuary, 2015, pp. 26-34</v>
          </cell>
        </row>
        <row r="20">
          <cell r="B20" t="str">
            <v>Variable Annuity Guaranteed Living Benefits Utilization, SOA LIMRA Research, 2018, Executive Summary only (pp. 19-32)</v>
          </cell>
        </row>
        <row r="21">
          <cell r="B21" t="str">
            <v>Predictive Modeling for Life Insurance: Ways Life Insurers Can Participate in the Business Analytics Revolution, Product Matters, 2018</v>
          </cell>
        </row>
        <row r="22">
          <cell r="B22" t="str">
            <v>Macro-Pricing, Product Development Monograph, pp. 11-41</v>
          </cell>
        </row>
        <row r="23">
          <cell r="B23" t="str">
            <v>Life Insurance Acceleration Riders, SOA Reinsurance News, 2013, pp. 35-38</v>
          </cell>
        </row>
        <row r="24">
          <cell r="B24" t="str">
            <v>The Response of Life Insurance Pricing to Life Settlements, Product Matters, Sep 2006</v>
          </cell>
        </row>
        <row r="25">
          <cell r="B25" t="str">
            <v>Risk Based Pricing – Risk Management at Point of Sale, Product Matters, Jun 2009</v>
          </cell>
        </row>
        <row r="26">
          <cell r="B26" t="str">
            <v>Report on Pricing Using Market Consistent Embedded Value (MCEV), Jun 2012 (excluding Appendix 2)</v>
          </cell>
        </row>
        <row r="27">
          <cell r="B27" t="str">
            <v>Life Insurance for the Digital Age:  An End-to-End View, Product Matters, Nov 2017</v>
          </cell>
        </row>
        <row r="28">
          <cell r="B28" t="str">
            <v>Term Conversions: Pricing and Reserving, Product Matters, Mar 2017</v>
          </cell>
        </row>
        <row r="29">
          <cell r="B29" t="str">
            <v>Term Conversions - A Reinsurers Perspective, Product Matters, Jun 2012</v>
          </cell>
        </row>
        <row r="30">
          <cell r="B30" t="str">
            <v>Setting Assumptions, Exposure Draft, ASOP, Dec 2016</v>
          </cell>
        </row>
        <row r="31">
          <cell r="B31" t="str">
            <v>Term Mortality and Lapses, Product Matters, Aug 2005</v>
          </cell>
        </row>
        <row r="32">
          <cell r="B32" t="str">
            <v>Ending the Mortality Table, Living to 100 Symposium</v>
          </cell>
        </row>
        <row r="33">
          <cell r="B33" t="str">
            <v>Post Level Term Experience Results, 2014, pp. 21-44</v>
          </cell>
        </row>
        <row r="34">
          <cell r="B34" t="str">
            <v>Level Term Lapse Rates – Lessons Learned Here and in Canada, Product Matters, Oct 2011, pp. 11-14</v>
          </cell>
        </row>
        <row r="35">
          <cell r="B35" t="str">
            <v>Modeling of Policyholder Behavior for Life and Annuity Products, SOA, 2014, pp. 6, 9-16 &amp; 19-73</v>
          </cell>
        </row>
        <row r="36">
          <cell r="B36" t="str">
            <v>Report on Premium Persistency Assumptions Study of Flexible Premium Universal Life Products, May 2012, pp. 9-15</v>
          </cell>
        </row>
        <row r="37">
          <cell r="B37" t="str">
            <v>Understanding the Volatility Experience and Pricing Assumptions in Long-Term Care Insurance, 2014, pp. 4-46</v>
          </cell>
        </row>
        <row r="38">
          <cell r="B38" t="str">
            <v>Report on the Conversion Experience Study for the Level Premium Term Plans, 2016, pp. 6-9, 39-40 &amp; Appendix B</v>
          </cell>
        </row>
        <row r="39">
          <cell r="B39" t="str">
            <v>Long-Term Care Insurance: The SOA Pricing Project, 2016</v>
          </cell>
        </row>
        <row r="40">
          <cell r="B40" t="str">
            <v>Table Development, Feb 2018 (excluding Appendices C, D, F, G &amp; H)</v>
          </cell>
        </row>
        <row r="41">
          <cell r="B41" t="str">
            <v>LPM-113-09: Economics of Insurance: How Insurers Create Value for Shareholders, pp. 4-31</v>
          </cell>
        </row>
        <row r="42">
          <cell r="B42" t="str">
            <v>LPM-153-19: Life in-force Management: Improving Consumer Value and Long-Term Profitability</v>
          </cell>
        </row>
        <row r="43">
          <cell r="B43" t="str">
            <v xml:space="preserve">LPM-154-19: Introduction to Source of Earnings Analysis, 2015, Exclude Appendix </v>
          </cell>
        </row>
        <row r="44">
          <cell r="B44" t="str">
            <v>LPM-155-19: Understanding Profitability in Life Insurance</v>
          </cell>
        </row>
        <row r="45">
          <cell r="B45" t="str">
            <v>Earnings Emergence Insurance Accounting under Multiple Financial Reporting Bases, 2015, pp. 4-6, 10-24 &amp; 45-53</v>
          </cell>
        </row>
        <row r="46">
          <cell r="B46" t="str">
            <v>Relationship of IRR to ROI on a Level Term Life Insurance Policy, Product Matters, Jun 2013, pp. 18-21</v>
          </cell>
        </row>
        <row r="47">
          <cell r="B47" t="str">
            <v>Evolving Strategies to Improve Inforce Post-Level Term Profitability, Product Matters, Feb 2015, pp. 23-29</v>
          </cell>
        </row>
        <row r="48">
          <cell r="B48" t="str">
            <v>LPM-110-07: Policyholder Dividends</v>
          </cell>
        </row>
        <row r="49">
          <cell r="B49" t="str">
            <v>LPM-133-16: Testing for Adverse Selection in Life Settlements: The Secondary Market for Life Insurance Policies, pp. 2-18</v>
          </cell>
        </row>
        <row r="50">
          <cell r="B50" t="str">
            <v>LPM-156-19: The Impact of Stochastic Volatility on Pricing, Hedging and Hedge Efficiency of Withdrawal Benefit Guarantees in Variable Annuities (Note: Candidates not responsible for mathematical derivations or detailed results, but should understand concepts and methodology)</v>
          </cell>
        </row>
        <row r="51">
          <cell r="B51" t="str">
            <v>LPM-157-19: Diversification of Longevity and Mortality Risk</v>
          </cell>
        </row>
        <row r="52">
          <cell r="B52" t="str">
            <v>LPM-159-19: New York State Department of Financial Services 11 NYCRR 48 (Insurance Regulation 210), pp. 4-9</v>
          </cell>
        </row>
        <row r="53">
          <cell r="B53" t="str">
            <v>Transition to a High Interest Rate Environment: Preparing for Uncertainty, SOA Research, Jul 2015, Executive Summary, section IV: parts C (1-4 &amp; 8-11 only), D, E &amp; H</v>
          </cell>
        </row>
        <row r="54">
          <cell r="B54" t="str">
            <v>Experience Study Calculations, Oct 2016, sections 2-4, 11, 12, 15, 17 &amp; 18 (excluding 18.2, 18.8 &amp; 18.9)</v>
          </cell>
        </row>
        <row r="55">
          <cell r="B55" t="str">
            <v>Credibility Theory Practices, 2009 (excluding Appendices and formula derivations)</v>
          </cell>
        </row>
        <row r="56">
          <cell r="B56" t="str">
            <v>TransUnion’s TrueRisk Life Creation and Validation of the Industry’s Leading Credit-Based Insurance Score, RGA, 2019</v>
          </cell>
        </row>
        <row r="57">
          <cell r="B57" t="str">
            <v>LexisNexis® Risk Classifier – stratifying mortality risk using alternative data sources</v>
          </cell>
        </row>
        <row r="58">
          <cell r="B58" t="str">
            <v>Life, Health &amp; Annuity Reinsurance, Tiller, John E. and Tiller, Denise, 4th Edition, 2015 - Ch. 4: Basic Methods of Reinsurance</v>
          </cell>
        </row>
        <row r="59">
          <cell r="B59" t="str">
            <v>Life, Health &amp; Annuity Reinsurance, Tiller, John E. and Tiller, Denise, 4th Edition, 2015 - Ch. 5: Advanced Methods and Structures of Reinsurance</v>
          </cell>
        </row>
        <row r="60">
          <cell r="B60" t="str">
            <v>Life, Health &amp; Annuity Reinsurance, Tiller, John E. and Tiller, Denise, 4th Edition, 2015 - Ch. 6: Assumption</v>
          </cell>
        </row>
        <row r="61">
          <cell r="B61" t="str">
            <v>Life, Health &amp; Annuity Reinsurance, Tiller, John E. and Tiller, Denise, 4th Edition, 2015 - Ch. 7: Reinsurance of Inforce Risks</v>
          </cell>
        </row>
        <row r="62">
          <cell r="B62" t="str">
            <v>Life, Health &amp; Annuity Reinsurance, Tiller, John E. and Tiller, Denise, 4th Edition, 2015 - Ch. 9: Risk Transfer Considerations (pp. 269-280)</v>
          </cell>
        </row>
        <row r="63">
          <cell r="B63" t="str">
            <v xml:space="preserve">Life, Health &amp; Annuity Reinsurance, Tiller, John E. and Tiller, Denise, 4th Edition, 2015 - Ch. 17: Nonproportional Reinsurance </v>
          </cell>
        </row>
        <row r="64">
          <cell r="B64" t="str">
            <v>LPM-160-19: Strategic Reinsurance and Insurance: The Increasing Trend of Customized Solutions, pp. 1-4, 14-15 &amp; 18-31</v>
          </cell>
        </row>
        <row r="65">
          <cell r="B65" t="str">
            <v>Managing Investment Portfolios, Maginn, John L. and Tuttle, Donald L., 3rd Edition, 2007 - Ch. 3: Managing Institutional Investor Portfolios (section 4.1)</v>
          </cell>
        </row>
        <row r="66">
          <cell r="B66" t="str">
            <v>Managing Investment Portfolios, Maginn, John L. and Tuttle, Donald L., 3rd Edition, 2007 - Ch. 5: Asset Allocation (sections 2-4)</v>
          </cell>
        </row>
        <row r="67">
          <cell r="B67" t="str">
            <v>Managing Investment Portfolios, Maginn, John L. and Tuttle, Donald L., 3rd Edition, 2007 - Ch. 6: Fixed-Income Portfolio Management (sections 1-5)</v>
          </cell>
        </row>
        <row r="68">
          <cell r="B68" t="str">
            <v>Managing Investment Portfolios, Maginn, John L. and Tuttle, Donald L., 3rd Edition, 2007 - Ch. 8: Alternative Investments Portfolio Management (section 3)</v>
          </cell>
        </row>
        <row r="69">
          <cell r="B69" t="str">
            <v>Managing Investment Portfolios, Maginn, John L. and Tuttle, Donald L., 3rd Edition, 2007 - Ch.12: Evaluating Portfolio Performance (section 4)</v>
          </cell>
        </row>
        <row r="70">
          <cell r="B70" t="str">
            <v>Handbook of Fixed Income Securities, Fabozzi, Frank J., 8th Edition, 2012 - Ch. 6: Bond Pricing, Yield Measures and Total Return (pp. 102-120)</v>
          </cell>
        </row>
        <row r="71">
          <cell r="B71" t="str">
            <v>Handbook of Fixed Income Securities, Fabozzi, Frank J., 8th Edition, 2012 - Ch. 9: U.S. Treasury Securities (pp. 194-205)</v>
          </cell>
        </row>
        <row r="72">
          <cell r="B72" t="str">
            <v>Handbook of Fixed Income Securities, Fabozzi, Frank J., 8th Edition, 2012 - Ch. 10: Agency Debt Securities (pp. 207-220)</v>
          </cell>
        </row>
        <row r="73">
          <cell r="B73" t="str">
            <v>Handbook of Fixed Income Securities, Fabozzi, Frank J., 8th Edition, 2012 - Ch. 11: Municipal Bonds (pp. 225-230 &amp; 234-246)</v>
          </cell>
        </row>
        <row r="74">
          <cell r="B74" t="str">
            <v>Handbook of Fixed Income Securities, Fabozzi, Frank J., 8th Edition, 2012 - Ch. 12: Corporate Bonds (pp. 259-287, excluding exhibits 12-1 &amp; 12-2)</v>
          </cell>
        </row>
        <row r="75">
          <cell r="B75" t="str">
            <v>Handbook of Fixed Income Securities, Fabozzi, Frank J., 8th Edition, 2012 - Ch. 16: Private Money Market Instruments (pp. 337-340 &amp; 345-351)</v>
          </cell>
        </row>
        <row r="76">
          <cell r="B76" t="str">
            <v>Handbook of Fixed Income Securities, Fabozzi, Frank J., 8th Edition, 2012 - Ch. 17: Floating-Rate Securities</v>
          </cell>
        </row>
        <row r="77">
          <cell r="B77" t="str">
            <v>Handbook of Fixed Income Securities, Fabozzi, Frank J., 8th Edition, 2012 - Ch. 24: An Overview of Mortgages and the Mortgage Market</v>
          </cell>
        </row>
        <row r="78">
          <cell r="B78" t="str">
            <v>Handbook of Fixed Income Securities, Fabozzi, Frank J., 8th Edition, 2012 - Ch. 25: Agency Mortgage-Backed Securities</v>
          </cell>
        </row>
        <row r="79">
          <cell r="B79" t="str">
            <v>Handbook of Fixed Income Securities, Fabozzi, Frank J., 8th Edition, 2012 - Ch. 26: Agency Collateralized Mortgage Obligations</v>
          </cell>
        </row>
        <row r="80">
          <cell r="B80" t="str">
            <v>Handbook of Fixed Income Securities, Fabozzi, Frank J., 8th Edition, 2012 - Ch. 62: Interest-Rate Swaps and Swaptions</v>
          </cell>
        </row>
        <row r="81">
          <cell r="B81" t="str">
            <v>Handbook of Fixed Income Securities, Fabozzi, Frank J., 8th Edition, 2012 - Ch. 66: Credit Derivatives (pp. 1541-1559)</v>
          </cell>
        </row>
        <row r="82">
          <cell r="B82" t="str">
            <v>LPM-161-19: High-Yield Bond Market Primer</v>
          </cell>
        </row>
        <row r="83">
          <cell r="B83" t="str">
            <v>LPM-162-19: Liquidity Risk Management: Best Risk Management Practices</v>
          </cell>
        </row>
        <row r="84">
          <cell r="B84" t="str">
            <v>LPM-163-19: Managing your Advisor: A Guide to Getting the Most Out of the Portfolio Management Process</v>
          </cell>
        </row>
        <row r="85">
          <cell r="B85" t="str">
            <v>LPM-164-19: Ch. 7 (sections 7.2-7.5 &amp; 7A) and Ch. 8 (sections 8.3-8.6) of Derivatives Markets, McDonald, 3rd Edition</v>
          </cell>
        </row>
        <row r="86">
          <cell r="B86" t="str">
            <v>LIBOR and SOFR, 2019</v>
          </cell>
        </row>
        <row r="87">
          <cell r="A87" t="str">
            <v>LO#1</v>
          </cell>
          <cell r="B87" t="str">
            <v>Retrieval</v>
          </cell>
        </row>
        <row r="88">
          <cell r="A88" t="str">
            <v>LO#2</v>
          </cell>
          <cell r="B88" t="str">
            <v>Comprehension</v>
          </cell>
        </row>
        <row r="89">
          <cell r="A89" t="str">
            <v>LO#3</v>
          </cell>
          <cell r="B89" t="str">
            <v>Analysis</v>
          </cell>
        </row>
        <row r="90">
          <cell r="A90" t="str">
            <v>LO#4</v>
          </cell>
          <cell r="B90" t="str">
            <v>Knowledge Utilization</v>
          </cell>
        </row>
        <row r="91">
          <cell r="A91" t="str">
            <v>LO#5</v>
          </cell>
        </row>
      </sheetData>
      <sheetData sheetId="2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xec Instructions"/>
      <sheetName val="Summary"/>
      <sheetName val="Coverage"/>
      <sheetName val="BG-2-2020"/>
      <sheetName val="BG-2-2020 calc"/>
      <sheetName val="BL-2-2021"/>
      <sheetName val="CB-2-2019"/>
      <sheetName val="FF-2-2019"/>
      <sheetName val="JL-1-2020"/>
      <sheetName val="JS-1-2020"/>
      <sheetName val="JS-1-2020 Calc"/>
      <sheetName val="JS-1-20201"/>
      <sheetName val="JS-1-2020 Calc1"/>
      <sheetName val="JW-1-2021"/>
      <sheetName val="JW-1-2021 Calc (b)(i)"/>
      <sheetName val="JW-1-2021 Calc (b)(ii)"/>
      <sheetName val="JW-1-2021 Table"/>
      <sheetName val="JW-2-2021"/>
      <sheetName val="JW-2-2021calc(b)(i)"/>
      <sheetName val="JeW-1-2021"/>
      <sheetName val="JeW-2-2021"/>
      <sheetName val="KG-1-2021"/>
      <sheetName val="KG-2-2021"/>
      <sheetName val="MC-1-2021"/>
      <sheetName val="MC-1-2021 Calc"/>
      <sheetName val="MD-1-2021_old"/>
      <sheetName val="MD-1-2021"/>
      <sheetName val="MD-1-2021 Calc"/>
      <sheetName val="MG-1-2019"/>
      <sheetName val="RF-1-2021"/>
      <sheetName val="RHa-1-2019"/>
      <sheetName val="RHa-1-2019 Calc"/>
      <sheetName val="SC-1-2021"/>
      <sheetName val="SM-1-2021"/>
      <sheetName val="SM-1-2021 Calc"/>
      <sheetName val="WD-1-2021"/>
      <sheetName val="WD-1-2021 Calc"/>
      <sheetName val="&lt;- Rubrics"/>
      <sheetName val="Rubric Template"/>
      <sheetName val="syllabus list"/>
      <sheetName val="LO"/>
      <sheetName val="BANKED---&gt;"/>
      <sheetName val="BL-1-2021"/>
      <sheetName val="CKB-1-2021"/>
      <sheetName val="KW-1-2019"/>
    </sheetNames>
    <sheetDataSet>
      <sheetData sheetId="0">
        <row r="2">
          <cell r="E2">
            <v>2021</v>
          </cell>
        </row>
      </sheetData>
      <sheetData sheetId="1"/>
      <sheetData sheetId="2"/>
      <sheetData sheetId="3"/>
      <sheetData sheetId="4"/>
      <sheetData sheetId="5">
        <row r="13">
          <cell r="K13">
            <v>7.0000000000000007E-2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9">
          <cell r="C9" t="e">
            <v>#N/A</v>
          </cell>
        </row>
      </sheetData>
      <sheetData sheetId="40">
        <row r="4">
          <cell r="B4" t="str">
            <v>LPM-107-07: Experience Assumptions for Individual Life Insurance and Annuities</v>
          </cell>
        </row>
      </sheetData>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 Canad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 Canad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 Canad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estion 2"/>
      <sheetName val="Question 5"/>
      <sheetName val="Question 6"/>
      <sheetName val="Question 8"/>
      <sheetName val="Question 9"/>
      <sheetName val="Overview Case Study"/>
      <sheetName val="Pension Case Study"/>
      <sheetName val="Retiree Health Case Study"/>
    </sheetNames>
    <sheetDataSet>
      <sheetData sheetId="0" refreshError="1"/>
      <sheetData sheetId="1" refreshError="1"/>
      <sheetData sheetId="2" refreshError="1"/>
      <sheetData sheetId="3">
        <row r="1">
          <cell r="A1" t="str">
            <v>Exam RETDAC:  Fall 2022</v>
          </cell>
        </row>
      </sheetData>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estion 2"/>
      <sheetName val="Question 5"/>
      <sheetName val="Question 6"/>
      <sheetName val="Question 8"/>
      <sheetName val="Question 9"/>
      <sheetName val="Overview Case Study"/>
      <sheetName val="Pension Case Study"/>
      <sheetName val="Retiree Health Case Study"/>
    </sheetNames>
    <sheetDataSet>
      <sheetData sheetId="0" refreshError="1"/>
      <sheetData sheetId="1" refreshError="1"/>
      <sheetData sheetId="2" refreshError="1"/>
      <sheetData sheetId="3">
        <row r="1">
          <cell r="A1" t="str">
            <v>Exam RETDAC:  Fall 2022</v>
          </cell>
        </row>
      </sheetData>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estion 2"/>
      <sheetName val="Question 5"/>
      <sheetName val="Question 8"/>
      <sheetName val="Question 9"/>
      <sheetName val="Question 11"/>
      <sheetName val="Overview Case Study"/>
      <sheetName val="Pension Case Study"/>
      <sheetName val="Retiree Health Case Study"/>
    </sheetNames>
    <sheetDataSet>
      <sheetData sheetId="0" refreshError="1"/>
      <sheetData sheetId="1" refreshError="1"/>
      <sheetData sheetId="2">
        <row r="1">
          <cell r="A1" t="str">
            <v>Exam RETDAU:  Fall 2022</v>
          </cell>
        </row>
        <row r="2">
          <cell r="A2" t="str">
            <v>Design and Accounting Exam – U.S.</v>
          </cell>
        </row>
      </sheetData>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estion 2"/>
      <sheetName val="Question 5"/>
      <sheetName val="Question 8"/>
      <sheetName val="Question 9"/>
      <sheetName val="Question 11"/>
      <sheetName val="Overview Case Study"/>
      <sheetName val="Pension Case Study"/>
      <sheetName val="Retiree Health Case Study"/>
    </sheetNames>
    <sheetDataSet>
      <sheetData sheetId="0" refreshError="1"/>
      <sheetData sheetId="1" refreshError="1"/>
      <sheetData sheetId="2">
        <row r="1">
          <cell r="A1" t="str">
            <v>Exam RETDAU:  Fall 2022</v>
          </cell>
        </row>
        <row r="2">
          <cell r="A2" t="str">
            <v>Design and Accounting Exam – U.S.</v>
          </cell>
        </row>
      </sheetData>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F20 Question 6 (b) Quest"/>
      <sheetName val="F20 Question 6 (b) Sol"/>
      <sheetName val="S21 Question 2 (a) Quest"/>
      <sheetName val="S21 Question 2(a) Sol"/>
      <sheetName val="S21 Question 3 (d) Quest"/>
      <sheetName val="S21 Question 3(d) Sol"/>
      <sheetName val="S21 Question 5 (b) Quest"/>
      <sheetName val="S21 Question 5 (b) Sol"/>
      <sheetName val="S22 Question 8(a) Quest"/>
      <sheetName val="S22 Question 8(a) Sol"/>
      <sheetName val="S23 Question 5 (a) (ii) Quest"/>
      <sheetName val="S23 Question 5 (a) (ii) Sol"/>
      <sheetName val="F24 Question 2 (c) Quest"/>
      <sheetName val="F24 Question 2 (c) Sol"/>
      <sheetName val="F24 Question 5 (c) Quest"/>
      <sheetName val="F24 Question 5 (c) Sol"/>
      <sheetName val="F24 Question 5 (d) Quest"/>
      <sheetName val="F24 Question 5 (d) S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C1">
            <v>100000</v>
          </cell>
        </row>
        <row r="2">
          <cell r="C2">
            <v>5.0000000000000001E-3</v>
          </cell>
        </row>
        <row r="3">
          <cell r="C3">
            <v>1.2E-2</v>
          </cell>
        </row>
        <row r="4">
          <cell r="C4">
            <v>0.05</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3.w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2.wmf"/><Relationship Id="rId4" Type="http://schemas.openxmlformats.org/officeDocument/2006/relationships/oleObject" Target="../embeddings/oleObject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3282-2A86-4181-989F-F664C1FF1F67}">
  <sheetPr>
    <tabColor rgb="FF0070C0"/>
    <pageSetUpPr autoPageBreaks="0"/>
  </sheetPr>
  <dimension ref="A6:K21"/>
  <sheetViews>
    <sheetView showGridLines="0" tabSelected="1" zoomScale="115" zoomScaleNormal="115" workbookViewId="0"/>
  </sheetViews>
  <sheetFormatPr defaultRowHeight="14.4"/>
  <cols>
    <col min="1" max="16384" width="8.88671875" style="1725"/>
  </cols>
  <sheetData>
    <row r="6" spans="1:10" ht="33.6">
      <c r="A6" s="1724" t="s">
        <v>1899</v>
      </c>
      <c r="B6" s="1724"/>
      <c r="C6" s="1724"/>
      <c r="D6" s="1724"/>
      <c r="E6" s="1724"/>
      <c r="F6" s="1724"/>
      <c r="G6" s="1724"/>
      <c r="H6" s="1724"/>
      <c r="I6" s="1724"/>
      <c r="J6" s="1724"/>
    </row>
    <row r="7" spans="1:10" ht="6" customHeight="1">
      <c r="A7" s="1726"/>
      <c r="B7" s="1726"/>
      <c r="C7" s="1726"/>
      <c r="D7" s="1726"/>
      <c r="E7" s="1726"/>
      <c r="F7" s="1726"/>
      <c r="G7" s="1726"/>
      <c r="H7" s="1726"/>
      <c r="I7" s="1726"/>
      <c r="J7" s="1726"/>
    </row>
    <row r="8" spans="1:10" ht="21">
      <c r="A8" s="1727" t="s">
        <v>1909</v>
      </c>
      <c r="B8" s="1727"/>
      <c r="C8" s="1727"/>
      <c r="D8" s="1727"/>
      <c r="E8" s="1727"/>
      <c r="F8" s="1727"/>
      <c r="G8" s="1727"/>
      <c r="H8" s="1727"/>
      <c r="I8" s="1727"/>
      <c r="J8" s="1727"/>
    </row>
    <row r="10" spans="1:10" ht="75" customHeight="1">
      <c r="A10" s="1728" t="s">
        <v>1900</v>
      </c>
      <c r="B10" s="1729" t="s">
        <v>1901</v>
      </c>
      <c r="C10" s="1729"/>
      <c r="D10" s="1729"/>
      <c r="E10" s="1729"/>
      <c r="F10" s="1729"/>
      <c r="G10" s="1729"/>
      <c r="H10" s="1729"/>
      <c r="I10" s="1729"/>
      <c r="J10" s="1729"/>
    </row>
    <row r="11" spans="1:10">
      <c r="B11" s="1730"/>
      <c r="C11" s="1730"/>
      <c r="D11" s="1730"/>
      <c r="E11" s="1730"/>
      <c r="F11" s="1730"/>
      <c r="G11" s="1730"/>
      <c r="H11" s="1730"/>
      <c r="I11" s="1730"/>
      <c r="J11" s="1730"/>
    </row>
    <row r="12" spans="1:10" ht="45" customHeight="1">
      <c r="A12" s="1728" t="s">
        <v>1900</v>
      </c>
      <c r="B12" s="1729" t="s">
        <v>1902</v>
      </c>
      <c r="C12" s="1729"/>
      <c r="D12" s="1729"/>
      <c r="E12" s="1729"/>
      <c r="F12" s="1729"/>
      <c r="G12" s="1729"/>
      <c r="H12" s="1729"/>
      <c r="I12" s="1729"/>
      <c r="J12" s="1729"/>
    </row>
    <row r="13" spans="1:10">
      <c r="B13" s="1730"/>
      <c r="C13" s="1730"/>
      <c r="D13" s="1730"/>
      <c r="E13" s="1730"/>
      <c r="F13" s="1730"/>
      <c r="G13" s="1730"/>
      <c r="H13" s="1730"/>
      <c r="I13" s="1730"/>
      <c r="J13" s="1730"/>
    </row>
    <row r="14" spans="1:10" ht="45.6" customHeight="1">
      <c r="A14" s="1728" t="s">
        <v>1900</v>
      </c>
      <c r="B14" s="1729" t="s">
        <v>1903</v>
      </c>
      <c r="C14" s="1729"/>
      <c r="D14" s="1729"/>
      <c r="E14" s="1729"/>
      <c r="F14" s="1729"/>
      <c r="G14" s="1729"/>
      <c r="H14" s="1729"/>
      <c r="I14" s="1729"/>
      <c r="J14" s="1729"/>
    </row>
    <row r="15" spans="1:10">
      <c r="B15" s="1730"/>
      <c r="C15" s="1730"/>
      <c r="D15" s="1730"/>
      <c r="E15" s="1730"/>
      <c r="F15" s="1730"/>
      <c r="G15" s="1730"/>
      <c r="H15" s="1730"/>
      <c r="I15" s="1730"/>
      <c r="J15" s="1730"/>
    </row>
    <row r="16" spans="1:10" ht="72.599999999999994" customHeight="1">
      <c r="A16" s="1728" t="s">
        <v>1900</v>
      </c>
      <c r="B16" s="1729" t="s">
        <v>1904</v>
      </c>
      <c r="C16" s="1729"/>
      <c r="D16" s="1729"/>
      <c r="E16" s="1729"/>
      <c r="F16" s="1729"/>
      <c r="G16" s="1729"/>
      <c r="H16" s="1729"/>
      <c r="I16" s="1729"/>
      <c r="J16" s="1729"/>
    </row>
    <row r="17" spans="1:11">
      <c r="B17" s="1730"/>
      <c r="C17" s="1730"/>
      <c r="D17" s="1730"/>
      <c r="E17" s="1730"/>
      <c r="F17" s="1730"/>
      <c r="G17" s="1730"/>
      <c r="H17" s="1730"/>
      <c r="I17" s="1730"/>
      <c r="J17" s="1730"/>
      <c r="K17" s="1731"/>
    </row>
    <row r="18" spans="1:11" ht="44.4" customHeight="1">
      <c r="A18" s="1728" t="s">
        <v>1900</v>
      </c>
      <c r="B18" s="1729" t="s">
        <v>1905</v>
      </c>
      <c r="C18" s="1729"/>
      <c r="D18" s="1729"/>
      <c r="E18" s="1729"/>
      <c r="F18" s="1729"/>
      <c r="G18" s="1729"/>
      <c r="H18" s="1729"/>
      <c r="I18" s="1729"/>
      <c r="J18" s="1729"/>
    </row>
    <row r="21" spans="1:11">
      <c r="B21" s="1732" t="s">
        <v>1906</v>
      </c>
      <c r="C21" s="1732"/>
      <c r="D21" s="1733" t="s">
        <v>1907</v>
      </c>
      <c r="E21" s="1733"/>
      <c r="F21" s="1733"/>
      <c r="G21" s="1733"/>
      <c r="H21" s="1734" t="s">
        <v>1908</v>
      </c>
      <c r="I21" s="1734"/>
      <c r="J21" s="1734"/>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840FE-4D00-40B5-A077-AA1DE1A10288}">
  <dimension ref="A1:K59"/>
  <sheetViews>
    <sheetView workbookViewId="0"/>
  </sheetViews>
  <sheetFormatPr defaultColWidth="8.88671875" defaultRowHeight="15.6"/>
  <cols>
    <col min="1" max="1" width="3.5546875" style="52" customWidth="1"/>
    <col min="2" max="2" width="11.109375" style="52" customWidth="1"/>
    <col min="3" max="3" width="16" style="52" customWidth="1"/>
    <col min="4" max="7" width="12.88671875" style="52" customWidth="1"/>
    <col min="8" max="8" width="15.44140625" style="52" customWidth="1"/>
    <col min="9" max="9" width="8.88671875" style="52"/>
    <col min="10" max="10" width="7.5546875" style="52" customWidth="1"/>
    <col min="11" max="16384" width="8.88671875" style="4"/>
  </cols>
  <sheetData>
    <row r="1" spans="1:11">
      <c r="A1" s="51" t="s">
        <v>350</v>
      </c>
      <c r="B1" s="51"/>
      <c r="K1" s="4" t="s">
        <v>350</v>
      </c>
    </row>
    <row r="2" spans="1:11">
      <c r="A2" s="51" t="s">
        <v>34</v>
      </c>
      <c r="B2" s="51"/>
      <c r="K2" s="4" t="s">
        <v>34</v>
      </c>
    </row>
    <row r="3" spans="1:11" ht="18.600000000000001" customHeight="1">
      <c r="A3" s="51"/>
    </row>
    <row r="4" spans="1:11" ht="18.600000000000001" customHeight="1">
      <c r="A4" s="51"/>
      <c r="K4" s="4" t="s">
        <v>35</v>
      </c>
    </row>
    <row r="5" spans="1:11">
      <c r="A5" s="51"/>
      <c r="B5" s="55" t="s">
        <v>36</v>
      </c>
      <c r="C5" s="52" t="s">
        <v>351</v>
      </c>
    </row>
    <row r="6" spans="1:11">
      <c r="A6" s="51"/>
      <c r="B6" s="55"/>
    </row>
    <row r="7" spans="1:11">
      <c r="A7" s="51"/>
      <c r="B7" s="55"/>
      <c r="C7" s="52" t="s">
        <v>78</v>
      </c>
    </row>
    <row r="9" spans="1:11">
      <c r="C9" s="57" t="s">
        <v>307</v>
      </c>
    </row>
    <row r="10" spans="1:11" ht="15.6" customHeight="1">
      <c r="C10" s="1428" t="s">
        <v>222</v>
      </c>
      <c r="D10" s="1429"/>
      <c r="E10" s="1432" t="s">
        <v>352</v>
      </c>
      <c r="F10" s="1433"/>
      <c r="G10" s="1434"/>
    </row>
    <row r="11" spans="1:11" ht="15.6" customHeight="1">
      <c r="C11" s="1430"/>
      <c r="D11" s="1431"/>
      <c r="E11" s="1435"/>
      <c r="F11" s="1436"/>
      <c r="G11" s="1437"/>
    </row>
    <row r="12" spans="1:11">
      <c r="C12" s="1438" t="s">
        <v>224</v>
      </c>
      <c r="D12" s="1438"/>
      <c r="E12" s="1438" t="s">
        <v>42</v>
      </c>
      <c r="F12" s="1438"/>
      <c r="G12" s="1438"/>
    </row>
    <row r="13" spans="1:11">
      <c r="C13" s="1438" t="s">
        <v>309</v>
      </c>
      <c r="D13" s="1438"/>
      <c r="E13" s="1439" t="s">
        <v>181</v>
      </c>
      <c r="F13" s="1439"/>
      <c r="G13" s="1439"/>
    </row>
    <row r="14" spans="1:11" ht="36.75" customHeight="1">
      <c r="C14" s="1463" t="s">
        <v>353</v>
      </c>
      <c r="D14" s="1464"/>
      <c r="E14" s="1465" t="s">
        <v>354</v>
      </c>
      <c r="F14" s="1466"/>
      <c r="G14" s="1467"/>
    </row>
    <row r="15" spans="1:11">
      <c r="C15" s="1443" t="s">
        <v>46</v>
      </c>
      <c r="D15" s="1443"/>
      <c r="E15" s="1444" t="s">
        <v>355</v>
      </c>
      <c r="F15" s="1444"/>
      <c r="G15" s="1444"/>
    </row>
    <row r="17" spans="1:11">
      <c r="C17" s="57" t="s">
        <v>230</v>
      </c>
    </row>
    <row r="18" spans="1:11" s="255" customFormat="1">
      <c r="A18" s="52"/>
      <c r="B18" s="52"/>
      <c r="C18" s="1440" t="s">
        <v>231</v>
      </c>
      <c r="D18" s="1441"/>
      <c r="E18" s="249">
        <v>0.05</v>
      </c>
      <c r="F18" s="1442" t="s">
        <v>52</v>
      </c>
      <c r="G18" s="1442"/>
      <c r="H18" s="1441"/>
      <c r="I18" s="52"/>
      <c r="J18" s="52"/>
      <c r="K18" s="4"/>
    </row>
    <row r="19" spans="1:11" s="255" customFormat="1">
      <c r="A19" s="52"/>
      <c r="B19" s="52"/>
      <c r="C19" s="256" t="s">
        <v>285</v>
      </c>
      <c r="D19" s="257"/>
      <c r="E19" s="1463" t="s">
        <v>356</v>
      </c>
      <c r="F19" s="1468"/>
      <c r="G19" s="1468"/>
      <c r="H19" s="1464"/>
      <c r="I19" s="52"/>
      <c r="J19" s="52"/>
      <c r="K19" s="4"/>
    </row>
    <row r="20" spans="1:11" s="255" customFormat="1">
      <c r="A20" s="52"/>
      <c r="B20" s="52"/>
      <c r="C20" s="68" t="s">
        <v>287</v>
      </c>
      <c r="D20" s="69"/>
      <c r="E20" s="256" t="s">
        <v>357</v>
      </c>
      <c r="F20" s="257"/>
      <c r="G20" s="258"/>
      <c r="H20" s="259"/>
      <c r="I20" s="52"/>
      <c r="J20" s="52"/>
      <c r="K20" s="4"/>
    </row>
    <row r="21" spans="1:11" s="255" customFormat="1">
      <c r="A21" s="52"/>
      <c r="B21" s="52"/>
      <c r="C21" s="1440" t="s">
        <v>58</v>
      </c>
      <c r="D21" s="1441"/>
      <c r="E21" s="1440" t="s">
        <v>59</v>
      </c>
      <c r="F21" s="1442"/>
      <c r="G21" s="1442"/>
      <c r="H21" s="1441"/>
      <c r="I21" s="52"/>
      <c r="J21" s="52"/>
      <c r="K21" s="4"/>
    </row>
    <row r="22" spans="1:11" s="255" customFormat="1">
      <c r="A22" s="52"/>
      <c r="B22" s="52"/>
      <c r="C22" s="1440" t="s">
        <v>237</v>
      </c>
      <c r="D22" s="1441"/>
      <c r="E22" s="1440" t="s">
        <v>358</v>
      </c>
      <c r="F22" s="1442"/>
      <c r="G22" s="1442"/>
      <c r="H22" s="1441"/>
      <c r="I22" s="52"/>
      <c r="J22" s="52"/>
      <c r="K22" s="4"/>
    </row>
    <row r="23" spans="1:11" s="255" customFormat="1">
      <c r="A23" s="52"/>
      <c r="B23" s="52"/>
      <c r="C23" s="1440" t="s">
        <v>359</v>
      </c>
      <c r="D23" s="1441"/>
      <c r="E23" s="1440" t="s">
        <v>360</v>
      </c>
      <c r="F23" s="1442"/>
      <c r="G23" s="1442"/>
      <c r="H23" s="1441"/>
      <c r="I23" s="52"/>
      <c r="J23" s="52"/>
      <c r="K23" s="4"/>
    </row>
    <row r="25" spans="1:11" s="255" customFormat="1">
      <c r="A25" s="52"/>
      <c r="B25" s="52"/>
      <c r="C25" s="88" t="s">
        <v>322</v>
      </c>
      <c r="D25" s="80"/>
      <c r="E25" s="80"/>
      <c r="F25" s="80"/>
      <c r="G25" s="52"/>
      <c r="H25" s="52"/>
      <c r="I25" s="52"/>
      <c r="J25" s="52"/>
      <c r="K25" s="4"/>
    </row>
    <row r="26" spans="1:11" s="255" customFormat="1" ht="19.8">
      <c r="A26" s="52"/>
      <c r="B26" s="52"/>
      <c r="C26" s="90" t="s">
        <v>77</v>
      </c>
      <c r="D26" s="91">
        <v>12.5</v>
      </c>
      <c r="E26" s="90" t="s">
        <v>76</v>
      </c>
      <c r="F26" s="91">
        <v>12.8</v>
      </c>
      <c r="G26" s="90" t="s">
        <v>75</v>
      </c>
      <c r="H26" s="91">
        <v>13.1</v>
      </c>
      <c r="I26" s="52"/>
      <c r="J26" s="52"/>
      <c r="K26" s="4"/>
    </row>
    <row r="27" spans="1:11" s="255" customFormat="1" ht="19.8">
      <c r="A27" s="52"/>
      <c r="B27" s="52"/>
      <c r="C27" s="90" t="s">
        <v>74</v>
      </c>
      <c r="D27" s="91">
        <v>13.4</v>
      </c>
      <c r="E27" s="90" t="s">
        <v>344</v>
      </c>
      <c r="F27" s="91">
        <v>13.7</v>
      </c>
      <c r="G27" s="90" t="s">
        <v>343</v>
      </c>
      <c r="H27" s="91">
        <v>13.9</v>
      </c>
      <c r="I27" s="52"/>
      <c r="J27" s="52"/>
      <c r="K27" s="4"/>
    </row>
    <row r="29" spans="1:11" s="255" customFormat="1">
      <c r="A29" s="52"/>
      <c r="B29" s="52"/>
      <c r="C29" s="57" t="s">
        <v>361</v>
      </c>
      <c r="D29" s="52"/>
      <c r="E29" s="52"/>
      <c r="F29" s="52"/>
      <c r="G29" s="52"/>
      <c r="H29" s="52"/>
      <c r="I29" s="52"/>
      <c r="J29" s="52"/>
      <c r="K29" s="4"/>
    </row>
    <row r="30" spans="1:11" s="255" customFormat="1">
      <c r="A30" s="52"/>
      <c r="B30" s="52"/>
      <c r="C30" s="74"/>
      <c r="D30" s="157" t="s">
        <v>67</v>
      </c>
      <c r="E30" s="157" t="s">
        <v>68</v>
      </c>
      <c r="F30" s="77"/>
      <c r="G30" s="77"/>
      <c r="H30" s="77"/>
      <c r="I30" s="52"/>
      <c r="J30" s="52"/>
      <c r="K30" s="4"/>
    </row>
    <row r="31" spans="1:11" s="255" customFormat="1">
      <c r="A31" s="52"/>
      <c r="B31" s="52"/>
      <c r="C31" s="74" t="s">
        <v>272</v>
      </c>
      <c r="D31" s="156">
        <v>30</v>
      </c>
      <c r="E31" s="156">
        <v>62</v>
      </c>
      <c r="F31" s="80"/>
      <c r="G31" s="80"/>
      <c r="H31" s="80"/>
      <c r="I31" s="52"/>
      <c r="J31" s="52"/>
      <c r="K31" s="4"/>
    </row>
    <row r="32" spans="1:11" s="255" customFormat="1">
      <c r="A32" s="52"/>
      <c r="B32" s="52"/>
      <c r="C32" s="74" t="s">
        <v>321</v>
      </c>
      <c r="D32" s="156">
        <v>3</v>
      </c>
      <c r="E32" s="156">
        <v>30</v>
      </c>
      <c r="F32" s="80"/>
      <c r="G32" s="80"/>
      <c r="H32" s="80"/>
      <c r="I32" s="52"/>
      <c r="J32" s="52"/>
      <c r="K32" s="4"/>
    </row>
    <row r="33" spans="1:11" s="255" customFormat="1">
      <c r="A33" s="52"/>
      <c r="B33" s="52"/>
      <c r="C33" s="80"/>
      <c r="D33" s="1469"/>
      <c r="E33" s="1469"/>
      <c r="F33" s="1454"/>
      <c r="G33" s="1454"/>
      <c r="H33" s="80"/>
      <c r="I33" s="52"/>
      <c r="J33" s="52"/>
      <c r="K33" s="4"/>
    </row>
    <row r="34" spans="1:11">
      <c r="C34" s="88" t="s">
        <v>325</v>
      </c>
      <c r="D34" s="80"/>
      <c r="E34" s="80"/>
      <c r="F34" s="80"/>
      <c r="G34" s="80"/>
      <c r="H34" s="80"/>
    </row>
    <row r="35" spans="1:11">
      <c r="C35" s="98" t="s">
        <v>362</v>
      </c>
      <c r="D35" s="99"/>
      <c r="E35" s="91"/>
      <c r="F35" s="253">
        <v>500000</v>
      </c>
      <c r="G35" s="80"/>
      <c r="H35" s="80"/>
    </row>
    <row r="36" spans="1:11">
      <c r="C36" s="80"/>
      <c r="D36" s="80"/>
      <c r="E36" s="80"/>
      <c r="F36" s="80"/>
      <c r="G36" s="80"/>
      <c r="H36" s="80"/>
    </row>
    <row r="38" spans="1:11">
      <c r="B38" s="52" t="s">
        <v>246</v>
      </c>
      <c r="C38" s="55" t="s">
        <v>257</v>
      </c>
      <c r="D38" s="52" t="s">
        <v>363</v>
      </c>
    </row>
    <row r="39" spans="1:11">
      <c r="C39" s="55"/>
      <c r="D39" s="107"/>
    </row>
    <row r="41" spans="1:11" ht="15.75" customHeight="1">
      <c r="D41" s="1455" t="s">
        <v>95</v>
      </c>
      <c r="E41" s="1456"/>
      <c r="F41" s="1456"/>
      <c r="G41" s="1456"/>
      <c r="H41" s="1456"/>
      <c r="I41" s="1456"/>
      <c r="J41" s="1457"/>
    </row>
    <row r="42" spans="1:11">
      <c r="D42" s="1458"/>
      <c r="E42" s="1459"/>
      <c r="F42" s="1459"/>
      <c r="G42" s="1459"/>
      <c r="H42" s="1459"/>
      <c r="I42" s="1459"/>
      <c r="J42" s="1460"/>
    </row>
    <row r="44" spans="1:11">
      <c r="C44" s="52" t="s">
        <v>364</v>
      </c>
    </row>
    <row r="45" spans="1:11">
      <c r="C45" s="254" t="s">
        <v>365</v>
      </c>
    </row>
    <row r="46" spans="1:11">
      <c r="C46" s="260" t="s">
        <v>366</v>
      </c>
      <c r="D46" s="52" t="s">
        <v>367</v>
      </c>
    </row>
    <row r="47" spans="1:11">
      <c r="C47" s="254" t="s">
        <v>368</v>
      </c>
    </row>
    <row r="48" spans="1:11">
      <c r="C48" s="254" t="s">
        <v>369</v>
      </c>
    </row>
    <row r="50" spans="2:10">
      <c r="B50" s="52" t="s">
        <v>6</v>
      </c>
      <c r="C50" s="55" t="s">
        <v>247</v>
      </c>
      <c r="D50" s="52" t="s">
        <v>370</v>
      </c>
    </row>
    <row r="52" spans="2:10" ht="15.75" customHeight="1">
      <c r="D52" s="1455" t="s">
        <v>95</v>
      </c>
      <c r="E52" s="1456"/>
      <c r="F52" s="1456"/>
      <c r="G52" s="1456"/>
      <c r="H52" s="1456"/>
      <c r="I52" s="1456"/>
      <c r="J52" s="1457"/>
    </row>
    <row r="53" spans="2:10">
      <c r="D53" s="1458"/>
      <c r="E53" s="1459"/>
      <c r="F53" s="1459"/>
      <c r="G53" s="1459"/>
      <c r="H53" s="1459"/>
      <c r="I53" s="1459"/>
      <c r="J53" s="1460"/>
    </row>
    <row r="55" spans="2:10">
      <c r="B55" s="52" t="s">
        <v>256</v>
      </c>
      <c r="C55" s="55" t="s">
        <v>257</v>
      </c>
      <c r="D55" s="52" t="s">
        <v>371</v>
      </c>
    </row>
    <row r="58" spans="2:10" ht="15.75" customHeight="1">
      <c r="D58" s="1455" t="s">
        <v>95</v>
      </c>
      <c r="E58" s="1456"/>
      <c r="F58" s="1456"/>
      <c r="G58" s="1456"/>
      <c r="H58" s="1456"/>
      <c r="I58" s="1456"/>
      <c r="J58" s="1457"/>
    </row>
    <row r="59" spans="2:10">
      <c r="D59" s="1458"/>
      <c r="E59" s="1459"/>
      <c r="F59" s="1459"/>
      <c r="G59" s="1459"/>
      <c r="H59" s="1459"/>
      <c r="I59" s="1459"/>
      <c r="J59" s="1460"/>
    </row>
  </sheetData>
  <mergeCells count="24">
    <mergeCell ref="D33:E33"/>
    <mergeCell ref="F33:G33"/>
    <mergeCell ref="D41:J42"/>
    <mergeCell ref="D52:J53"/>
    <mergeCell ref="D58:J59"/>
    <mergeCell ref="C23:D23"/>
    <mergeCell ref="E23:H23"/>
    <mergeCell ref="C14:D14"/>
    <mergeCell ref="E14:G14"/>
    <mergeCell ref="C15:D15"/>
    <mergeCell ref="E15:G15"/>
    <mergeCell ref="C18:D18"/>
    <mergeCell ref="F18:H18"/>
    <mergeCell ref="E19:H19"/>
    <mergeCell ref="C21:D21"/>
    <mergeCell ref="E21:H21"/>
    <mergeCell ref="C22:D22"/>
    <mergeCell ref="E22:H22"/>
    <mergeCell ref="C10:D11"/>
    <mergeCell ref="E10:G11"/>
    <mergeCell ref="C12:D12"/>
    <mergeCell ref="E12:G12"/>
    <mergeCell ref="C13:D13"/>
    <mergeCell ref="E13:G1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3090D-D9D1-47A7-BD6C-F40C0677B8CF}">
  <dimension ref="A1:K202"/>
  <sheetViews>
    <sheetView topLeftCell="A39" zoomScale="85" zoomScaleNormal="85" workbookViewId="0">
      <selection activeCell="B39" sqref="B39"/>
    </sheetView>
  </sheetViews>
  <sheetFormatPr defaultColWidth="8.88671875" defaultRowHeight="15.6"/>
  <cols>
    <col min="1" max="1" width="3.5546875" style="262" customWidth="1"/>
    <col min="2" max="2" width="11.109375" style="262" customWidth="1"/>
    <col min="3" max="3" width="24.33203125" style="262" customWidth="1"/>
    <col min="4" max="4" width="21.88671875" style="262" customWidth="1"/>
    <col min="5" max="5" width="13.6640625" style="262" customWidth="1"/>
    <col min="6" max="6" width="19.109375" style="262" customWidth="1"/>
    <col min="7" max="7" width="16.44140625" style="262" customWidth="1"/>
    <col min="8" max="8" width="13.5546875" style="262" customWidth="1"/>
    <col min="9" max="9" width="8.88671875" style="262"/>
    <col min="10" max="10" width="8.33203125" style="262" customWidth="1"/>
    <col min="11" max="16384" width="8.88671875" style="263"/>
  </cols>
  <sheetData>
    <row r="1" spans="1:11">
      <c r="A1" s="261" t="s">
        <v>372</v>
      </c>
      <c r="B1" s="261"/>
      <c r="K1" s="263" t="str">
        <f>A1</f>
        <v>RETFRC Spring 2023</v>
      </c>
    </row>
    <row r="2" spans="1:11">
      <c r="A2" s="261" t="s">
        <v>373</v>
      </c>
      <c r="B2" s="261"/>
      <c r="K2" s="263" t="str">
        <f>A2</f>
        <v>Question 3</v>
      </c>
    </row>
    <row r="3" spans="1:11" ht="18.45" customHeight="1">
      <c r="A3" s="264"/>
    </row>
    <row r="4" spans="1:11" ht="18.45" customHeight="1">
      <c r="A4" s="261"/>
      <c r="K4" s="263" t="s">
        <v>35</v>
      </c>
    </row>
    <row r="5" spans="1:11">
      <c r="A5" s="261"/>
      <c r="B5" s="265" t="s">
        <v>374</v>
      </c>
      <c r="C5" s="262" t="s">
        <v>375</v>
      </c>
    </row>
    <row r="7" spans="1:11">
      <c r="C7" s="266" t="s">
        <v>177</v>
      </c>
    </row>
    <row r="8" spans="1:11" ht="15.6" customHeight="1">
      <c r="C8" s="267" t="s">
        <v>43</v>
      </c>
      <c r="D8" s="268"/>
      <c r="E8" s="269">
        <v>65</v>
      </c>
      <c r="F8" s="270"/>
      <c r="G8" s="271"/>
    </row>
    <row r="9" spans="1:11" ht="15.6" customHeight="1">
      <c r="C9" s="272" t="s">
        <v>39</v>
      </c>
      <c r="D9" s="273"/>
      <c r="E9" s="272" t="s">
        <v>376</v>
      </c>
      <c r="F9" s="274"/>
      <c r="G9" s="275"/>
    </row>
    <row r="10" spans="1:11">
      <c r="C10" s="276" t="s">
        <v>184</v>
      </c>
      <c r="D10" s="277"/>
      <c r="E10" s="276" t="s">
        <v>377</v>
      </c>
      <c r="F10" s="277"/>
      <c r="G10" s="278"/>
    </row>
    <row r="11" spans="1:11">
      <c r="C11" s="272"/>
      <c r="E11" s="272" t="s">
        <v>378</v>
      </c>
      <c r="G11" s="273"/>
    </row>
    <row r="12" spans="1:11">
      <c r="C12" s="1476"/>
      <c r="D12" s="1477"/>
      <c r="E12" s="272" t="s">
        <v>379</v>
      </c>
      <c r="G12" s="273"/>
    </row>
    <row r="13" spans="1:11" ht="15.6" customHeight="1">
      <c r="C13" s="1478" t="s">
        <v>46</v>
      </c>
      <c r="D13" s="1479"/>
      <c r="E13" s="276" t="s">
        <v>380</v>
      </c>
      <c r="F13" s="279"/>
      <c r="G13" s="280"/>
    </row>
    <row r="14" spans="1:11" ht="15.6" customHeight="1">
      <c r="C14" s="1480"/>
      <c r="D14" s="1481"/>
      <c r="E14" s="272" t="s">
        <v>381</v>
      </c>
      <c r="F14" s="274"/>
      <c r="G14" s="275"/>
    </row>
    <row r="15" spans="1:11">
      <c r="C15" s="1480"/>
      <c r="D15" s="1481"/>
      <c r="E15" s="281" t="s">
        <v>382</v>
      </c>
      <c r="F15" s="282"/>
      <c r="G15" s="283"/>
    </row>
    <row r="16" spans="1:11">
      <c r="C16" s="284"/>
      <c r="D16" s="284"/>
      <c r="F16" s="274"/>
      <c r="G16" s="274"/>
    </row>
    <row r="17" spans="3:8">
      <c r="C17" s="284" t="s">
        <v>383</v>
      </c>
      <c r="D17" s="284"/>
      <c r="F17" s="274"/>
      <c r="G17" s="274"/>
    </row>
    <row r="19" spans="3:8">
      <c r="C19" s="266" t="s">
        <v>384</v>
      </c>
    </row>
    <row r="20" spans="3:8">
      <c r="C20" s="285" t="s">
        <v>385</v>
      </c>
    </row>
    <row r="21" spans="3:8">
      <c r="C21" s="1482" t="s">
        <v>51</v>
      </c>
      <c r="D21" s="1483"/>
      <c r="E21" s="286">
        <v>0.05</v>
      </c>
      <c r="F21" s="287" t="s">
        <v>386</v>
      </c>
      <c r="G21" s="287"/>
      <c r="H21" s="268"/>
    </row>
    <row r="22" spans="3:8">
      <c r="C22" s="267" t="s">
        <v>387</v>
      </c>
      <c r="D22" s="268"/>
      <c r="E22" s="286">
        <v>0.1</v>
      </c>
      <c r="F22" s="287"/>
      <c r="G22" s="287"/>
      <c r="H22" s="268"/>
    </row>
    <row r="23" spans="3:8">
      <c r="C23" s="267" t="s">
        <v>53</v>
      </c>
      <c r="D23" s="268"/>
      <c r="E23" s="286">
        <v>0.03</v>
      </c>
      <c r="F23" s="287" t="s">
        <v>386</v>
      </c>
      <c r="G23" s="287"/>
      <c r="H23" s="268"/>
    </row>
    <row r="24" spans="3:8">
      <c r="C24" s="267" t="s">
        <v>318</v>
      </c>
      <c r="D24" s="278"/>
      <c r="E24" s="288" t="s">
        <v>59</v>
      </c>
      <c r="F24" s="287"/>
      <c r="G24" s="287"/>
      <c r="H24" s="268"/>
    </row>
    <row r="25" spans="3:8">
      <c r="C25" s="1482" t="s">
        <v>64</v>
      </c>
      <c r="D25" s="1483"/>
      <c r="E25" s="267" t="s">
        <v>388</v>
      </c>
      <c r="F25" s="287"/>
      <c r="G25" s="287"/>
      <c r="H25" s="268"/>
    </row>
    <row r="26" spans="3:8">
      <c r="C26" s="1482" t="s">
        <v>389</v>
      </c>
      <c r="D26" s="1483"/>
      <c r="E26" s="267" t="s">
        <v>390</v>
      </c>
      <c r="F26" s="287"/>
      <c r="G26" s="287"/>
      <c r="H26" s="268"/>
    </row>
    <row r="27" spans="3:8">
      <c r="C27" s="1470" t="s">
        <v>57</v>
      </c>
      <c r="D27" s="1471"/>
      <c r="E27" s="1484" t="s">
        <v>55</v>
      </c>
      <c r="F27" s="1485"/>
      <c r="G27" s="1484" t="s">
        <v>56</v>
      </c>
      <c r="H27" s="1485"/>
    </row>
    <row r="28" spans="3:8">
      <c r="C28" s="1472"/>
      <c r="D28" s="1473"/>
      <c r="E28" s="1484">
        <v>45</v>
      </c>
      <c r="F28" s="1485"/>
      <c r="G28" s="1486">
        <v>0.1</v>
      </c>
      <c r="H28" s="1487"/>
    </row>
    <row r="29" spans="3:8">
      <c r="C29" s="1474"/>
      <c r="D29" s="1475"/>
      <c r="E29" s="1484">
        <v>55</v>
      </c>
      <c r="F29" s="1485"/>
      <c r="G29" s="1486">
        <v>0.05</v>
      </c>
      <c r="H29" s="1487"/>
    </row>
    <row r="31" spans="3:8">
      <c r="C31" s="285" t="s">
        <v>391</v>
      </c>
    </row>
    <row r="32" spans="3:8">
      <c r="C32" s="1482" t="s">
        <v>51</v>
      </c>
      <c r="D32" s="1483"/>
      <c r="E32" s="286">
        <v>2.5000000000000001E-2</v>
      </c>
      <c r="F32" s="287" t="s">
        <v>386</v>
      </c>
      <c r="G32" s="287"/>
      <c r="H32" s="268"/>
    </row>
    <row r="33" spans="3:8">
      <c r="C33" s="267" t="s">
        <v>318</v>
      </c>
      <c r="D33" s="268"/>
      <c r="E33" s="289" t="s">
        <v>59</v>
      </c>
      <c r="F33" s="287"/>
      <c r="G33" s="287"/>
      <c r="H33" s="268"/>
    </row>
    <row r="34" spans="3:8">
      <c r="C34" s="267" t="s">
        <v>392</v>
      </c>
      <c r="D34" s="268"/>
      <c r="E34" s="290">
        <v>100000</v>
      </c>
      <c r="F34" s="287"/>
      <c r="G34" s="287"/>
      <c r="H34" s="268"/>
    </row>
    <row r="35" spans="3:8">
      <c r="C35" s="267" t="s">
        <v>389</v>
      </c>
      <c r="D35" s="268"/>
      <c r="E35" s="288" t="s">
        <v>393</v>
      </c>
      <c r="F35" s="287"/>
      <c r="G35" s="287"/>
      <c r="H35" s="268"/>
    </row>
    <row r="36" spans="3:8">
      <c r="E36" s="291"/>
    </row>
    <row r="37" spans="3:8">
      <c r="C37" s="266" t="s">
        <v>394</v>
      </c>
      <c r="E37" s="291"/>
    </row>
    <row r="38" spans="3:8" ht="31.2">
      <c r="C38" s="292" t="s">
        <v>395</v>
      </c>
      <c r="D38" s="292" t="s">
        <v>396</v>
      </c>
      <c r="E38" s="292" t="s">
        <v>55</v>
      </c>
      <c r="F38" s="293" t="s">
        <v>397</v>
      </c>
      <c r="G38" s="293" t="s">
        <v>398</v>
      </c>
      <c r="H38" s="294" t="s">
        <v>399</v>
      </c>
    </row>
    <row r="39" spans="3:8">
      <c r="C39" s="295">
        <v>1</v>
      </c>
      <c r="D39" s="295" t="s">
        <v>400</v>
      </c>
      <c r="E39" s="295">
        <v>39</v>
      </c>
      <c r="F39" s="296">
        <v>134000</v>
      </c>
      <c r="G39" s="296">
        <v>13000</v>
      </c>
      <c r="H39" s="297">
        <v>141000</v>
      </c>
    </row>
    <row r="40" spans="3:8">
      <c r="C40" s="295">
        <v>2</v>
      </c>
      <c r="D40" s="295" t="s">
        <v>400</v>
      </c>
      <c r="E40" s="295">
        <v>42</v>
      </c>
      <c r="F40" s="296">
        <v>421000</v>
      </c>
      <c r="G40" s="296">
        <v>22000</v>
      </c>
      <c r="H40" s="297">
        <v>608000</v>
      </c>
    </row>
    <row r="41" spans="3:8">
      <c r="C41" s="295">
        <v>3</v>
      </c>
      <c r="D41" s="295" t="s">
        <v>400</v>
      </c>
      <c r="E41" s="295">
        <v>54</v>
      </c>
      <c r="F41" s="296">
        <v>487000</v>
      </c>
      <c r="G41" s="296">
        <v>29000</v>
      </c>
      <c r="H41" s="297">
        <v>643000</v>
      </c>
    </row>
    <row r="42" spans="3:8">
      <c r="C42" s="295">
        <v>4</v>
      </c>
      <c r="D42" s="295" t="s">
        <v>401</v>
      </c>
      <c r="E42" s="295">
        <v>50</v>
      </c>
      <c r="F42" s="296">
        <v>76000</v>
      </c>
      <c r="G42" s="296">
        <v>0</v>
      </c>
      <c r="H42" s="297">
        <v>148000</v>
      </c>
    </row>
    <row r="43" spans="3:8">
      <c r="C43" s="295">
        <v>5</v>
      </c>
      <c r="D43" s="295" t="s">
        <v>401</v>
      </c>
      <c r="E43" s="295">
        <v>60</v>
      </c>
      <c r="F43" s="296">
        <v>310000</v>
      </c>
      <c r="G43" s="296">
        <v>0</v>
      </c>
      <c r="H43" s="297">
        <v>465000</v>
      </c>
    </row>
    <row r="44" spans="3:8">
      <c r="C44" s="295">
        <v>6</v>
      </c>
      <c r="D44" s="295" t="s">
        <v>402</v>
      </c>
      <c r="E44" s="295">
        <v>75</v>
      </c>
      <c r="F44" s="296">
        <v>470000</v>
      </c>
      <c r="G44" s="296">
        <v>0</v>
      </c>
      <c r="H44" s="297">
        <v>581000</v>
      </c>
    </row>
    <row r="46" spans="3:8">
      <c r="C46" s="266" t="s">
        <v>403</v>
      </c>
    </row>
    <row r="47" spans="3:8">
      <c r="C47" s="267" t="s">
        <v>360</v>
      </c>
      <c r="D47" s="298">
        <v>2700000</v>
      </c>
    </row>
    <row r="48" spans="3:8">
      <c r="C48" s="267" t="s">
        <v>404</v>
      </c>
      <c r="D48" s="299">
        <v>0.5</v>
      </c>
    </row>
    <row r="49" spans="3:8">
      <c r="D49" s="300"/>
    </row>
    <row r="50" spans="3:8">
      <c r="C50" s="262" t="s">
        <v>405</v>
      </c>
      <c r="D50" s="300"/>
    </row>
    <row r="51" spans="3:8">
      <c r="D51" s="300"/>
    </row>
    <row r="52" spans="3:8">
      <c r="C52" s="261" t="s">
        <v>406</v>
      </c>
      <c r="D52" s="300"/>
    </row>
    <row r="53" spans="3:8" ht="31.2">
      <c r="C53" s="292" t="s">
        <v>395</v>
      </c>
      <c r="D53" s="292" t="s">
        <v>396</v>
      </c>
      <c r="E53" s="292" t="s">
        <v>55</v>
      </c>
      <c r="F53" s="292" t="s">
        <v>407</v>
      </c>
      <c r="G53" s="301" t="s">
        <v>408</v>
      </c>
    </row>
    <row r="54" spans="3:8">
      <c r="C54" s="302">
        <v>1</v>
      </c>
      <c r="D54" s="303" t="s">
        <v>400</v>
      </c>
      <c r="E54" s="302">
        <v>40</v>
      </c>
      <c r="F54" s="302" t="s">
        <v>409</v>
      </c>
      <c r="G54" s="304">
        <v>11</v>
      </c>
    </row>
    <row r="55" spans="3:8">
      <c r="C55" s="295">
        <v>2</v>
      </c>
      <c r="D55" s="302" t="s">
        <v>400</v>
      </c>
      <c r="E55" s="302">
        <v>43</v>
      </c>
      <c r="F55" s="302" t="s">
        <v>409</v>
      </c>
      <c r="G55" s="304">
        <v>20</v>
      </c>
    </row>
    <row r="56" spans="3:8">
      <c r="C56" s="295">
        <v>3</v>
      </c>
      <c r="D56" s="302" t="s">
        <v>402</v>
      </c>
      <c r="E56" s="302">
        <v>55</v>
      </c>
      <c r="F56" s="302" t="s">
        <v>409</v>
      </c>
      <c r="G56" s="304">
        <v>18</v>
      </c>
    </row>
    <row r="57" spans="3:8">
      <c r="C57" s="295">
        <v>4</v>
      </c>
      <c r="D57" s="302" t="s">
        <v>401</v>
      </c>
      <c r="E57" s="302">
        <v>51</v>
      </c>
      <c r="F57" s="305">
        <v>1000</v>
      </c>
      <c r="G57" s="302" t="s">
        <v>410</v>
      </c>
    </row>
    <row r="58" spans="3:8">
      <c r="C58" s="295">
        <v>5</v>
      </c>
      <c r="D58" s="302" t="s">
        <v>402</v>
      </c>
      <c r="E58" s="302">
        <v>61</v>
      </c>
      <c r="F58" s="305">
        <v>2500</v>
      </c>
      <c r="G58" s="302" t="s">
        <v>410</v>
      </c>
    </row>
    <row r="59" spans="3:8">
      <c r="C59" s="295">
        <v>6</v>
      </c>
      <c r="D59" s="302" t="s">
        <v>402</v>
      </c>
      <c r="E59" s="302">
        <v>76</v>
      </c>
      <c r="F59" s="305">
        <v>4000</v>
      </c>
      <c r="G59" s="302" t="s">
        <v>410</v>
      </c>
    </row>
    <row r="60" spans="3:8">
      <c r="D60" s="300"/>
      <c r="F60" s="306"/>
    </row>
    <row r="61" spans="3:8">
      <c r="C61" s="261" t="s">
        <v>411</v>
      </c>
      <c r="D61" s="300"/>
      <c r="F61" s="306"/>
    </row>
    <row r="62" spans="3:8" ht="31.2">
      <c r="C62" s="292" t="s">
        <v>395</v>
      </c>
      <c r="D62" s="292" t="s">
        <v>412</v>
      </c>
      <c r="E62" s="292" t="s">
        <v>413</v>
      </c>
      <c r="F62" s="292" t="s">
        <v>414</v>
      </c>
      <c r="G62" s="292" t="s">
        <v>415</v>
      </c>
      <c r="H62" s="301" t="s">
        <v>416</v>
      </c>
    </row>
    <row r="63" spans="3:8">
      <c r="C63" s="295">
        <v>1</v>
      </c>
      <c r="D63" s="305">
        <v>89000</v>
      </c>
      <c r="E63" s="305">
        <v>88000</v>
      </c>
      <c r="F63" s="305">
        <v>85000</v>
      </c>
      <c r="G63" s="305">
        <v>83000</v>
      </c>
      <c r="H63" s="305">
        <v>81000</v>
      </c>
    </row>
    <row r="64" spans="3:8">
      <c r="C64" s="295">
        <v>2</v>
      </c>
      <c r="D64" s="305">
        <v>150000</v>
      </c>
      <c r="E64" s="305">
        <v>137000</v>
      </c>
      <c r="F64" s="305">
        <v>133000</v>
      </c>
      <c r="G64" s="305">
        <v>129000</v>
      </c>
      <c r="H64" s="305">
        <v>125000</v>
      </c>
    </row>
    <row r="65" spans="3:8">
      <c r="C65" s="295">
        <v>3</v>
      </c>
      <c r="D65" s="302" t="s">
        <v>409</v>
      </c>
      <c r="E65" s="305">
        <v>122000</v>
      </c>
      <c r="F65" s="305">
        <v>118000</v>
      </c>
      <c r="G65" s="305">
        <v>115000</v>
      </c>
      <c r="H65" s="305">
        <v>112000</v>
      </c>
    </row>
    <row r="66" spans="3:8">
      <c r="C66" s="295">
        <v>4</v>
      </c>
      <c r="D66" s="302" t="s">
        <v>409</v>
      </c>
      <c r="E66" s="302" t="s">
        <v>409</v>
      </c>
      <c r="F66" s="302" t="s">
        <v>409</v>
      </c>
      <c r="G66" s="302" t="s">
        <v>409</v>
      </c>
      <c r="H66" s="302" t="s">
        <v>409</v>
      </c>
    </row>
    <row r="67" spans="3:8">
      <c r="C67" s="295">
        <v>5</v>
      </c>
      <c r="D67" s="302" t="s">
        <v>409</v>
      </c>
      <c r="E67" s="302" t="s">
        <v>409</v>
      </c>
      <c r="F67" s="302" t="s">
        <v>409</v>
      </c>
      <c r="G67" s="302" t="s">
        <v>409</v>
      </c>
      <c r="H67" s="302" t="s">
        <v>409</v>
      </c>
    </row>
    <row r="68" spans="3:8">
      <c r="C68" s="295">
        <v>6</v>
      </c>
      <c r="D68" s="302" t="s">
        <v>409</v>
      </c>
      <c r="E68" s="302" t="s">
        <v>409</v>
      </c>
      <c r="F68" s="302" t="s">
        <v>409</v>
      </c>
      <c r="G68" s="302" t="s">
        <v>409</v>
      </c>
      <c r="H68" s="302" t="s">
        <v>409</v>
      </c>
    </row>
    <row r="70" spans="3:8">
      <c r="C70" s="262" t="s">
        <v>417</v>
      </c>
    </row>
    <row r="72" spans="3:8">
      <c r="C72" s="266" t="s">
        <v>384</v>
      </c>
    </row>
    <row r="73" spans="3:8">
      <c r="C73" s="1482" t="s">
        <v>418</v>
      </c>
      <c r="D73" s="1483"/>
      <c r="E73" s="286">
        <v>3.5000000000000003E-2</v>
      </c>
      <c r="F73" s="287" t="s">
        <v>386</v>
      </c>
      <c r="G73" s="287"/>
      <c r="H73" s="268"/>
    </row>
    <row r="74" spans="3:8">
      <c r="C74" s="267" t="s">
        <v>387</v>
      </c>
      <c r="D74" s="268"/>
      <c r="E74" s="286">
        <v>7.0000000000000007E-2</v>
      </c>
      <c r="F74" s="287"/>
      <c r="G74" s="287"/>
      <c r="H74" s="268"/>
    </row>
    <row r="75" spans="3:8">
      <c r="C75" s="267" t="s">
        <v>419</v>
      </c>
      <c r="D75" s="268"/>
      <c r="E75" s="286">
        <v>2.3E-2</v>
      </c>
      <c r="F75" s="287" t="s">
        <v>386</v>
      </c>
      <c r="G75" s="287"/>
      <c r="H75" s="268"/>
    </row>
    <row r="76" spans="3:8">
      <c r="C76" s="307"/>
      <c r="D76" s="307"/>
      <c r="E76" s="307"/>
      <c r="F76" s="307"/>
      <c r="G76" s="307"/>
      <c r="H76" s="307"/>
    </row>
    <row r="77" spans="3:8">
      <c r="C77" s="308" t="s">
        <v>420</v>
      </c>
      <c r="D77" s="307"/>
      <c r="E77" s="307"/>
      <c r="F77" s="307"/>
      <c r="G77" s="307"/>
      <c r="H77" s="307"/>
    </row>
    <row r="78" spans="3:8">
      <c r="C78" s="307"/>
      <c r="D78" s="1494"/>
      <c r="E78" s="1494"/>
      <c r="F78" s="1494"/>
      <c r="G78" s="1494"/>
      <c r="H78" s="307"/>
    </row>
    <row r="79" spans="3:8">
      <c r="C79" s="266" t="s">
        <v>403</v>
      </c>
      <c r="E79" s="307"/>
      <c r="F79" s="307"/>
      <c r="G79" s="307"/>
      <c r="H79" s="307"/>
    </row>
    <row r="80" spans="3:8">
      <c r="C80" s="267" t="s">
        <v>360</v>
      </c>
      <c r="D80" s="309">
        <v>2600000</v>
      </c>
      <c r="E80" s="307"/>
      <c r="F80" s="307"/>
      <c r="G80" s="307"/>
      <c r="H80" s="307"/>
    </row>
    <row r="81" spans="3:8">
      <c r="C81" s="267" t="s">
        <v>404</v>
      </c>
      <c r="D81" s="310">
        <v>0.8</v>
      </c>
      <c r="E81" s="307"/>
      <c r="F81" s="307"/>
      <c r="G81" s="307"/>
      <c r="H81" s="307"/>
    </row>
    <row r="82" spans="3:8">
      <c r="C82" s="307"/>
      <c r="D82" s="307"/>
      <c r="E82" s="307"/>
      <c r="F82" s="307"/>
      <c r="G82" s="307"/>
      <c r="H82" s="307"/>
    </row>
    <row r="83" spans="3:8">
      <c r="C83" s="308" t="s">
        <v>421</v>
      </c>
      <c r="D83" s="307"/>
      <c r="E83" s="307"/>
      <c r="F83" s="307"/>
      <c r="G83" s="307"/>
      <c r="H83" s="307"/>
    </row>
    <row r="84" spans="3:8">
      <c r="C84" s="308"/>
      <c r="D84" s="307"/>
      <c r="E84" s="307"/>
      <c r="F84" s="307"/>
      <c r="G84" s="307"/>
      <c r="H84" s="307"/>
    </row>
    <row r="85" spans="3:8">
      <c r="C85" s="266"/>
      <c r="D85" s="307"/>
      <c r="E85" s="307"/>
      <c r="F85" s="307"/>
      <c r="G85" s="307"/>
      <c r="H85" s="307"/>
    </row>
    <row r="86" spans="3:8">
      <c r="C86" s="261" t="s">
        <v>422</v>
      </c>
      <c r="D86" s="307"/>
      <c r="E86" s="307"/>
      <c r="F86" s="307"/>
      <c r="G86" s="307"/>
      <c r="H86" s="307"/>
    </row>
    <row r="87" spans="3:8">
      <c r="C87" s="311"/>
      <c r="D87" s="312"/>
      <c r="E87" s="312"/>
      <c r="F87" s="312"/>
      <c r="G87" s="312"/>
      <c r="H87" s="312"/>
    </row>
    <row r="88" spans="3:8">
      <c r="C88" s="313" t="s">
        <v>51</v>
      </c>
      <c r="D88" s="314"/>
      <c r="E88" s="314"/>
      <c r="F88" s="314"/>
      <c r="G88" s="314"/>
      <c r="H88" s="314"/>
    </row>
    <row r="89" spans="3:8">
      <c r="C89" s="315">
        <v>3.5000000000000003E-2</v>
      </c>
      <c r="D89" s="316">
        <v>18.899999999999999</v>
      </c>
      <c r="E89" s="316">
        <v>17.2</v>
      </c>
      <c r="F89" s="316">
        <v>16.899999999999999</v>
      </c>
      <c r="G89" s="316">
        <v>15.3</v>
      </c>
      <c r="H89" s="316">
        <v>10.5</v>
      </c>
    </row>
    <row r="90" spans="3:8">
      <c r="C90" s="315">
        <v>0.05</v>
      </c>
      <c r="D90" s="316">
        <v>15.7</v>
      </c>
      <c r="E90" s="316">
        <v>14.5</v>
      </c>
      <c r="F90" s="316">
        <v>14.3</v>
      </c>
      <c r="G90" s="316">
        <v>13.2</v>
      </c>
      <c r="H90" s="316">
        <v>9.5</v>
      </c>
    </row>
    <row r="91" spans="3:8">
      <c r="C91" s="266"/>
      <c r="D91" s="307"/>
      <c r="E91" s="307"/>
      <c r="F91" s="307"/>
      <c r="G91" s="307"/>
      <c r="H91" s="307"/>
    </row>
    <row r="92" spans="3:8">
      <c r="C92" s="266" t="s">
        <v>423</v>
      </c>
      <c r="D92" s="307"/>
      <c r="E92" s="307"/>
      <c r="F92" s="307"/>
      <c r="G92" s="307"/>
      <c r="H92" s="307"/>
    </row>
    <row r="93" spans="3:8">
      <c r="C93" s="311"/>
      <c r="D93" s="317" t="s">
        <v>424</v>
      </c>
      <c r="E93" s="317" t="s">
        <v>425</v>
      </c>
      <c r="F93" s="317" t="s">
        <v>424</v>
      </c>
      <c r="G93" s="317" t="s">
        <v>426</v>
      </c>
      <c r="H93" s="307"/>
    </row>
    <row r="94" spans="3:8">
      <c r="C94" s="318"/>
      <c r="D94" s="316">
        <v>15</v>
      </c>
      <c r="E94" s="316">
        <v>16.399999999999999</v>
      </c>
      <c r="F94" s="316">
        <v>12</v>
      </c>
      <c r="G94" s="316">
        <v>17.5</v>
      </c>
      <c r="H94" s="307"/>
    </row>
    <row r="95" spans="3:8">
      <c r="C95" s="318"/>
      <c r="D95" s="316">
        <v>16</v>
      </c>
      <c r="E95" s="316">
        <v>15.8</v>
      </c>
      <c r="F95" s="316">
        <v>13</v>
      </c>
      <c r="G95" s="316">
        <v>16.8</v>
      </c>
      <c r="H95" s="307"/>
    </row>
    <row r="96" spans="3:8">
      <c r="C96" s="318"/>
      <c r="D96" s="316">
        <v>17</v>
      </c>
      <c r="E96" s="316">
        <v>15.1</v>
      </c>
      <c r="F96" s="316">
        <v>14</v>
      </c>
      <c r="G96" s="316">
        <v>16.100000000000001</v>
      </c>
      <c r="H96" s="307"/>
    </row>
    <row r="97" spans="3:8">
      <c r="C97" s="318"/>
      <c r="D97" s="316">
        <v>18</v>
      </c>
      <c r="E97" s="316">
        <v>14.5</v>
      </c>
      <c r="F97" s="316">
        <v>15</v>
      </c>
      <c r="G97" s="316">
        <v>15.5</v>
      </c>
      <c r="H97" s="307"/>
    </row>
    <row r="98" spans="3:8">
      <c r="C98" s="318"/>
      <c r="D98" s="316">
        <v>19</v>
      </c>
      <c r="E98" s="316">
        <v>13.9</v>
      </c>
      <c r="F98" s="316">
        <v>16</v>
      </c>
      <c r="G98" s="316">
        <v>14.8</v>
      </c>
      <c r="H98" s="307"/>
    </row>
    <row r="99" spans="3:8">
      <c r="C99" s="318"/>
      <c r="D99" s="316">
        <v>20</v>
      </c>
      <c r="E99" s="316">
        <v>13.3</v>
      </c>
      <c r="F99" s="316">
        <v>17</v>
      </c>
      <c r="G99" s="316">
        <v>14.2</v>
      </c>
      <c r="H99" s="307"/>
    </row>
    <row r="100" spans="3:8">
      <c r="C100" s="318"/>
      <c r="D100" s="316">
        <v>21</v>
      </c>
      <c r="E100" s="316">
        <v>12.7</v>
      </c>
      <c r="F100" s="316">
        <v>18</v>
      </c>
      <c r="G100" s="316">
        <v>13.5</v>
      </c>
      <c r="H100" s="307"/>
    </row>
    <row r="101" spans="3:8">
      <c r="C101" s="318"/>
      <c r="D101" s="316">
        <v>22</v>
      </c>
      <c r="E101" s="316">
        <v>12.1</v>
      </c>
      <c r="F101" s="316">
        <v>19</v>
      </c>
      <c r="G101" s="316">
        <v>12.9</v>
      </c>
      <c r="H101" s="307"/>
    </row>
    <row r="102" spans="3:8">
      <c r="C102" s="318"/>
      <c r="D102" s="316">
        <v>23</v>
      </c>
      <c r="E102" s="316">
        <v>11.6</v>
      </c>
      <c r="F102" s="316">
        <v>20</v>
      </c>
      <c r="G102" s="316">
        <v>12.3</v>
      </c>
      <c r="H102" s="307"/>
    </row>
    <row r="103" spans="3:8">
      <c r="C103" s="318"/>
      <c r="D103" s="316">
        <v>24</v>
      </c>
      <c r="E103" s="319">
        <v>11</v>
      </c>
      <c r="F103" s="316">
        <v>21</v>
      </c>
      <c r="G103" s="316">
        <v>11.8</v>
      </c>
      <c r="H103" s="307"/>
    </row>
    <row r="104" spans="3:8">
      <c r="C104" s="320"/>
      <c r="D104" s="316">
        <v>25</v>
      </c>
      <c r="E104" s="316">
        <v>10.5</v>
      </c>
      <c r="F104" s="316">
        <v>22</v>
      </c>
      <c r="G104" s="316">
        <v>11.2</v>
      </c>
      <c r="H104" s="307"/>
    </row>
    <row r="105" spans="3:8">
      <c r="C105" s="266"/>
      <c r="D105" s="307"/>
      <c r="E105" s="307"/>
      <c r="F105" s="307"/>
      <c r="G105" s="307"/>
      <c r="H105" s="307"/>
    </row>
    <row r="106" spans="3:8">
      <c r="C106" s="321"/>
      <c r="D106" s="312"/>
      <c r="E106" s="307"/>
      <c r="F106" s="307"/>
      <c r="G106" s="307"/>
      <c r="H106" s="307"/>
    </row>
    <row r="107" spans="3:8">
      <c r="C107" s="322"/>
      <c r="D107" s="314">
        <v>13.3</v>
      </c>
      <c r="E107" s="307"/>
      <c r="F107" s="307"/>
      <c r="G107" s="307"/>
      <c r="H107" s="307"/>
    </row>
    <row r="108" spans="3:8">
      <c r="C108" s="323"/>
      <c r="D108" s="312"/>
      <c r="E108" s="307"/>
      <c r="F108" s="307"/>
      <c r="G108" s="307"/>
      <c r="H108" s="307"/>
    </row>
    <row r="109" spans="3:8">
      <c r="C109" s="322"/>
      <c r="D109" s="314">
        <v>22.7</v>
      </c>
      <c r="E109" s="307"/>
      <c r="F109" s="307"/>
      <c r="G109" s="307"/>
      <c r="H109" s="307"/>
    </row>
    <row r="110" spans="3:8">
      <c r="C110" s="323"/>
      <c r="D110" s="312"/>
      <c r="E110" s="307"/>
      <c r="F110" s="307"/>
      <c r="G110" s="307"/>
      <c r="H110" s="307"/>
    </row>
    <row r="111" spans="3:8">
      <c r="C111" s="322"/>
      <c r="D111" s="314">
        <v>19.899999999999999</v>
      </c>
      <c r="E111" s="307"/>
      <c r="F111" s="307"/>
      <c r="G111" s="307"/>
      <c r="H111" s="307"/>
    </row>
    <row r="112" spans="3:8">
      <c r="C112" s="324"/>
      <c r="D112" s="325"/>
      <c r="E112" s="307"/>
      <c r="F112" s="307"/>
      <c r="G112" s="307"/>
      <c r="H112" s="307"/>
    </row>
    <row r="113" spans="2:9">
      <c r="C113" s="281"/>
      <c r="D113" s="326">
        <v>11.8</v>
      </c>
    </row>
    <row r="115" spans="2:9">
      <c r="B115" s="262" t="s">
        <v>246</v>
      </c>
      <c r="C115" s="265" t="s">
        <v>247</v>
      </c>
      <c r="D115" s="262" t="s">
        <v>427</v>
      </c>
    </row>
    <row r="116" spans="2:9">
      <c r="C116" s="265"/>
      <c r="D116" s="327"/>
    </row>
    <row r="117" spans="2:9">
      <c r="D117" s="1488" t="s">
        <v>428</v>
      </c>
      <c r="E117" s="1489"/>
      <c r="F117" s="1489"/>
      <c r="G117" s="1489"/>
      <c r="H117" s="1489"/>
      <c r="I117" s="1490"/>
    </row>
    <row r="118" spans="2:9" ht="15.6" customHeight="1">
      <c r="D118" s="1491"/>
      <c r="E118" s="1492"/>
      <c r="F118" s="1492"/>
      <c r="G118" s="1492"/>
      <c r="H118" s="1492"/>
      <c r="I118" s="1493"/>
    </row>
    <row r="120" spans="2:9">
      <c r="D120" s="262" t="s">
        <v>429</v>
      </c>
      <c r="G120" s="328"/>
    </row>
    <row r="121" spans="2:9">
      <c r="D121" s="262" t="s">
        <v>430</v>
      </c>
      <c r="G121" s="328"/>
    </row>
    <row r="122" spans="2:9">
      <c r="C122" s="329"/>
    </row>
    <row r="123" spans="2:9">
      <c r="C123" s="329"/>
    </row>
    <row r="124" spans="2:9">
      <c r="B124" s="262" t="s">
        <v>6</v>
      </c>
      <c r="C124" s="265" t="s">
        <v>164</v>
      </c>
      <c r="D124" s="262" t="s">
        <v>431</v>
      </c>
    </row>
    <row r="125" spans="2:9">
      <c r="C125" s="329"/>
      <c r="D125" s="262" t="s">
        <v>432</v>
      </c>
    </row>
    <row r="126" spans="2:9">
      <c r="C126" s="329"/>
    </row>
    <row r="127" spans="2:9" ht="15.6" customHeight="1">
      <c r="D127" s="1488" t="s">
        <v>428</v>
      </c>
      <c r="E127" s="1489"/>
      <c r="F127" s="1489"/>
      <c r="G127" s="1489"/>
      <c r="H127" s="1489"/>
      <c r="I127" s="1490"/>
    </row>
    <row r="128" spans="2:9">
      <c r="C128" s="265"/>
      <c r="D128" s="1491"/>
      <c r="E128" s="1492"/>
      <c r="F128" s="1492"/>
      <c r="G128" s="1492"/>
      <c r="H128" s="1492"/>
      <c r="I128" s="1493"/>
    </row>
    <row r="130" spans="3:10" ht="15.6" customHeight="1">
      <c r="D130" s="330" t="s">
        <v>360</v>
      </c>
      <c r="E130" s="331"/>
      <c r="F130" s="332">
        <f>D80</f>
        <v>2600000</v>
      </c>
      <c r="G130" s="331"/>
      <c r="H130" s="331"/>
      <c r="I130" s="331"/>
      <c r="J130" s="331"/>
    </row>
    <row r="131" spans="3:10">
      <c r="D131" s="331"/>
      <c r="E131" s="331"/>
      <c r="F131" s="331"/>
      <c r="G131" s="331"/>
      <c r="H131" s="331"/>
      <c r="I131" s="331"/>
      <c r="J131" s="331"/>
    </row>
    <row r="132" spans="3:10">
      <c r="D132" s="261" t="s">
        <v>433</v>
      </c>
    </row>
    <row r="133" spans="3:10">
      <c r="C133" s="265"/>
      <c r="D133" s="262" t="s">
        <v>434</v>
      </c>
    </row>
    <row r="134" spans="3:10">
      <c r="D134" s="333" t="s">
        <v>435</v>
      </c>
      <c r="F134" s="334"/>
    </row>
    <row r="135" spans="3:10">
      <c r="D135" s="333" t="s">
        <v>436</v>
      </c>
      <c r="F135" s="334"/>
    </row>
    <row r="136" spans="3:10" ht="15.6" customHeight="1">
      <c r="D136" s="333" t="s">
        <v>437</v>
      </c>
      <c r="E136" s="331"/>
      <c r="F136" s="334"/>
      <c r="G136" s="331"/>
      <c r="H136" s="331"/>
      <c r="I136" s="331"/>
      <c r="J136" s="331"/>
    </row>
    <row r="137" spans="3:10">
      <c r="D137" s="262" t="s">
        <v>438</v>
      </c>
      <c r="E137" s="331"/>
      <c r="F137" s="306">
        <f>F136+F135+F134</f>
        <v>0</v>
      </c>
      <c r="G137" s="331"/>
      <c r="H137" s="331"/>
      <c r="I137" s="331"/>
      <c r="J137" s="331"/>
    </row>
    <row r="138" spans="3:10">
      <c r="D138" s="262" t="s">
        <v>439</v>
      </c>
      <c r="F138" s="334"/>
    </row>
    <row r="139" spans="3:10">
      <c r="D139" s="261" t="s">
        <v>440</v>
      </c>
      <c r="F139" s="306">
        <f>F138+F137</f>
        <v>0</v>
      </c>
      <c r="J139" s="335"/>
    </row>
    <row r="141" spans="3:10">
      <c r="F141" s="262" t="s">
        <v>441</v>
      </c>
      <c r="G141" s="336" t="s">
        <v>442</v>
      </c>
    </row>
    <row r="142" spans="3:10">
      <c r="D142" s="262" t="s">
        <v>443</v>
      </c>
      <c r="F142" s="306">
        <f>F130-F137</f>
        <v>2600000</v>
      </c>
      <c r="G142" s="306">
        <f>F130-F139</f>
        <v>2600000</v>
      </c>
    </row>
    <row r="143" spans="3:10">
      <c r="D143" s="262" t="s">
        <v>444</v>
      </c>
      <c r="F143" s="334"/>
      <c r="G143" s="334"/>
    </row>
    <row r="145" spans="2:9">
      <c r="B145" s="262" t="s">
        <v>256</v>
      </c>
      <c r="C145" s="262" t="s">
        <v>36</v>
      </c>
      <c r="D145" s="262" t="s">
        <v>445</v>
      </c>
    </row>
    <row r="147" spans="2:9">
      <c r="D147" s="1488" t="s">
        <v>428</v>
      </c>
      <c r="E147" s="1489"/>
      <c r="F147" s="1489"/>
      <c r="G147" s="1489"/>
      <c r="H147" s="1489"/>
      <c r="I147" s="1490"/>
    </row>
    <row r="148" spans="2:9">
      <c r="D148" s="1491"/>
      <c r="E148" s="1492"/>
      <c r="F148" s="1492"/>
      <c r="G148" s="1492"/>
      <c r="H148" s="1492"/>
      <c r="I148" s="1493"/>
    </row>
    <row r="149" spans="2:9">
      <c r="D149" s="337"/>
      <c r="E149" s="337"/>
      <c r="F149" s="337"/>
      <c r="G149" s="337"/>
      <c r="H149" s="337"/>
      <c r="I149" s="337"/>
    </row>
    <row r="150" spans="2:9">
      <c r="D150" s="262" t="s">
        <v>446</v>
      </c>
      <c r="H150" s="306">
        <f>D47-SUM(F39:F44)</f>
        <v>802000</v>
      </c>
    </row>
    <row r="152" spans="2:9">
      <c r="D152" s="262" t="s">
        <v>447</v>
      </c>
    </row>
    <row r="153" spans="2:9">
      <c r="D153" s="338"/>
      <c r="E153" s="339"/>
      <c r="F153" s="339"/>
      <c r="G153" s="340"/>
      <c r="H153" s="334"/>
    </row>
    <row r="154" spans="2:9">
      <c r="D154" s="338"/>
      <c r="E154" s="339"/>
      <c r="F154" s="339"/>
      <c r="G154" s="340"/>
      <c r="H154" s="334"/>
    </row>
    <row r="155" spans="2:9">
      <c r="D155" s="338"/>
      <c r="E155" s="339"/>
      <c r="F155" s="339"/>
      <c r="G155" s="340"/>
      <c r="H155" s="334"/>
    </row>
    <row r="156" spans="2:9">
      <c r="D156" s="338"/>
      <c r="E156" s="339"/>
      <c r="F156" s="339"/>
      <c r="G156" s="340"/>
      <c r="H156" s="334"/>
    </row>
    <row r="157" spans="2:9">
      <c r="D157" s="338"/>
      <c r="E157" s="339"/>
      <c r="F157" s="339"/>
      <c r="G157" s="340"/>
      <c r="H157" s="334"/>
    </row>
    <row r="158" spans="2:9">
      <c r="D158" s="338"/>
      <c r="E158" s="339"/>
      <c r="F158" s="339"/>
      <c r="G158" s="340"/>
      <c r="H158" s="334"/>
    </row>
    <row r="159" spans="2:9">
      <c r="D159" s="338"/>
      <c r="E159" s="339"/>
      <c r="F159" s="339"/>
      <c r="G159" s="340"/>
      <c r="H159" s="334"/>
    </row>
    <row r="160" spans="2:9">
      <c r="D160" s="338"/>
      <c r="E160" s="339"/>
      <c r="F160" s="339"/>
      <c r="G160" s="340"/>
      <c r="H160" s="334"/>
    </row>
    <row r="161" spans="2:9">
      <c r="D161" s="338"/>
      <c r="E161" s="339"/>
      <c r="F161" s="339"/>
      <c r="G161" s="340"/>
      <c r="H161" s="334"/>
    </row>
    <row r="162" spans="2:9">
      <c r="D162" s="338"/>
      <c r="E162" s="339"/>
      <c r="F162" s="339"/>
      <c r="G162" s="340"/>
      <c r="H162" s="334"/>
    </row>
    <row r="163" spans="2:9">
      <c r="D163" s="338"/>
      <c r="E163" s="339"/>
      <c r="F163" s="339"/>
      <c r="G163" s="340"/>
      <c r="H163" s="334"/>
    </row>
    <row r="164" spans="2:9">
      <c r="D164" s="338"/>
      <c r="E164" s="339"/>
      <c r="F164" s="339"/>
      <c r="G164" s="340"/>
      <c r="H164" s="334"/>
    </row>
    <row r="165" spans="2:9">
      <c r="D165" s="338"/>
      <c r="E165" s="339"/>
      <c r="F165" s="339"/>
      <c r="G165" s="340"/>
      <c r="H165" s="334"/>
    </row>
    <row r="166" spans="2:9">
      <c r="D166" s="338"/>
      <c r="E166" s="339"/>
      <c r="F166" s="339"/>
      <c r="G166" s="340"/>
      <c r="H166" s="334"/>
    </row>
    <row r="168" spans="2:9">
      <c r="D168" s="262" t="s">
        <v>448</v>
      </c>
      <c r="H168" s="306">
        <f>SUM(H150:H166)</f>
        <v>802000</v>
      </c>
    </row>
    <row r="170" spans="2:9">
      <c r="B170" s="262" t="s">
        <v>449</v>
      </c>
      <c r="C170" s="262" t="s">
        <v>302</v>
      </c>
      <c r="D170" s="262" t="s">
        <v>450</v>
      </c>
    </row>
    <row r="172" spans="2:9">
      <c r="D172" s="1488" t="s">
        <v>428</v>
      </c>
      <c r="E172" s="1489"/>
      <c r="F172" s="1489"/>
      <c r="G172" s="1489"/>
      <c r="H172" s="1489"/>
      <c r="I172" s="1490"/>
    </row>
    <row r="173" spans="2:9">
      <c r="D173" s="1491"/>
      <c r="E173" s="1492"/>
      <c r="F173" s="1492"/>
      <c r="G173" s="1492"/>
      <c r="H173" s="1492"/>
      <c r="I173" s="1493"/>
    </row>
    <row r="175" spans="2:9">
      <c r="D175" s="262" t="s">
        <v>451</v>
      </c>
      <c r="F175" s="306">
        <f>D80-E34</f>
        <v>2500000</v>
      </c>
    </row>
    <row r="177" spans="2:10">
      <c r="D177" s="262" t="s">
        <v>452</v>
      </c>
    </row>
    <row r="178" spans="2:10">
      <c r="D178" s="262" t="s">
        <v>435</v>
      </c>
      <c r="F178" s="334"/>
    </row>
    <row r="179" spans="2:10">
      <c r="D179" s="262" t="s">
        <v>436</v>
      </c>
      <c r="F179" s="334"/>
    </row>
    <row r="180" spans="2:10">
      <c r="D180" s="262" t="s">
        <v>437</v>
      </c>
      <c r="F180" s="334"/>
    </row>
    <row r="181" spans="2:10">
      <c r="D181" s="262" t="s">
        <v>453</v>
      </c>
      <c r="F181" s="306">
        <f>SUM(F178:F180)</f>
        <v>0</v>
      </c>
    </row>
    <row r="183" spans="2:10">
      <c r="D183" s="262" t="s">
        <v>454</v>
      </c>
      <c r="F183" s="306">
        <f>F175-F181</f>
        <v>2500000</v>
      </c>
      <c r="J183" s="335"/>
    </row>
    <row r="185" spans="2:10">
      <c r="C185" s="262" t="s">
        <v>455</v>
      </c>
    </row>
    <row r="187" spans="2:10">
      <c r="C187" s="262" t="s">
        <v>456</v>
      </c>
      <c r="E187" s="306">
        <v>2900000</v>
      </c>
    </row>
    <row r="189" spans="2:10">
      <c r="B189" s="262" t="s">
        <v>457</v>
      </c>
      <c r="C189" s="262" t="s">
        <v>247</v>
      </c>
      <c r="D189" s="262" t="s">
        <v>458</v>
      </c>
    </row>
    <row r="191" spans="2:10">
      <c r="D191" s="1488" t="s">
        <v>428</v>
      </c>
      <c r="E191" s="1489"/>
      <c r="F191" s="1489"/>
      <c r="G191" s="1489"/>
      <c r="H191" s="1489"/>
      <c r="I191" s="1490"/>
    </row>
    <row r="192" spans="2:10">
      <c r="D192" s="1491"/>
      <c r="E192" s="1492"/>
      <c r="F192" s="1492"/>
      <c r="G192" s="1492"/>
      <c r="H192" s="1492"/>
      <c r="I192" s="1493"/>
    </row>
    <row r="194" spans="2:9">
      <c r="D194" s="262" t="s">
        <v>459</v>
      </c>
      <c r="H194" s="334"/>
    </row>
    <row r="196" spans="2:9">
      <c r="B196" s="262" t="s">
        <v>460</v>
      </c>
      <c r="C196" s="262" t="s">
        <v>331</v>
      </c>
      <c r="D196" s="262" t="s">
        <v>461</v>
      </c>
    </row>
    <row r="198" spans="2:9">
      <c r="D198" s="1488" t="s">
        <v>428</v>
      </c>
      <c r="E198" s="1489"/>
      <c r="F198" s="1489"/>
      <c r="G198" s="1489"/>
      <c r="H198" s="1489"/>
      <c r="I198" s="1490"/>
    </row>
    <row r="199" spans="2:9">
      <c r="D199" s="1491"/>
      <c r="E199" s="1492"/>
      <c r="F199" s="1492"/>
      <c r="G199" s="1492"/>
      <c r="H199" s="1492"/>
      <c r="I199" s="1493"/>
    </row>
    <row r="201" spans="2:9">
      <c r="D201" s="262" t="s">
        <v>462</v>
      </c>
      <c r="H201" s="334"/>
    </row>
    <row r="202" spans="2:9">
      <c r="D202" s="262" t="s">
        <v>463</v>
      </c>
      <c r="H202" s="334"/>
    </row>
  </sheetData>
  <mergeCells count="22">
    <mergeCell ref="D147:I148"/>
    <mergeCell ref="D172:I173"/>
    <mergeCell ref="D191:I192"/>
    <mergeCell ref="D198:I199"/>
    <mergeCell ref="C32:D32"/>
    <mergeCell ref="C73:D73"/>
    <mergeCell ref="D78:E78"/>
    <mergeCell ref="F78:G78"/>
    <mergeCell ref="D117:I118"/>
    <mergeCell ref="D127:I128"/>
    <mergeCell ref="E27:F27"/>
    <mergeCell ref="G27:H27"/>
    <mergeCell ref="E28:F28"/>
    <mergeCell ref="G28:H28"/>
    <mergeCell ref="E29:F29"/>
    <mergeCell ref="G29:H29"/>
    <mergeCell ref="C27:D29"/>
    <mergeCell ref="C12:D12"/>
    <mergeCell ref="C13:D15"/>
    <mergeCell ref="C21:D21"/>
    <mergeCell ref="C25:D25"/>
    <mergeCell ref="C26:D26"/>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1D110-5FD3-4E57-AEBE-DDA7AF3230C0}">
  <dimension ref="A1:AL238"/>
  <sheetViews>
    <sheetView zoomScale="55" zoomScaleNormal="55" workbookViewId="0">
      <selection activeCell="H1" sqref="H1"/>
    </sheetView>
  </sheetViews>
  <sheetFormatPr defaultColWidth="8.6640625" defaultRowHeight="15.6"/>
  <cols>
    <col min="1" max="1" width="3.5546875" style="262" customWidth="1"/>
    <col min="2" max="2" width="11.33203125" style="262" customWidth="1"/>
    <col min="3" max="3" width="24.33203125" style="262" customWidth="1"/>
    <col min="4" max="4" width="21.6640625" style="262" customWidth="1"/>
    <col min="5" max="5" width="13.6640625" style="262" customWidth="1"/>
    <col min="6" max="6" width="19.33203125" style="262" customWidth="1"/>
    <col min="7" max="7" width="16.44140625" style="262" customWidth="1"/>
    <col min="8" max="8" width="13.5546875" style="262" customWidth="1"/>
    <col min="9" max="9" width="8.6640625" style="262"/>
    <col min="10" max="10" width="8.33203125" style="262" customWidth="1"/>
    <col min="11" max="11" width="8.6640625" style="263"/>
    <col min="12" max="15" width="10.33203125" style="263" customWidth="1"/>
    <col min="16" max="16" width="12.33203125" style="263" bestFit="1" customWidth="1"/>
    <col min="17" max="18" width="10.33203125" style="263" customWidth="1"/>
    <col min="19" max="19" width="12.33203125" style="263" bestFit="1" customWidth="1"/>
    <col min="20" max="20" width="10.33203125" style="263" customWidth="1"/>
    <col min="21" max="21" width="8.6640625" style="263" customWidth="1"/>
    <col min="22" max="22" width="7.88671875" style="263" customWidth="1"/>
    <col min="23" max="23" width="8" style="263" customWidth="1"/>
    <col min="24" max="24" width="8.6640625" style="263" customWidth="1"/>
    <col min="25" max="26" width="11" style="263" customWidth="1"/>
    <col min="27" max="27" width="12.6640625" style="263" customWidth="1"/>
    <col min="28" max="28" width="9.33203125" style="263" bestFit="1" customWidth="1"/>
    <col min="29" max="32" width="8.6640625" style="263"/>
    <col min="33" max="33" width="11.33203125" style="263" bestFit="1" customWidth="1"/>
    <col min="34" max="34" width="10.6640625" style="263" customWidth="1"/>
    <col min="35" max="35" width="9.33203125" style="263" customWidth="1"/>
    <col min="36" max="16384" width="8.6640625" style="263"/>
  </cols>
  <sheetData>
    <row r="1" spans="1:11">
      <c r="A1" s="261" t="s">
        <v>372</v>
      </c>
      <c r="B1" s="261"/>
      <c r="K1" s="263" t="str">
        <f>A1</f>
        <v>RETFRC Spring 2023</v>
      </c>
    </row>
    <row r="2" spans="1:11">
      <c r="A2" s="261" t="s">
        <v>373</v>
      </c>
      <c r="B2" s="261"/>
      <c r="K2" s="263" t="str">
        <f>A2</f>
        <v>Question 3</v>
      </c>
    </row>
    <row r="3" spans="1:11" ht="18.45" customHeight="1">
      <c r="A3" s="264"/>
    </row>
    <row r="4" spans="1:11" ht="18.45" customHeight="1">
      <c r="A4" s="261"/>
      <c r="K4" s="263" t="s">
        <v>35</v>
      </c>
    </row>
    <row r="5" spans="1:11">
      <c r="A5" s="261"/>
      <c r="B5" s="265" t="s">
        <v>374</v>
      </c>
      <c r="C5" s="262" t="s">
        <v>375</v>
      </c>
    </row>
    <row r="7" spans="1:11">
      <c r="C7" s="266" t="s">
        <v>177</v>
      </c>
    </row>
    <row r="8" spans="1:11" ht="15.6" customHeight="1">
      <c r="C8" s="267" t="s">
        <v>43</v>
      </c>
      <c r="D8" s="268"/>
      <c r="E8" s="269">
        <v>65</v>
      </c>
      <c r="F8" s="270"/>
      <c r="G8" s="271"/>
    </row>
    <row r="9" spans="1:11" ht="15.6" customHeight="1">
      <c r="C9" s="272" t="s">
        <v>39</v>
      </c>
      <c r="D9" s="273"/>
      <c r="E9" s="272" t="s">
        <v>376</v>
      </c>
      <c r="F9" s="274"/>
      <c r="G9" s="275"/>
    </row>
    <row r="10" spans="1:11">
      <c r="C10" s="276" t="s">
        <v>184</v>
      </c>
      <c r="D10" s="277"/>
      <c r="E10" s="276" t="s">
        <v>377</v>
      </c>
      <c r="F10" s="277"/>
      <c r="G10" s="278"/>
    </row>
    <row r="11" spans="1:11">
      <c r="C11" s="272"/>
      <c r="E11" s="272" t="s">
        <v>378</v>
      </c>
      <c r="G11" s="273"/>
    </row>
    <row r="12" spans="1:11">
      <c r="C12" s="1476"/>
      <c r="D12" s="1477"/>
      <c r="E12" s="272" t="s">
        <v>379</v>
      </c>
      <c r="G12" s="273"/>
    </row>
    <row r="13" spans="1:11" ht="15.6" customHeight="1">
      <c r="C13" s="1478" t="s">
        <v>46</v>
      </c>
      <c r="D13" s="1479"/>
      <c r="E13" s="276" t="s">
        <v>380</v>
      </c>
      <c r="F13" s="279"/>
      <c r="G13" s="280"/>
    </row>
    <row r="14" spans="1:11" ht="15.6" customHeight="1">
      <c r="C14" s="1480"/>
      <c r="D14" s="1481"/>
      <c r="E14" s="272" t="s">
        <v>381</v>
      </c>
      <c r="F14" s="274"/>
      <c r="G14" s="275"/>
    </row>
    <row r="15" spans="1:11">
      <c r="C15" s="1480"/>
      <c r="D15" s="1481"/>
      <c r="E15" s="281" t="s">
        <v>382</v>
      </c>
      <c r="F15" s="282"/>
      <c r="G15" s="283"/>
    </row>
    <row r="16" spans="1:11">
      <c r="C16" s="284"/>
      <c r="D16" s="284"/>
      <c r="F16" s="274"/>
      <c r="G16" s="274"/>
    </row>
    <row r="17" spans="3:8">
      <c r="C17" s="284" t="s">
        <v>383</v>
      </c>
      <c r="D17" s="284"/>
      <c r="F17" s="274"/>
      <c r="G17" s="274"/>
    </row>
    <row r="19" spans="3:8">
      <c r="C19" s="266" t="s">
        <v>384</v>
      </c>
    </row>
    <row r="20" spans="3:8">
      <c r="C20" s="285" t="s">
        <v>385</v>
      </c>
    </row>
    <row r="21" spans="3:8">
      <c r="C21" s="1482" t="s">
        <v>51</v>
      </c>
      <c r="D21" s="1483"/>
      <c r="E21" s="286">
        <v>0.05</v>
      </c>
      <c r="F21" s="287" t="s">
        <v>386</v>
      </c>
      <c r="G21" s="287"/>
      <c r="H21" s="268"/>
    </row>
    <row r="22" spans="3:8">
      <c r="C22" s="267" t="s">
        <v>387</v>
      </c>
      <c r="D22" s="268"/>
      <c r="E22" s="286">
        <v>0.1</v>
      </c>
      <c r="F22" s="287"/>
      <c r="G22" s="287"/>
      <c r="H22" s="268"/>
    </row>
    <row r="23" spans="3:8">
      <c r="C23" s="267" t="s">
        <v>53</v>
      </c>
      <c r="D23" s="268"/>
      <c r="E23" s="286">
        <v>0.03</v>
      </c>
      <c r="F23" s="287" t="s">
        <v>386</v>
      </c>
      <c r="G23" s="287"/>
      <c r="H23" s="268"/>
    </row>
    <row r="24" spans="3:8">
      <c r="C24" s="267" t="s">
        <v>318</v>
      </c>
      <c r="D24" s="278"/>
      <c r="E24" s="288" t="s">
        <v>59</v>
      </c>
      <c r="F24" s="287"/>
      <c r="G24" s="287"/>
      <c r="H24" s="268"/>
    </row>
    <row r="25" spans="3:8">
      <c r="C25" s="1482" t="s">
        <v>64</v>
      </c>
      <c r="D25" s="1483"/>
      <c r="E25" s="267" t="s">
        <v>388</v>
      </c>
      <c r="F25" s="287"/>
      <c r="G25" s="287"/>
      <c r="H25" s="268"/>
    </row>
    <row r="26" spans="3:8">
      <c r="C26" s="1482" t="s">
        <v>389</v>
      </c>
      <c r="D26" s="1483"/>
      <c r="E26" s="267" t="s">
        <v>390</v>
      </c>
      <c r="F26" s="287"/>
      <c r="G26" s="287"/>
      <c r="H26" s="268"/>
    </row>
    <row r="27" spans="3:8">
      <c r="C27" s="1470" t="s">
        <v>57</v>
      </c>
      <c r="D27" s="1471"/>
      <c r="E27" s="1484" t="s">
        <v>55</v>
      </c>
      <c r="F27" s="1485"/>
      <c r="G27" s="1484" t="s">
        <v>56</v>
      </c>
      <c r="H27" s="1485"/>
    </row>
    <row r="28" spans="3:8">
      <c r="C28" s="1472"/>
      <c r="D28" s="1473"/>
      <c r="E28" s="1484">
        <v>45</v>
      </c>
      <c r="F28" s="1485"/>
      <c r="G28" s="1486">
        <v>0.1</v>
      </c>
      <c r="H28" s="1487"/>
    </row>
    <row r="29" spans="3:8">
      <c r="C29" s="1474"/>
      <c r="D29" s="1475"/>
      <c r="E29" s="1484">
        <v>55</v>
      </c>
      <c r="F29" s="1485"/>
      <c r="G29" s="1486">
        <v>0.05</v>
      </c>
      <c r="H29" s="1487"/>
    </row>
    <row r="31" spans="3:8">
      <c r="C31" s="285" t="s">
        <v>391</v>
      </c>
    </row>
    <row r="32" spans="3:8">
      <c r="C32" s="1482" t="s">
        <v>51</v>
      </c>
      <c r="D32" s="1483"/>
      <c r="E32" s="286">
        <v>2.5000000000000001E-2</v>
      </c>
      <c r="F32" s="287" t="s">
        <v>386</v>
      </c>
      <c r="G32" s="287"/>
      <c r="H32" s="268"/>
    </row>
    <row r="33" spans="3:8">
      <c r="C33" s="267" t="s">
        <v>318</v>
      </c>
      <c r="D33" s="268"/>
      <c r="E33" s="289" t="s">
        <v>59</v>
      </c>
      <c r="F33" s="287"/>
      <c r="G33" s="287"/>
      <c r="H33" s="268"/>
    </row>
    <row r="34" spans="3:8">
      <c r="C34" s="267" t="s">
        <v>392</v>
      </c>
      <c r="D34" s="268"/>
      <c r="E34" s="290">
        <v>100000</v>
      </c>
      <c r="F34" s="287"/>
      <c r="G34" s="287"/>
      <c r="H34" s="268"/>
    </row>
    <row r="35" spans="3:8">
      <c r="C35" s="267" t="s">
        <v>389</v>
      </c>
      <c r="D35" s="268"/>
      <c r="E35" s="288" t="s">
        <v>393</v>
      </c>
      <c r="F35" s="287"/>
      <c r="G35" s="287"/>
      <c r="H35" s="268"/>
    </row>
    <row r="36" spans="3:8">
      <c r="E36" s="291"/>
    </row>
    <row r="37" spans="3:8">
      <c r="C37" s="266" t="s">
        <v>394</v>
      </c>
      <c r="E37" s="291"/>
    </row>
    <row r="38" spans="3:8" ht="31.2">
      <c r="C38" s="292" t="s">
        <v>395</v>
      </c>
      <c r="D38" s="292" t="s">
        <v>396</v>
      </c>
      <c r="E38" s="292" t="s">
        <v>55</v>
      </c>
      <c r="F38" s="293" t="s">
        <v>397</v>
      </c>
      <c r="G38" s="293" t="s">
        <v>398</v>
      </c>
      <c r="H38" s="294" t="s">
        <v>399</v>
      </c>
    </row>
    <row r="39" spans="3:8">
      <c r="C39" s="295">
        <v>1</v>
      </c>
      <c r="D39" s="295" t="s">
        <v>400</v>
      </c>
      <c r="E39" s="295">
        <v>39</v>
      </c>
      <c r="F39" s="296">
        <v>134000</v>
      </c>
      <c r="G39" s="296">
        <v>13000</v>
      </c>
      <c r="H39" s="297">
        <v>141000</v>
      </c>
    </row>
    <row r="40" spans="3:8">
      <c r="C40" s="295">
        <v>2</v>
      </c>
      <c r="D40" s="295" t="s">
        <v>400</v>
      </c>
      <c r="E40" s="295">
        <v>42</v>
      </c>
      <c r="F40" s="296">
        <v>421000</v>
      </c>
      <c r="G40" s="296">
        <v>22000</v>
      </c>
      <c r="H40" s="297">
        <v>608000</v>
      </c>
    </row>
    <row r="41" spans="3:8">
      <c r="C41" s="295">
        <v>3</v>
      </c>
      <c r="D41" s="295" t="s">
        <v>400</v>
      </c>
      <c r="E41" s="295">
        <v>54</v>
      </c>
      <c r="F41" s="296">
        <v>487000</v>
      </c>
      <c r="G41" s="296">
        <v>29000</v>
      </c>
      <c r="H41" s="297">
        <v>643000</v>
      </c>
    </row>
    <row r="42" spans="3:8">
      <c r="C42" s="295">
        <v>4</v>
      </c>
      <c r="D42" s="295" t="s">
        <v>401</v>
      </c>
      <c r="E42" s="295">
        <v>50</v>
      </c>
      <c r="F42" s="296">
        <v>76000</v>
      </c>
      <c r="G42" s="296">
        <v>0</v>
      </c>
      <c r="H42" s="297">
        <v>148000</v>
      </c>
    </row>
    <row r="43" spans="3:8">
      <c r="C43" s="295">
        <v>5</v>
      </c>
      <c r="D43" s="295" t="s">
        <v>401</v>
      </c>
      <c r="E43" s="295">
        <v>60</v>
      </c>
      <c r="F43" s="296">
        <v>310000</v>
      </c>
      <c r="G43" s="296">
        <v>0</v>
      </c>
      <c r="H43" s="297">
        <v>465000</v>
      </c>
    </row>
    <row r="44" spans="3:8">
      <c r="C44" s="295">
        <v>6</v>
      </c>
      <c r="D44" s="295" t="s">
        <v>402</v>
      </c>
      <c r="E44" s="295">
        <v>75</v>
      </c>
      <c r="F44" s="296">
        <v>470000</v>
      </c>
      <c r="G44" s="296">
        <v>0</v>
      </c>
      <c r="H44" s="297">
        <v>581000</v>
      </c>
    </row>
    <row r="46" spans="3:8">
      <c r="C46" s="266" t="s">
        <v>403</v>
      </c>
    </row>
    <row r="47" spans="3:8">
      <c r="C47" s="267" t="s">
        <v>360</v>
      </c>
      <c r="D47" s="298">
        <v>2700000</v>
      </c>
    </row>
    <row r="48" spans="3:8">
      <c r="C48" s="267" t="s">
        <v>404</v>
      </c>
      <c r="D48" s="299">
        <v>0.5</v>
      </c>
    </row>
    <row r="49" spans="3:8">
      <c r="D49" s="300"/>
    </row>
    <row r="50" spans="3:8">
      <c r="C50" s="262" t="s">
        <v>405</v>
      </c>
      <c r="D50" s="300"/>
    </row>
    <row r="51" spans="3:8">
      <c r="D51" s="300"/>
    </row>
    <row r="52" spans="3:8">
      <c r="C52" s="261" t="s">
        <v>406</v>
      </c>
      <c r="D52" s="300"/>
    </row>
    <row r="53" spans="3:8" ht="31.2">
      <c r="C53" s="292" t="s">
        <v>395</v>
      </c>
      <c r="D53" s="292" t="s">
        <v>396</v>
      </c>
      <c r="E53" s="292" t="s">
        <v>55</v>
      </c>
      <c r="F53" s="292" t="s">
        <v>407</v>
      </c>
      <c r="G53" s="301" t="s">
        <v>408</v>
      </c>
    </row>
    <row r="54" spans="3:8">
      <c r="C54" s="302">
        <v>1</v>
      </c>
      <c r="D54" s="303" t="s">
        <v>400</v>
      </c>
      <c r="E54" s="302">
        <v>40</v>
      </c>
      <c r="F54" s="302" t="s">
        <v>409</v>
      </c>
      <c r="G54" s="304">
        <v>11</v>
      </c>
    </row>
    <row r="55" spans="3:8">
      <c r="C55" s="295">
        <v>2</v>
      </c>
      <c r="D55" s="302" t="s">
        <v>400</v>
      </c>
      <c r="E55" s="302">
        <v>43</v>
      </c>
      <c r="F55" s="302" t="s">
        <v>409</v>
      </c>
      <c r="G55" s="304">
        <v>20</v>
      </c>
    </row>
    <row r="56" spans="3:8">
      <c r="C56" s="295">
        <v>3</v>
      </c>
      <c r="D56" s="302" t="s">
        <v>402</v>
      </c>
      <c r="E56" s="302">
        <v>55</v>
      </c>
      <c r="F56" s="302" t="s">
        <v>409</v>
      </c>
      <c r="G56" s="304">
        <v>18</v>
      </c>
    </row>
    <row r="57" spans="3:8">
      <c r="C57" s="295">
        <v>4</v>
      </c>
      <c r="D57" s="302" t="s">
        <v>401</v>
      </c>
      <c r="E57" s="302">
        <v>51</v>
      </c>
      <c r="F57" s="305">
        <v>1000</v>
      </c>
      <c r="G57" s="302" t="s">
        <v>410</v>
      </c>
    </row>
    <row r="58" spans="3:8">
      <c r="C58" s="295">
        <v>5</v>
      </c>
      <c r="D58" s="302" t="s">
        <v>402</v>
      </c>
      <c r="E58" s="302">
        <v>61</v>
      </c>
      <c r="F58" s="305">
        <v>2500</v>
      </c>
      <c r="G58" s="302" t="s">
        <v>410</v>
      </c>
    </row>
    <row r="59" spans="3:8">
      <c r="C59" s="295">
        <v>6</v>
      </c>
      <c r="D59" s="302" t="s">
        <v>402</v>
      </c>
      <c r="E59" s="302">
        <v>76</v>
      </c>
      <c r="F59" s="305">
        <v>4000</v>
      </c>
      <c r="G59" s="302" t="s">
        <v>410</v>
      </c>
    </row>
    <row r="60" spans="3:8">
      <c r="D60" s="300"/>
      <c r="F60" s="306"/>
    </row>
    <row r="61" spans="3:8">
      <c r="C61" s="261" t="s">
        <v>411</v>
      </c>
      <c r="D61" s="300"/>
      <c r="F61" s="306"/>
    </row>
    <row r="62" spans="3:8" ht="31.2">
      <c r="C62" s="292" t="s">
        <v>395</v>
      </c>
      <c r="D62" s="292" t="s">
        <v>412</v>
      </c>
      <c r="E62" s="292" t="s">
        <v>413</v>
      </c>
      <c r="F62" s="292" t="s">
        <v>414</v>
      </c>
      <c r="G62" s="292" t="s">
        <v>415</v>
      </c>
      <c r="H62" s="301" t="s">
        <v>416</v>
      </c>
    </row>
    <row r="63" spans="3:8">
      <c r="C63" s="295">
        <v>1</v>
      </c>
      <c r="D63" s="305">
        <v>89000</v>
      </c>
      <c r="E63" s="305">
        <v>88000</v>
      </c>
      <c r="F63" s="305">
        <v>85000</v>
      </c>
      <c r="G63" s="305">
        <v>83000</v>
      </c>
      <c r="H63" s="305">
        <v>81000</v>
      </c>
    </row>
    <row r="64" spans="3:8">
      <c r="C64" s="295">
        <v>2</v>
      </c>
      <c r="D64" s="305">
        <v>150000</v>
      </c>
      <c r="E64" s="305">
        <v>137000</v>
      </c>
      <c r="F64" s="305">
        <v>133000</v>
      </c>
      <c r="G64" s="305">
        <v>129000</v>
      </c>
      <c r="H64" s="305">
        <v>125000</v>
      </c>
    </row>
    <row r="65" spans="3:8">
      <c r="C65" s="295">
        <v>3</v>
      </c>
      <c r="D65" s="302" t="s">
        <v>409</v>
      </c>
      <c r="E65" s="305">
        <v>122000</v>
      </c>
      <c r="F65" s="305">
        <v>118000</v>
      </c>
      <c r="G65" s="305">
        <v>115000</v>
      </c>
      <c r="H65" s="305">
        <v>112000</v>
      </c>
    </row>
    <row r="66" spans="3:8">
      <c r="C66" s="295">
        <v>4</v>
      </c>
      <c r="D66" s="302" t="s">
        <v>409</v>
      </c>
      <c r="E66" s="302" t="s">
        <v>409</v>
      </c>
      <c r="F66" s="302" t="s">
        <v>409</v>
      </c>
      <c r="G66" s="302" t="s">
        <v>409</v>
      </c>
      <c r="H66" s="302" t="s">
        <v>409</v>
      </c>
    </row>
    <row r="67" spans="3:8">
      <c r="C67" s="295">
        <v>5</v>
      </c>
      <c r="D67" s="302" t="s">
        <v>409</v>
      </c>
      <c r="E67" s="302" t="s">
        <v>409</v>
      </c>
      <c r="F67" s="302" t="s">
        <v>409</v>
      </c>
      <c r="G67" s="302" t="s">
        <v>409</v>
      </c>
      <c r="H67" s="302" t="s">
        <v>409</v>
      </c>
    </row>
    <row r="68" spans="3:8">
      <c r="C68" s="295">
        <v>6</v>
      </c>
      <c r="D68" s="302" t="s">
        <v>409</v>
      </c>
      <c r="E68" s="302" t="s">
        <v>409</v>
      </c>
      <c r="F68" s="302" t="s">
        <v>409</v>
      </c>
      <c r="G68" s="302" t="s">
        <v>409</v>
      </c>
      <c r="H68" s="302" t="s">
        <v>409</v>
      </c>
    </row>
    <row r="70" spans="3:8">
      <c r="C70" s="262" t="s">
        <v>417</v>
      </c>
    </row>
    <row r="72" spans="3:8">
      <c r="C72" s="266" t="s">
        <v>384</v>
      </c>
    </row>
    <row r="73" spans="3:8">
      <c r="C73" s="1482" t="s">
        <v>418</v>
      </c>
      <c r="D73" s="1483"/>
      <c r="E73" s="286">
        <v>3.5000000000000003E-2</v>
      </c>
      <c r="F73" s="287" t="s">
        <v>386</v>
      </c>
      <c r="G73" s="287"/>
      <c r="H73" s="268"/>
    </row>
    <row r="74" spans="3:8">
      <c r="C74" s="267" t="s">
        <v>387</v>
      </c>
      <c r="D74" s="268"/>
      <c r="E74" s="286">
        <v>7.0000000000000007E-2</v>
      </c>
      <c r="F74" s="287"/>
      <c r="G74" s="287"/>
      <c r="H74" s="268"/>
    </row>
    <row r="75" spans="3:8">
      <c r="C75" s="267" t="s">
        <v>419</v>
      </c>
      <c r="D75" s="268"/>
      <c r="E75" s="286">
        <v>2.3E-2</v>
      </c>
      <c r="F75" s="287" t="s">
        <v>386</v>
      </c>
      <c r="G75" s="287"/>
      <c r="H75" s="268"/>
    </row>
    <row r="76" spans="3:8">
      <c r="C76" s="307"/>
      <c r="D76" s="307"/>
      <c r="E76" s="307"/>
      <c r="F76" s="307"/>
      <c r="G76" s="307"/>
      <c r="H76" s="307"/>
    </row>
    <row r="77" spans="3:8">
      <c r="C77" s="308" t="s">
        <v>420</v>
      </c>
      <c r="D77" s="307"/>
      <c r="E77" s="307"/>
      <c r="F77" s="307"/>
      <c r="G77" s="307"/>
      <c r="H77" s="307"/>
    </row>
    <row r="78" spans="3:8">
      <c r="C78" s="307"/>
      <c r="D78" s="1494"/>
      <c r="E78" s="1494"/>
      <c r="F78" s="1494"/>
      <c r="G78" s="1494"/>
      <c r="H78" s="307"/>
    </row>
    <row r="79" spans="3:8">
      <c r="C79" s="266" t="s">
        <v>403</v>
      </c>
      <c r="E79" s="307"/>
      <c r="F79" s="307"/>
      <c r="G79" s="307"/>
      <c r="H79" s="307"/>
    </row>
    <row r="80" spans="3:8">
      <c r="C80" s="267" t="s">
        <v>360</v>
      </c>
      <c r="D80" s="309">
        <v>2600000</v>
      </c>
      <c r="E80" s="307"/>
      <c r="F80" s="307"/>
      <c r="G80" s="307"/>
      <c r="H80" s="307"/>
    </row>
    <row r="81" spans="3:8">
      <c r="C81" s="267" t="s">
        <v>404</v>
      </c>
      <c r="D81" s="310">
        <v>0.8</v>
      </c>
      <c r="E81" s="307"/>
      <c r="F81" s="307"/>
      <c r="G81" s="307"/>
      <c r="H81" s="307"/>
    </row>
    <row r="82" spans="3:8">
      <c r="C82" s="307"/>
      <c r="D82" s="307"/>
      <c r="E82" s="307"/>
      <c r="F82" s="307"/>
      <c r="G82" s="307"/>
      <c r="H82" s="307"/>
    </row>
    <row r="83" spans="3:8">
      <c r="C83" s="308" t="s">
        <v>421</v>
      </c>
      <c r="D83" s="307"/>
      <c r="E83" s="307"/>
      <c r="F83" s="307"/>
      <c r="G83" s="307"/>
      <c r="H83" s="307"/>
    </row>
    <row r="84" spans="3:8">
      <c r="C84" s="308"/>
      <c r="D84" s="307"/>
      <c r="E84" s="307"/>
      <c r="F84" s="307"/>
      <c r="G84" s="307"/>
      <c r="H84" s="307"/>
    </row>
    <row r="85" spans="3:8">
      <c r="C85" s="266"/>
      <c r="D85" s="307"/>
      <c r="E85" s="307"/>
      <c r="F85" s="307"/>
      <c r="G85" s="307"/>
      <c r="H85" s="307"/>
    </row>
    <row r="86" spans="3:8">
      <c r="C86" s="261" t="s">
        <v>422</v>
      </c>
      <c r="D86" s="307"/>
      <c r="E86" s="307"/>
      <c r="F86" s="307"/>
      <c r="G86" s="307"/>
      <c r="H86" s="307"/>
    </row>
    <row r="87" spans="3:8">
      <c r="C87" s="311"/>
      <c r="D87" s="312"/>
      <c r="E87" s="312"/>
      <c r="F87" s="312"/>
      <c r="G87" s="312"/>
      <c r="H87" s="312"/>
    </row>
    <row r="88" spans="3:8">
      <c r="C88" s="313" t="s">
        <v>51</v>
      </c>
      <c r="D88" s="314"/>
      <c r="E88" s="314"/>
      <c r="F88" s="314"/>
      <c r="G88" s="314"/>
      <c r="H88" s="314"/>
    </row>
    <row r="89" spans="3:8">
      <c r="C89" s="315">
        <v>3.5000000000000003E-2</v>
      </c>
      <c r="D89" s="316">
        <v>18.899999999999999</v>
      </c>
      <c r="E89" s="316">
        <v>17.2</v>
      </c>
      <c r="F89" s="316">
        <v>16.899999999999999</v>
      </c>
      <c r="G89" s="316">
        <v>15.3</v>
      </c>
      <c r="H89" s="316">
        <v>10.5</v>
      </c>
    </row>
    <row r="90" spans="3:8">
      <c r="C90" s="315">
        <v>0.05</v>
      </c>
      <c r="D90" s="316">
        <v>15.7</v>
      </c>
      <c r="E90" s="316">
        <v>14.5</v>
      </c>
      <c r="F90" s="316">
        <v>14.3</v>
      </c>
      <c r="G90" s="316">
        <v>13.2</v>
      </c>
      <c r="H90" s="316">
        <v>9.5</v>
      </c>
    </row>
    <row r="91" spans="3:8">
      <c r="C91" s="266"/>
      <c r="D91" s="307"/>
      <c r="E91" s="307"/>
      <c r="F91" s="307"/>
      <c r="G91" s="307"/>
      <c r="H91" s="307"/>
    </row>
    <row r="92" spans="3:8">
      <c r="C92" s="266" t="s">
        <v>423</v>
      </c>
      <c r="D92" s="307"/>
      <c r="E92" s="307"/>
      <c r="F92" s="307"/>
      <c r="G92" s="307"/>
      <c r="H92" s="307"/>
    </row>
    <row r="93" spans="3:8">
      <c r="C93" s="311"/>
      <c r="D93" s="317" t="s">
        <v>424</v>
      </c>
      <c r="E93" s="317" t="s">
        <v>425</v>
      </c>
      <c r="F93" s="317" t="s">
        <v>424</v>
      </c>
      <c r="G93" s="317" t="s">
        <v>426</v>
      </c>
      <c r="H93" s="307"/>
    </row>
    <row r="94" spans="3:8">
      <c r="C94" s="318"/>
      <c r="D94" s="316">
        <v>15</v>
      </c>
      <c r="E94" s="316">
        <v>16.399999999999999</v>
      </c>
      <c r="F94" s="316">
        <v>12</v>
      </c>
      <c r="G94" s="316">
        <v>17.5</v>
      </c>
      <c r="H94" s="307"/>
    </row>
    <row r="95" spans="3:8">
      <c r="C95" s="318"/>
      <c r="D95" s="316">
        <v>16</v>
      </c>
      <c r="E95" s="316">
        <v>15.8</v>
      </c>
      <c r="F95" s="316">
        <v>13</v>
      </c>
      <c r="G95" s="316">
        <v>16.8</v>
      </c>
      <c r="H95" s="307"/>
    </row>
    <row r="96" spans="3:8">
      <c r="C96" s="318"/>
      <c r="D96" s="316">
        <v>17</v>
      </c>
      <c r="E96" s="316">
        <v>15.1</v>
      </c>
      <c r="F96" s="316">
        <v>14</v>
      </c>
      <c r="G96" s="316">
        <v>16.100000000000001</v>
      </c>
      <c r="H96" s="307"/>
    </row>
    <row r="97" spans="3:8">
      <c r="C97" s="318"/>
      <c r="D97" s="316">
        <v>18</v>
      </c>
      <c r="E97" s="316">
        <v>14.5</v>
      </c>
      <c r="F97" s="316">
        <v>15</v>
      </c>
      <c r="G97" s="316">
        <v>15.5</v>
      </c>
      <c r="H97" s="307"/>
    </row>
    <row r="98" spans="3:8">
      <c r="C98" s="318"/>
      <c r="D98" s="316">
        <v>19</v>
      </c>
      <c r="E98" s="316">
        <v>13.9</v>
      </c>
      <c r="F98" s="316">
        <v>16</v>
      </c>
      <c r="G98" s="316">
        <v>14.8</v>
      </c>
      <c r="H98" s="307"/>
    </row>
    <row r="99" spans="3:8">
      <c r="C99" s="318"/>
      <c r="D99" s="316">
        <v>20</v>
      </c>
      <c r="E99" s="316">
        <v>13.3</v>
      </c>
      <c r="F99" s="316">
        <v>17</v>
      </c>
      <c r="G99" s="316">
        <v>14.2</v>
      </c>
      <c r="H99" s="307"/>
    </row>
    <row r="100" spans="3:8">
      <c r="C100" s="318"/>
      <c r="D100" s="316">
        <v>21</v>
      </c>
      <c r="E100" s="316">
        <v>12.7</v>
      </c>
      <c r="F100" s="316">
        <v>18</v>
      </c>
      <c r="G100" s="316">
        <v>13.5</v>
      </c>
      <c r="H100" s="307"/>
    </row>
    <row r="101" spans="3:8">
      <c r="C101" s="318"/>
      <c r="D101" s="316">
        <v>22</v>
      </c>
      <c r="E101" s="316">
        <v>12.1</v>
      </c>
      <c r="F101" s="316">
        <v>19</v>
      </c>
      <c r="G101" s="316">
        <v>12.9</v>
      </c>
      <c r="H101" s="307"/>
    </row>
    <row r="102" spans="3:8">
      <c r="C102" s="318"/>
      <c r="D102" s="316">
        <v>23</v>
      </c>
      <c r="E102" s="316">
        <v>11.6</v>
      </c>
      <c r="F102" s="316">
        <v>20</v>
      </c>
      <c r="G102" s="316">
        <v>12.3</v>
      </c>
      <c r="H102" s="307"/>
    </row>
    <row r="103" spans="3:8">
      <c r="C103" s="318"/>
      <c r="D103" s="316">
        <v>24</v>
      </c>
      <c r="E103" s="319">
        <v>11</v>
      </c>
      <c r="F103" s="316">
        <v>21</v>
      </c>
      <c r="G103" s="316">
        <v>11.8</v>
      </c>
      <c r="H103" s="307"/>
    </row>
    <row r="104" spans="3:8">
      <c r="C104" s="320"/>
      <c r="D104" s="316">
        <v>25</v>
      </c>
      <c r="E104" s="316">
        <v>10.5</v>
      </c>
      <c r="F104" s="316">
        <v>22</v>
      </c>
      <c r="G104" s="316">
        <v>11.2</v>
      </c>
      <c r="H104" s="307"/>
    </row>
    <row r="105" spans="3:8">
      <c r="C105" s="266"/>
      <c r="D105" s="307"/>
      <c r="E105" s="307"/>
      <c r="F105" s="307"/>
      <c r="G105" s="307"/>
      <c r="H105" s="307"/>
    </row>
    <row r="106" spans="3:8">
      <c r="C106" s="321"/>
      <c r="D106" s="312"/>
      <c r="E106" s="307"/>
      <c r="F106" s="307"/>
      <c r="G106" s="307"/>
      <c r="H106" s="307"/>
    </row>
    <row r="107" spans="3:8">
      <c r="C107" s="322"/>
      <c r="D107" s="314">
        <v>13.3</v>
      </c>
      <c r="E107" s="307"/>
      <c r="F107" s="307"/>
      <c r="G107" s="307"/>
      <c r="H107" s="307"/>
    </row>
    <row r="108" spans="3:8">
      <c r="C108" s="323"/>
      <c r="D108" s="312"/>
      <c r="E108" s="307"/>
      <c r="F108" s="307"/>
      <c r="G108" s="307"/>
      <c r="H108" s="307"/>
    </row>
    <row r="109" spans="3:8">
      <c r="C109" s="322"/>
      <c r="D109" s="314">
        <v>22.7</v>
      </c>
      <c r="E109" s="307"/>
      <c r="F109" s="307"/>
      <c r="G109" s="307"/>
      <c r="H109" s="307"/>
    </row>
    <row r="110" spans="3:8">
      <c r="C110" s="323"/>
      <c r="D110" s="312"/>
      <c r="E110" s="307"/>
      <c r="F110" s="307"/>
      <c r="G110" s="307"/>
      <c r="H110" s="307"/>
    </row>
    <row r="111" spans="3:8">
      <c r="C111" s="322"/>
      <c r="D111" s="314">
        <v>19.899999999999999</v>
      </c>
      <c r="E111" s="307"/>
      <c r="F111" s="307"/>
      <c r="G111" s="307"/>
      <c r="H111" s="307"/>
    </row>
    <row r="112" spans="3:8">
      <c r="C112" s="324"/>
      <c r="D112" s="325"/>
      <c r="E112" s="307"/>
      <c r="F112" s="307"/>
      <c r="G112" s="307"/>
      <c r="H112" s="307"/>
    </row>
    <row r="113" spans="2:26">
      <c r="C113" s="281"/>
      <c r="D113" s="326">
        <v>11.8</v>
      </c>
    </row>
    <row r="115" spans="2:26">
      <c r="B115" s="262" t="s">
        <v>246</v>
      </c>
      <c r="C115" s="265" t="s">
        <v>247</v>
      </c>
      <c r="D115" s="262" t="s">
        <v>427</v>
      </c>
      <c r="L115" s="371"/>
    </row>
    <row r="116" spans="2:26">
      <c r="C116" s="265"/>
      <c r="D116" s="327"/>
      <c r="K116" s="372" t="s">
        <v>246</v>
      </c>
      <c r="L116" s="371" t="s">
        <v>488</v>
      </c>
      <c r="M116" s="373">
        <f>D47</f>
        <v>2700000</v>
      </c>
      <c r="N116" s="4"/>
      <c r="O116" s="371" t="s">
        <v>488</v>
      </c>
      <c r="P116" s="373">
        <f>M116</f>
        <v>2700000</v>
      </c>
      <c r="Q116" s="4"/>
    </row>
    <row r="117" spans="2:26">
      <c r="D117" s="1488" t="s">
        <v>428</v>
      </c>
      <c r="E117" s="1489"/>
      <c r="F117" s="1489"/>
      <c r="G117" s="1489"/>
      <c r="H117" s="1489"/>
      <c r="I117" s="1490"/>
      <c r="L117" s="371" t="s">
        <v>489</v>
      </c>
      <c r="M117" s="373">
        <f>SUM(F39:F44)</f>
        <v>1898000</v>
      </c>
      <c r="N117" s="4"/>
      <c r="O117" s="371" t="s">
        <v>490</v>
      </c>
      <c r="P117" s="373">
        <f>-E34</f>
        <v>-100000</v>
      </c>
      <c r="Q117" s="4"/>
    </row>
    <row r="118" spans="2:26" ht="15.6" customHeight="1">
      <c r="D118" s="1491"/>
      <c r="E118" s="1492"/>
      <c r="F118" s="1492"/>
      <c r="G118" s="1492"/>
      <c r="H118" s="1492"/>
      <c r="I118" s="1493"/>
      <c r="L118" s="371" t="s">
        <v>439</v>
      </c>
      <c r="M118" s="374">
        <f>M117*E22</f>
        <v>189800</v>
      </c>
      <c r="N118" s="4"/>
      <c r="O118" s="371" t="s">
        <v>491</v>
      </c>
      <c r="P118" s="374">
        <f>SUM(H39:H44)</f>
        <v>2586000</v>
      </c>
      <c r="Q118" s="4"/>
    </row>
    <row r="119" spans="2:26">
      <c r="L119" s="371" t="s">
        <v>492</v>
      </c>
      <c r="M119" s="373">
        <f>SUM(M117:M118)</f>
        <v>2087800</v>
      </c>
      <c r="N119" s="4"/>
      <c r="O119" s="371" t="s">
        <v>493</v>
      </c>
      <c r="P119" s="373">
        <f>SUM(P116:P117)-P118</f>
        <v>14000</v>
      </c>
      <c r="Q119" s="4"/>
    </row>
    <row r="120" spans="2:26">
      <c r="D120" s="262" t="s">
        <v>429</v>
      </c>
      <c r="G120" s="375">
        <f>M123</f>
        <v>73920</v>
      </c>
      <c r="L120" s="371" t="s">
        <v>494</v>
      </c>
      <c r="M120" s="373">
        <f>M116-M119</f>
        <v>612200</v>
      </c>
      <c r="N120" s="27"/>
      <c r="O120" s="371" t="s">
        <v>495</v>
      </c>
      <c r="P120" s="376">
        <f>P116/P118</f>
        <v>1.0440835266821347</v>
      </c>
      <c r="Q120" s="371" t="s">
        <v>496</v>
      </c>
    </row>
    <row r="121" spans="2:26">
      <c r="D121" s="262" t="s">
        <v>430</v>
      </c>
      <c r="G121" s="375">
        <f>M124</f>
        <v>73920</v>
      </c>
      <c r="L121" s="371" t="s">
        <v>497</v>
      </c>
      <c r="M121" s="376">
        <f>M116/M119</f>
        <v>1.2932273206245808</v>
      </c>
      <c r="N121" s="371" t="s">
        <v>498</v>
      </c>
      <c r="O121" s="4"/>
      <c r="P121" s="4"/>
      <c r="Q121" s="4"/>
    </row>
    <row r="122" spans="2:26">
      <c r="C122" s="329"/>
      <c r="L122" s="4"/>
      <c r="M122" s="4"/>
      <c r="N122" s="4"/>
      <c r="O122" s="4"/>
      <c r="P122" s="4"/>
      <c r="Q122" s="4"/>
      <c r="R122" s="4"/>
      <c r="S122" s="4"/>
      <c r="T122" s="27"/>
    </row>
    <row r="123" spans="2:26">
      <c r="C123" s="329"/>
      <c r="L123" s="371" t="s">
        <v>499</v>
      </c>
      <c r="M123" s="377">
        <f>SUM(G39:G41)*(1+E21)*(1+E22)</f>
        <v>73920</v>
      </c>
      <c r="N123" s="371" t="s">
        <v>500</v>
      </c>
      <c r="O123" s="27"/>
      <c r="P123" s="4"/>
      <c r="Q123" s="4"/>
      <c r="R123" s="4"/>
      <c r="S123" s="4"/>
      <c r="T123" s="4"/>
    </row>
    <row r="124" spans="2:26">
      <c r="B124" s="262" t="s">
        <v>6</v>
      </c>
      <c r="C124" s="265" t="s">
        <v>164</v>
      </c>
      <c r="D124" s="262" t="s">
        <v>431</v>
      </c>
      <c r="L124" s="371" t="s">
        <v>501</v>
      </c>
      <c r="M124" s="377">
        <f>M123</f>
        <v>73920</v>
      </c>
      <c r="N124" s="371" t="s">
        <v>502</v>
      </c>
      <c r="O124" s="27"/>
      <c r="Q124" s="4"/>
      <c r="R124" s="4"/>
      <c r="S124" s="4"/>
      <c r="T124" s="4"/>
    </row>
    <row r="125" spans="2:26">
      <c r="C125" s="329"/>
      <c r="D125" s="262" t="s">
        <v>432</v>
      </c>
      <c r="N125" s="4"/>
      <c r="Q125" s="4"/>
      <c r="R125" s="4"/>
      <c r="S125" s="4"/>
    </row>
    <row r="126" spans="2:26">
      <c r="C126" s="329"/>
      <c r="Q126" s="4"/>
      <c r="R126" s="4"/>
      <c r="S126" s="4"/>
    </row>
    <row r="127" spans="2:26" ht="15.6" customHeight="1">
      <c r="D127" s="1488" t="s">
        <v>428</v>
      </c>
      <c r="E127" s="1489"/>
      <c r="F127" s="1489"/>
      <c r="G127" s="1489"/>
      <c r="H127" s="1489"/>
      <c r="I127" s="1490"/>
      <c r="K127" s="378" t="s">
        <v>6</v>
      </c>
      <c r="L127" s="379" t="s">
        <v>503</v>
      </c>
      <c r="M127" s="379"/>
      <c r="N127" s="379"/>
      <c r="O127" s="379"/>
      <c r="P127" s="379"/>
      <c r="Q127" s="379"/>
      <c r="R127" s="379"/>
      <c r="S127" s="379"/>
      <c r="T127" s="379"/>
      <c r="U127" s="379"/>
      <c r="V127" s="379"/>
      <c r="W127" s="379"/>
      <c r="X127" s="379"/>
      <c r="Y127" s="379"/>
      <c r="Z127" s="379"/>
    </row>
    <row r="128" spans="2:26">
      <c r="C128" s="265"/>
      <c r="D128" s="1491"/>
      <c r="E128" s="1492"/>
      <c r="F128" s="1492"/>
      <c r="G128" s="1492"/>
      <c r="H128" s="1492"/>
      <c r="I128" s="1493"/>
      <c r="L128" s="380" t="s">
        <v>504</v>
      </c>
      <c r="M128" s="380" t="s">
        <v>505</v>
      </c>
      <c r="N128" s="380" t="s">
        <v>506</v>
      </c>
      <c r="O128" s="380" t="s">
        <v>507</v>
      </c>
      <c r="P128" s="380" t="s">
        <v>508</v>
      </c>
      <c r="Q128" s="380" t="s">
        <v>509</v>
      </c>
      <c r="R128" s="380" t="s">
        <v>510</v>
      </c>
      <c r="S128" s="380" t="s">
        <v>511</v>
      </c>
      <c r="T128" s="380" t="s">
        <v>512</v>
      </c>
      <c r="U128" s="380" t="s">
        <v>513</v>
      </c>
      <c r="V128" s="380" t="s">
        <v>514</v>
      </c>
      <c r="W128" s="380" t="s">
        <v>515</v>
      </c>
      <c r="X128" s="380" t="s">
        <v>516</v>
      </c>
      <c r="Y128" s="380" t="s">
        <v>517</v>
      </c>
      <c r="Z128" s="380" t="s">
        <v>518</v>
      </c>
    </row>
    <row r="129" spans="3:27">
      <c r="L129" s="381">
        <f>E54</f>
        <v>40</v>
      </c>
      <c r="M129" s="381">
        <f>G54</f>
        <v>11</v>
      </c>
      <c r="N129" s="381">
        <f>E28</f>
        <v>45</v>
      </c>
      <c r="O129" s="381">
        <v>65</v>
      </c>
      <c r="P129" s="382">
        <f>M129+(N129-L129)</f>
        <v>16</v>
      </c>
      <c r="Q129" s="383">
        <f>(1+$E$73)^(L129-O129)</f>
        <v>0.42314698926998884</v>
      </c>
      <c r="R129" s="384">
        <f>G28</f>
        <v>0.1</v>
      </c>
      <c r="S129" s="384">
        <v>1</v>
      </c>
      <c r="T129" s="385">
        <f>$D$63*((1+$E$23)^(N129-L129-1)+(1+$E$23)^(N129-L129-2)+(1+$E$23)^(N129-L129-3))/3</f>
        <v>97281.029029999991</v>
      </c>
      <c r="U129" s="385">
        <f>T129*0.018*P129</f>
        <v>28016.936360639997</v>
      </c>
      <c r="V129" s="383">
        <f>M129/P129</f>
        <v>0.6875</v>
      </c>
      <c r="W129" s="385">
        <f>V129*U129</f>
        <v>19261.643747939997</v>
      </c>
      <c r="X129" s="381">
        <f>$G$89</f>
        <v>15.3</v>
      </c>
      <c r="Y129" s="385">
        <f>X129*W129*S129*R129*Q129</f>
        <v>12470.275037307829</v>
      </c>
      <c r="Z129" s="385">
        <f>Y129/M129</f>
        <v>1133.6613670279844</v>
      </c>
    </row>
    <row r="130" spans="3:27" ht="15.6" customHeight="1">
      <c r="D130" s="330" t="s">
        <v>360</v>
      </c>
      <c r="E130" s="331"/>
      <c r="F130" s="332">
        <f>D80</f>
        <v>2600000</v>
      </c>
      <c r="G130" s="331"/>
      <c r="H130" s="331"/>
      <c r="I130" s="331"/>
      <c r="J130" s="331"/>
      <c r="L130" s="381">
        <f>L129</f>
        <v>40</v>
      </c>
      <c r="M130" s="381">
        <f>M129</f>
        <v>11</v>
      </c>
      <c r="N130" s="381">
        <f>E29</f>
        <v>55</v>
      </c>
      <c r="O130" s="381">
        <v>65</v>
      </c>
      <c r="P130" s="382">
        <f t="shared" ref="P130:P131" si="0">M130+(N130-L130)</f>
        <v>26</v>
      </c>
      <c r="Q130" s="383">
        <f>(1+$E$73)^(L130-O130)</f>
        <v>0.42314698926998884</v>
      </c>
      <c r="R130" s="384">
        <f>G29</f>
        <v>0.05</v>
      </c>
      <c r="S130" s="384">
        <f>S129*(1-R129)</f>
        <v>0.9</v>
      </c>
      <c r="T130" s="385">
        <f>$D$63*((1+$E$23)^(N130-L130-1)+(1+$E$23)^(N130-L130-2)+(1+$E$23)^(N130-L130-3))/3</f>
        <v>130737.568312868</v>
      </c>
      <c r="U130" s="385">
        <f>T130*0.018*P130</f>
        <v>61185.181970422214</v>
      </c>
      <c r="V130" s="383">
        <f t="shared" ref="V130:V131" si="1">M130/P130</f>
        <v>0.42307692307692307</v>
      </c>
      <c r="W130" s="385">
        <f>V130*U130</f>
        <v>25886.038525947861</v>
      </c>
      <c r="X130" s="381">
        <f>$G$89</f>
        <v>15.3</v>
      </c>
      <c r="Y130" s="385">
        <f>X130*W130*S130*R130*Q130</f>
        <v>7541.553094903853</v>
      </c>
      <c r="Z130" s="385">
        <f>Y130/M130</f>
        <v>685.59573590035029</v>
      </c>
    </row>
    <row r="131" spans="3:27">
      <c r="D131" s="331"/>
      <c r="E131" s="331"/>
      <c r="F131" s="331"/>
      <c r="G131" s="331"/>
      <c r="H131" s="331"/>
      <c r="I131" s="331"/>
      <c r="J131" s="331"/>
      <c r="L131" s="381">
        <f>L130</f>
        <v>40</v>
      </c>
      <c r="M131" s="381">
        <f>M130</f>
        <v>11</v>
      </c>
      <c r="N131" s="381">
        <v>60</v>
      </c>
      <c r="O131" s="381">
        <f>N131</f>
        <v>60</v>
      </c>
      <c r="P131" s="382">
        <f t="shared" si="0"/>
        <v>31</v>
      </c>
      <c r="Q131" s="383">
        <f>(1+$E$73)^(L131-O131)</f>
        <v>0.50256588443167061</v>
      </c>
      <c r="R131" s="384">
        <v>1</v>
      </c>
      <c r="S131" s="384">
        <f>S130*(1-R130)</f>
        <v>0.85499999999999998</v>
      </c>
      <c r="T131" s="385">
        <f>$D$63*((1+$E$23)^(N131-L131-1)+(1+$E$23)^(N131-L131-2)+(1+$E$23)^(N131-L131-3))/3</f>
        <v>151560.67348213305</v>
      </c>
      <c r="U131" s="385">
        <f>T131*0.018*P131</f>
        <v>84570.855803030237</v>
      </c>
      <c r="V131" s="383">
        <f t="shared" si="1"/>
        <v>0.35483870967741937</v>
      </c>
      <c r="W131" s="385">
        <f t="shared" ref="W131" si="2">V131*U131</f>
        <v>30009.013349462344</v>
      </c>
      <c r="X131" s="381">
        <f>$E$89</f>
        <v>17.2</v>
      </c>
      <c r="Y131" s="386">
        <f>X131*W131*S131*R131*Q131</f>
        <v>221788.63216095633</v>
      </c>
      <c r="Z131" s="386">
        <f>Y131/M131</f>
        <v>20162.602923723302</v>
      </c>
    </row>
    <row r="132" spans="3:27">
      <c r="D132" s="261" t="s">
        <v>433</v>
      </c>
      <c r="L132" s="381"/>
      <c r="M132" s="387"/>
      <c r="N132" s="381"/>
      <c r="O132" s="381"/>
      <c r="P132" s="381"/>
      <c r="Q132" s="381"/>
      <c r="R132" s="381"/>
      <c r="S132" s="381"/>
      <c r="T132" s="381"/>
      <c r="U132" s="381"/>
      <c r="V132" s="381"/>
      <c r="W132" s="381"/>
      <c r="X132" s="381"/>
      <c r="Y132" s="388">
        <f>SUM(Y129:Y131)</f>
        <v>241800.46029316803</v>
      </c>
      <c r="Z132" s="388">
        <f>SUM(Z129:Z131)</f>
        <v>21981.860026651637</v>
      </c>
    </row>
    <row r="133" spans="3:27">
      <c r="C133" s="265"/>
      <c r="D133" s="262" t="s">
        <v>434</v>
      </c>
    </row>
    <row r="134" spans="3:27">
      <c r="D134" s="333" t="s">
        <v>435</v>
      </c>
      <c r="F134" s="334">
        <f>Y132+Y139</f>
        <v>992861.75741839316</v>
      </c>
      <c r="L134" s="379" t="s">
        <v>519</v>
      </c>
      <c r="M134" s="379"/>
      <c r="N134" s="379"/>
      <c r="O134" s="379"/>
      <c r="P134" s="379"/>
      <c r="Q134" s="379"/>
      <c r="R134" s="379"/>
      <c r="S134" s="379"/>
      <c r="T134" s="379"/>
      <c r="U134" s="379"/>
      <c r="V134" s="379"/>
      <c r="W134" s="379"/>
      <c r="X134" s="379"/>
      <c r="Y134" s="379"/>
      <c r="Z134" s="379"/>
      <c r="AA134" s="389"/>
    </row>
    <row r="135" spans="3:27">
      <c r="D135" s="333" t="s">
        <v>436</v>
      </c>
      <c r="F135" s="334">
        <f>S141</f>
        <v>113424.73669479716</v>
      </c>
      <c r="L135" s="380" t="s">
        <v>504</v>
      </c>
      <c r="M135" s="380" t="s">
        <v>505</v>
      </c>
      <c r="N135" s="380" t="s">
        <v>506</v>
      </c>
      <c r="O135" s="380" t="s">
        <v>507</v>
      </c>
      <c r="P135" s="380" t="s">
        <v>508</v>
      </c>
      <c r="Q135" s="380" t="s">
        <v>509</v>
      </c>
      <c r="R135" s="380" t="s">
        <v>510</v>
      </c>
      <c r="S135" s="380" t="s">
        <v>511</v>
      </c>
      <c r="T135" s="380" t="s">
        <v>512</v>
      </c>
      <c r="U135" s="380" t="s">
        <v>513</v>
      </c>
      <c r="V135" s="380" t="s">
        <v>514</v>
      </c>
      <c r="W135" s="380" t="s">
        <v>515</v>
      </c>
      <c r="X135" s="380" t="s">
        <v>516</v>
      </c>
      <c r="Y135" s="380" t="s">
        <v>517</v>
      </c>
      <c r="Z135" s="380" t="s">
        <v>518</v>
      </c>
    </row>
    <row r="136" spans="3:27" ht="15.6" customHeight="1">
      <c r="D136" s="333" t="s">
        <v>437</v>
      </c>
      <c r="E136" s="331"/>
      <c r="F136" s="334">
        <f>S146</f>
        <v>1505252.0999999999</v>
      </c>
      <c r="G136" s="331"/>
      <c r="H136" s="331"/>
      <c r="I136" s="331"/>
      <c r="J136" s="331"/>
      <c r="L136" s="381">
        <f>E55</f>
        <v>43</v>
      </c>
      <c r="M136" s="382">
        <f>G55</f>
        <v>20</v>
      </c>
      <c r="N136" s="381">
        <f>N129</f>
        <v>45</v>
      </c>
      <c r="O136" s="381">
        <v>65</v>
      </c>
      <c r="P136" s="382">
        <f>M136+(N136-L136)</f>
        <v>22</v>
      </c>
      <c r="Q136" s="383">
        <f>1/(1+$E$73)^(O136-L136)</f>
        <v>0.46915063075606966</v>
      </c>
      <c r="R136" s="384">
        <f>R129</f>
        <v>0.1</v>
      </c>
      <c r="S136" s="384">
        <v>1</v>
      </c>
      <c r="T136" s="385">
        <f>(D64*(1+E23)+D64+E64)/3</f>
        <v>147166.66666666666</v>
      </c>
      <c r="U136" s="385">
        <f>T136*0.018*P136</f>
        <v>58277.999999999993</v>
      </c>
      <c r="V136" s="383">
        <f>M136/P136</f>
        <v>0.90909090909090906</v>
      </c>
      <c r="W136" s="385">
        <f>V136*U136</f>
        <v>52979.999999999993</v>
      </c>
      <c r="X136" s="381">
        <f>$G$89</f>
        <v>15.3</v>
      </c>
      <c r="Y136" s="385">
        <f>X136*W136*S136*R136*Q136</f>
        <v>38029.068638708552</v>
      </c>
      <c r="Z136" s="385">
        <f>Y136/M136</f>
        <v>1901.4534319354275</v>
      </c>
    </row>
    <row r="137" spans="3:27">
      <c r="D137" s="262" t="s">
        <v>438</v>
      </c>
      <c r="E137" s="331"/>
      <c r="F137" s="306">
        <f>F136+F135+F134</f>
        <v>2611538.5941131902</v>
      </c>
      <c r="G137" s="331"/>
      <c r="H137" s="331"/>
      <c r="I137" s="331"/>
      <c r="J137" s="331"/>
      <c r="L137" s="381">
        <f>L136</f>
        <v>43</v>
      </c>
      <c r="M137" s="381">
        <f>M136</f>
        <v>20</v>
      </c>
      <c r="N137" s="381">
        <f>N130</f>
        <v>55</v>
      </c>
      <c r="O137" s="381">
        <v>65</v>
      </c>
      <c r="P137" s="382">
        <f t="shared" ref="P137:P138" si="3">M137+(N137-L137)</f>
        <v>32</v>
      </c>
      <c r="Q137" s="383">
        <f t="shared" ref="Q137:Q138" si="4">1/(1+$E$73)^(O137-L137)</f>
        <v>0.46915063075606966</v>
      </c>
      <c r="R137" s="384">
        <f>R130</f>
        <v>0.05</v>
      </c>
      <c r="S137" s="384">
        <f>S136*(1-R136)</f>
        <v>0.9</v>
      </c>
      <c r="T137" s="385">
        <f t="shared" ref="T137:T138" si="5">$D$64*((1+$E$23)^(N137-L137-1)+(1+$E$23)^(N137-L137-2)+(1+$E$23)^(N137-L137-3))/3</f>
        <v>201646.17169489057</v>
      </c>
      <c r="U137" s="385">
        <f>T137*0.018*P137</f>
        <v>116148.19489625696</v>
      </c>
      <c r="V137" s="383">
        <f t="shared" ref="V137:V138" si="6">M137/P137</f>
        <v>0.625</v>
      </c>
      <c r="W137" s="385">
        <f>V137*U137</f>
        <v>72592.621810160606</v>
      </c>
      <c r="X137" s="381">
        <f>$G$89</f>
        <v>15.3</v>
      </c>
      <c r="Y137" s="385">
        <f>X137*W137*S137*R137*Q137</f>
        <v>23448.157962761125</v>
      </c>
      <c r="Z137" s="385">
        <f>Y137/M137</f>
        <v>1172.4078981380562</v>
      </c>
    </row>
    <row r="138" spans="3:27">
      <c r="D138" s="262" t="s">
        <v>439</v>
      </c>
      <c r="F138" s="334">
        <f>F137*E74</f>
        <v>182807.70158792334</v>
      </c>
      <c r="L138" s="381">
        <f>L137</f>
        <v>43</v>
      </c>
      <c r="M138" s="381">
        <f>M137</f>
        <v>20</v>
      </c>
      <c r="N138" s="381">
        <f>N131</f>
        <v>60</v>
      </c>
      <c r="O138" s="381">
        <f>N138</f>
        <v>60</v>
      </c>
      <c r="P138" s="382">
        <f t="shared" si="3"/>
        <v>37</v>
      </c>
      <c r="Q138" s="383">
        <f t="shared" si="4"/>
        <v>0.55720377943457733</v>
      </c>
      <c r="R138" s="384">
        <f>R131</f>
        <v>1</v>
      </c>
      <c r="S138" s="384">
        <f>S137*(1-R137)</f>
        <v>0.85499999999999998</v>
      </c>
      <c r="T138" s="385">
        <f t="shared" si="5"/>
        <v>233763.17902773313</v>
      </c>
      <c r="U138" s="385">
        <f>T138*0.018*P138</f>
        <v>155686.27723247025</v>
      </c>
      <c r="V138" s="383">
        <f t="shared" si="6"/>
        <v>0.54054054054054057</v>
      </c>
      <c r="W138" s="385">
        <f>V138*U138</f>
        <v>84154.744449983918</v>
      </c>
      <c r="X138" s="381">
        <f>$E$89</f>
        <v>17.2</v>
      </c>
      <c r="Y138" s="386">
        <f>X138*W138*S138*R138*Q138</f>
        <v>689584.07052375551</v>
      </c>
      <c r="Z138" s="386">
        <f>Y138/M138</f>
        <v>34479.203526187775</v>
      </c>
    </row>
    <row r="139" spans="3:27">
      <c r="D139" s="261" t="s">
        <v>440</v>
      </c>
      <c r="F139" s="306">
        <f>F138+F137</f>
        <v>2794346.2957011135</v>
      </c>
      <c r="J139" s="335"/>
      <c r="L139" s="381"/>
      <c r="M139" s="387"/>
      <c r="N139" s="381"/>
      <c r="O139" s="381"/>
      <c r="P139" s="381"/>
      <c r="Q139" s="381"/>
      <c r="R139" s="381"/>
      <c r="S139" s="381"/>
      <c r="T139" s="381"/>
      <c r="U139" s="381"/>
      <c r="V139" s="381"/>
      <c r="W139" s="381"/>
      <c r="X139" s="381"/>
      <c r="Y139" s="388">
        <f>SUM(Y136:Y138)</f>
        <v>751061.29712522519</v>
      </c>
      <c r="Z139" s="388">
        <f>SUM(Z136:Z138)</f>
        <v>37553.064856261262</v>
      </c>
    </row>
    <row r="140" spans="3:27">
      <c r="M140" s="390" t="s">
        <v>396</v>
      </c>
      <c r="N140" s="380" t="s">
        <v>504</v>
      </c>
      <c r="O140" s="380" t="s">
        <v>507</v>
      </c>
      <c r="P140" s="380" t="s">
        <v>520</v>
      </c>
      <c r="Q140" s="380" t="s">
        <v>509</v>
      </c>
      <c r="R140" s="380" t="s">
        <v>521</v>
      </c>
      <c r="S140" s="380" t="s">
        <v>517</v>
      </c>
    </row>
    <row r="141" spans="3:27">
      <c r="F141" s="262" t="s">
        <v>441</v>
      </c>
      <c r="G141" s="336" t="s">
        <v>442</v>
      </c>
      <c r="L141" s="379" t="s">
        <v>522</v>
      </c>
      <c r="M141" s="379" t="str">
        <f>D57</f>
        <v>Deferred</v>
      </c>
      <c r="N141" s="381">
        <f>E57</f>
        <v>51</v>
      </c>
      <c r="O141" s="381">
        <f>65</f>
        <v>65</v>
      </c>
      <c r="P141" s="385">
        <f>F57*12</f>
        <v>12000</v>
      </c>
      <c r="Q141" s="383">
        <f>1/(1+$E$73)^(O141-N141)</f>
        <v>0.61778179027667302</v>
      </c>
      <c r="R141" s="381">
        <f>G89</f>
        <v>15.3</v>
      </c>
      <c r="S141" s="388">
        <f>P141*Q141*R141</f>
        <v>113424.73669479716</v>
      </c>
      <c r="T141" s="379"/>
    </row>
    <row r="142" spans="3:27">
      <c r="D142" s="262" t="s">
        <v>443</v>
      </c>
      <c r="F142" s="306">
        <f>F130-F137</f>
        <v>-11538.594113190193</v>
      </c>
      <c r="G142" s="306">
        <f>F130-F139</f>
        <v>-194346.29570111353</v>
      </c>
    </row>
    <row r="143" spans="3:27">
      <c r="D143" s="262" t="s">
        <v>444</v>
      </c>
      <c r="F143" s="334">
        <f>Z132+Z139</f>
        <v>59534.924882912899</v>
      </c>
      <c r="G143" s="334">
        <f>F143*(1+E74)</f>
        <v>63702.369624716805</v>
      </c>
      <c r="L143" s="379" t="s">
        <v>523</v>
      </c>
      <c r="M143" s="379" t="str">
        <f>D56</f>
        <v>Retired</v>
      </c>
      <c r="N143" s="381">
        <f>E56</f>
        <v>55</v>
      </c>
      <c r="O143" s="381">
        <f>N143</f>
        <v>55</v>
      </c>
      <c r="P143" s="385">
        <f>G56*0.018*AVERAGE(E65:G65)*(1-0.03*(60-O143))</f>
        <v>32588.999999999993</v>
      </c>
      <c r="Q143" s="383">
        <f>1/(1+$E$73)^(O143-N143)</f>
        <v>1</v>
      </c>
      <c r="R143" s="381">
        <f>D89</f>
        <v>18.899999999999999</v>
      </c>
      <c r="S143" s="385">
        <f t="shared" ref="S143:S145" si="7">P143*Q143*R143</f>
        <v>615932.09999999986</v>
      </c>
      <c r="T143" s="379"/>
    </row>
    <row r="144" spans="3:27">
      <c r="L144" s="379" t="s">
        <v>524</v>
      </c>
      <c r="M144" s="379" t="str">
        <f>D58</f>
        <v>Retired</v>
      </c>
      <c r="N144" s="381">
        <f>E58</f>
        <v>61</v>
      </c>
      <c r="O144" s="381">
        <f>N144</f>
        <v>61</v>
      </c>
      <c r="P144" s="385">
        <f>F58*12*(1-0.06*(65-O144))</f>
        <v>22800</v>
      </c>
      <c r="Q144" s="383">
        <f t="shared" ref="Q144:Q145" si="8">1/(1+$E$73)^(O144-N144)</f>
        <v>1</v>
      </c>
      <c r="R144" s="381">
        <f>F89</f>
        <v>16.899999999999999</v>
      </c>
      <c r="S144" s="385">
        <f t="shared" si="7"/>
        <v>385319.99999999994</v>
      </c>
      <c r="T144" s="379"/>
    </row>
    <row r="145" spans="2:26">
      <c r="B145" s="262" t="s">
        <v>256</v>
      </c>
      <c r="C145" s="262" t="s">
        <v>36</v>
      </c>
      <c r="D145" s="262" t="s">
        <v>445</v>
      </c>
      <c r="L145" s="379" t="s">
        <v>525</v>
      </c>
      <c r="M145" s="379" t="str">
        <f>D59</f>
        <v>Retired</v>
      </c>
      <c r="N145" s="381">
        <f>E59</f>
        <v>76</v>
      </c>
      <c r="O145" s="381">
        <f>N145</f>
        <v>76</v>
      </c>
      <c r="P145" s="385">
        <f>F59*12</f>
        <v>48000</v>
      </c>
      <c r="Q145" s="383">
        <f t="shared" si="8"/>
        <v>1</v>
      </c>
      <c r="R145" s="381">
        <f>H89</f>
        <v>10.5</v>
      </c>
      <c r="S145" s="386">
        <f t="shared" si="7"/>
        <v>504000</v>
      </c>
    </row>
    <row r="146" spans="2:26">
      <c r="S146" s="388">
        <f>SUM(S143:S145)</f>
        <v>1505252.0999999999</v>
      </c>
    </row>
    <row r="147" spans="2:26">
      <c r="D147" s="1488" t="s">
        <v>428</v>
      </c>
      <c r="E147" s="1489"/>
      <c r="F147" s="1489"/>
      <c r="G147" s="1489"/>
      <c r="H147" s="1489"/>
      <c r="I147" s="1490"/>
      <c r="K147" s="391" t="s">
        <v>256</v>
      </c>
      <c r="L147" s="379" t="s">
        <v>503</v>
      </c>
      <c r="M147" s="379"/>
      <c r="N147" s="379"/>
      <c r="O147" s="379"/>
      <c r="P147" s="379"/>
      <c r="Q147" s="379"/>
      <c r="R147" s="379"/>
      <c r="S147" s="379"/>
      <c r="T147" s="379"/>
      <c r="U147" s="379"/>
      <c r="V147" s="379"/>
      <c r="W147" s="379"/>
      <c r="X147" s="379"/>
      <c r="Y147" s="379"/>
      <c r="Z147" s="379"/>
    </row>
    <row r="148" spans="2:26">
      <c r="D148" s="1491"/>
      <c r="E148" s="1492"/>
      <c r="F148" s="1492"/>
      <c r="G148" s="1492"/>
      <c r="H148" s="1492"/>
      <c r="I148" s="1493"/>
      <c r="L148" s="380" t="s">
        <v>504</v>
      </c>
      <c r="M148" s="380" t="s">
        <v>505</v>
      </c>
      <c r="N148" s="380" t="s">
        <v>506</v>
      </c>
      <c r="O148" s="380" t="s">
        <v>507</v>
      </c>
      <c r="P148" s="380" t="s">
        <v>508</v>
      </c>
      <c r="Q148" s="380" t="s">
        <v>509</v>
      </c>
      <c r="R148" s="380" t="s">
        <v>510</v>
      </c>
      <c r="S148" s="380" t="s">
        <v>511</v>
      </c>
      <c r="T148" s="380" t="s">
        <v>512</v>
      </c>
      <c r="U148" s="380" t="s">
        <v>513</v>
      </c>
      <c r="V148" s="380" t="s">
        <v>514</v>
      </c>
      <c r="W148" s="380" t="s">
        <v>515</v>
      </c>
      <c r="X148" s="380" t="s">
        <v>516</v>
      </c>
      <c r="Y148" s="380" t="s">
        <v>517</v>
      </c>
      <c r="Z148" s="380" t="s">
        <v>518</v>
      </c>
    </row>
    <row r="149" spans="2:26">
      <c r="D149" s="337"/>
      <c r="E149" s="337"/>
      <c r="F149" s="337"/>
      <c r="G149" s="337"/>
      <c r="H149" s="337"/>
      <c r="I149" s="337"/>
      <c r="L149" s="381">
        <f>L129</f>
        <v>40</v>
      </c>
      <c r="M149" s="381">
        <f t="shared" ref="M149:P149" si="9">M129</f>
        <v>11</v>
      </c>
      <c r="N149" s="381">
        <f t="shared" si="9"/>
        <v>45</v>
      </c>
      <c r="O149" s="381">
        <f t="shared" si="9"/>
        <v>65</v>
      </c>
      <c r="P149" s="381">
        <f t="shared" si="9"/>
        <v>16</v>
      </c>
      <c r="Q149" s="383">
        <f>(1+$E$21)^(L149-O149)</f>
        <v>0.29530277169776209</v>
      </c>
      <c r="R149" s="384">
        <f t="shared" ref="R149:U151" si="10">R129</f>
        <v>0.1</v>
      </c>
      <c r="S149" s="384">
        <f t="shared" si="10"/>
        <v>1</v>
      </c>
      <c r="T149" s="385">
        <f t="shared" si="10"/>
        <v>97281.029029999991</v>
      </c>
      <c r="U149" s="385">
        <f t="shared" si="10"/>
        <v>28016.936360639997</v>
      </c>
      <c r="V149" s="383">
        <f>M149/P149</f>
        <v>0.6875</v>
      </c>
      <c r="W149" s="385">
        <f>V149*U149</f>
        <v>19261.643747939997</v>
      </c>
      <c r="X149" s="381">
        <f>G90</f>
        <v>13.2</v>
      </c>
      <c r="Y149" s="385">
        <f>X149*W149*S149*R149*Q149</f>
        <v>7508.1821578124482</v>
      </c>
      <c r="Z149" s="385">
        <f>Y149/M149</f>
        <v>682.56201434658624</v>
      </c>
    </row>
    <row r="150" spans="2:26">
      <c r="D150" s="262" t="s">
        <v>446</v>
      </c>
      <c r="H150" s="306">
        <f>D47-SUM(F39:F44)</f>
        <v>802000</v>
      </c>
      <c r="L150" s="381">
        <f t="shared" ref="L150:P151" si="11">L130</f>
        <v>40</v>
      </c>
      <c r="M150" s="381">
        <f t="shared" si="11"/>
        <v>11</v>
      </c>
      <c r="N150" s="381">
        <f t="shared" si="11"/>
        <v>55</v>
      </c>
      <c r="O150" s="381">
        <f t="shared" si="11"/>
        <v>65</v>
      </c>
      <c r="P150" s="381">
        <f t="shared" si="11"/>
        <v>26</v>
      </c>
      <c r="Q150" s="383">
        <f t="shared" ref="Q150:Q151" si="12">(1+$E$21)^(L150-O150)</f>
        <v>0.29530277169776209</v>
      </c>
      <c r="R150" s="384">
        <f t="shared" si="10"/>
        <v>0.05</v>
      </c>
      <c r="S150" s="384">
        <f t="shared" si="10"/>
        <v>0.9</v>
      </c>
      <c r="T150" s="385">
        <f t="shared" si="10"/>
        <v>130737.568312868</v>
      </c>
      <c r="U150" s="385">
        <f t="shared" si="10"/>
        <v>61185.181970422214</v>
      </c>
      <c r="V150" s="383">
        <f t="shared" ref="V150:V151" si="13">M150/P150</f>
        <v>0.42307692307692307</v>
      </c>
      <c r="W150" s="385">
        <f>V150*U150</f>
        <v>25886.038525947861</v>
      </c>
      <c r="X150" s="381">
        <f>X149</f>
        <v>13.2</v>
      </c>
      <c r="Y150" s="385">
        <f>X150*W150*S150*R150*Q150</f>
        <v>4540.6660414425487</v>
      </c>
      <c r="Z150" s="385">
        <f>Y150/M150</f>
        <v>412.78782194932262</v>
      </c>
    </row>
    <row r="151" spans="2:26">
      <c r="L151" s="381">
        <f t="shared" si="11"/>
        <v>40</v>
      </c>
      <c r="M151" s="381">
        <f t="shared" si="11"/>
        <v>11</v>
      </c>
      <c r="N151" s="381">
        <f t="shared" si="11"/>
        <v>60</v>
      </c>
      <c r="O151" s="381">
        <f t="shared" si="11"/>
        <v>60</v>
      </c>
      <c r="P151" s="381">
        <f t="shared" si="11"/>
        <v>31</v>
      </c>
      <c r="Q151" s="383">
        <f t="shared" si="12"/>
        <v>0.37688948287300061</v>
      </c>
      <c r="R151" s="384">
        <f t="shared" si="10"/>
        <v>1</v>
      </c>
      <c r="S151" s="384">
        <f t="shared" si="10"/>
        <v>0.85499999999999998</v>
      </c>
      <c r="T151" s="385">
        <f t="shared" si="10"/>
        <v>151560.67348213305</v>
      </c>
      <c r="U151" s="385">
        <f t="shared" si="10"/>
        <v>84570.855803030237</v>
      </c>
      <c r="V151" s="383">
        <f t="shared" si="13"/>
        <v>0.35483870967741937</v>
      </c>
      <c r="W151" s="385">
        <f t="shared" ref="W151" si="14">V151*U151</f>
        <v>30009.013349462344</v>
      </c>
      <c r="X151" s="381">
        <f>E90</f>
        <v>14.5</v>
      </c>
      <c r="Y151" s="386">
        <f>X151*W151*S151*R151*Q151</f>
        <v>140216.73567901013</v>
      </c>
      <c r="Z151" s="386">
        <f>Y151/M151</f>
        <v>12746.975970819103</v>
      </c>
    </row>
    <row r="152" spans="2:26">
      <c r="D152" s="262" t="s">
        <v>447</v>
      </c>
      <c r="L152" s="381"/>
      <c r="M152" s="387"/>
      <c r="N152" s="381"/>
      <c r="O152" s="381"/>
      <c r="P152" s="381"/>
      <c r="Q152" s="381"/>
      <c r="R152" s="381"/>
      <c r="S152" s="381"/>
      <c r="T152" s="381"/>
      <c r="U152" s="381"/>
      <c r="V152" s="381"/>
      <c r="W152" s="381"/>
      <c r="X152" s="381"/>
      <c r="Y152" s="392">
        <f>SUM(Y149:Y151)</f>
        <v>152265.58387826514</v>
      </c>
      <c r="Z152" s="392">
        <f>SUM(Z149:Z151)</f>
        <v>13842.325807115012</v>
      </c>
    </row>
    <row r="153" spans="2:26">
      <c r="D153" s="338" t="s">
        <v>526</v>
      </c>
      <c r="E153" s="339"/>
      <c r="F153" s="339"/>
      <c r="G153" s="340"/>
      <c r="H153" s="334">
        <f>O181</f>
        <v>40100</v>
      </c>
    </row>
    <row r="154" spans="2:26">
      <c r="D154" s="338" t="s">
        <v>527</v>
      </c>
      <c r="E154" s="339"/>
      <c r="F154" s="339"/>
      <c r="G154" s="340"/>
      <c r="H154" s="334">
        <f>O179</f>
        <v>6720</v>
      </c>
      <c r="L154" s="379" t="s">
        <v>519</v>
      </c>
      <c r="M154" s="379"/>
      <c r="N154" s="379"/>
      <c r="O154" s="379"/>
      <c r="P154" s="379"/>
      <c r="Q154" s="379"/>
      <c r="R154" s="379"/>
      <c r="S154" s="379"/>
      <c r="T154" s="379"/>
      <c r="U154" s="379"/>
      <c r="V154" s="379"/>
      <c r="W154" s="379"/>
      <c r="X154" s="379"/>
      <c r="Y154" s="379"/>
      <c r="Z154" s="379"/>
    </row>
    <row r="155" spans="2:26">
      <c r="D155" s="338"/>
      <c r="E155" s="339"/>
      <c r="F155" s="339"/>
      <c r="G155" s="340"/>
      <c r="H155" s="334"/>
      <c r="L155" s="380" t="s">
        <v>504</v>
      </c>
      <c r="M155" s="380" t="s">
        <v>505</v>
      </c>
      <c r="N155" s="380" t="s">
        <v>506</v>
      </c>
      <c r="O155" s="380" t="s">
        <v>507</v>
      </c>
      <c r="P155" s="380" t="s">
        <v>508</v>
      </c>
      <c r="Q155" s="380" t="s">
        <v>509</v>
      </c>
      <c r="R155" s="380" t="s">
        <v>510</v>
      </c>
      <c r="S155" s="380" t="s">
        <v>511</v>
      </c>
      <c r="T155" s="380" t="s">
        <v>512</v>
      </c>
      <c r="U155" s="380" t="s">
        <v>513</v>
      </c>
      <c r="V155" s="380" t="s">
        <v>514</v>
      </c>
      <c r="W155" s="380" t="s">
        <v>515</v>
      </c>
      <c r="X155" s="380" t="s">
        <v>516</v>
      </c>
      <c r="Y155" s="380" t="s">
        <v>517</v>
      </c>
      <c r="Z155" s="380" t="s">
        <v>518</v>
      </c>
    </row>
    <row r="156" spans="2:26">
      <c r="D156" s="338" t="s">
        <v>528</v>
      </c>
      <c r="E156" s="339"/>
      <c r="F156" s="339"/>
      <c r="G156" s="340"/>
      <c r="H156" s="334">
        <f>O186</f>
        <v>-259720</v>
      </c>
      <c r="L156" s="381">
        <f>L136</f>
        <v>43</v>
      </c>
      <c r="M156" s="382">
        <f>M136</f>
        <v>20</v>
      </c>
      <c r="N156" s="381">
        <f>N149</f>
        <v>45</v>
      </c>
      <c r="O156" s="381">
        <v>65</v>
      </c>
      <c r="P156" s="382">
        <f>M156+(N156-L156)</f>
        <v>22</v>
      </c>
      <c r="Q156" s="383">
        <f>(1+$E$21)^(L156-O156)</f>
        <v>0.3418498710866219</v>
      </c>
      <c r="R156" s="384">
        <f>R149</f>
        <v>0.1</v>
      </c>
      <c r="S156" s="384">
        <v>1</v>
      </c>
      <c r="T156" s="385">
        <f t="shared" ref="T156:U158" si="15">T136</f>
        <v>147166.66666666666</v>
      </c>
      <c r="U156" s="385">
        <f t="shared" si="15"/>
        <v>58277.999999999993</v>
      </c>
      <c r="V156" s="383">
        <f>M156/P156</f>
        <v>0.90909090909090906</v>
      </c>
      <c r="W156" s="385">
        <f>V156*U156</f>
        <v>52979.999999999993</v>
      </c>
      <c r="X156" s="381">
        <f>X149</f>
        <v>13.2</v>
      </c>
      <c r="Y156" s="385">
        <f>X156*W156*S156*R156*Q156</f>
        <v>23906.792144623378</v>
      </c>
      <c r="Z156" s="385">
        <f>Y156/M156</f>
        <v>1195.3396072311689</v>
      </c>
    </row>
    <row r="157" spans="2:26">
      <c r="D157" s="338" t="s">
        <v>13</v>
      </c>
      <c r="E157" s="339"/>
      <c r="F157" s="339"/>
      <c r="G157" s="340"/>
      <c r="H157" s="334">
        <f>O182</f>
        <v>-26604.966809703299</v>
      </c>
      <c r="L157" s="381">
        <f>L156</f>
        <v>43</v>
      </c>
      <c r="M157" s="381">
        <f>M156</f>
        <v>20</v>
      </c>
      <c r="N157" s="381">
        <f>N150</f>
        <v>55</v>
      </c>
      <c r="O157" s="381">
        <v>65</v>
      </c>
      <c r="P157" s="382">
        <f t="shared" ref="P157:P158" si="16">M157+(N157-L157)</f>
        <v>32</v>
      </c>
      <c r="Q157" s="383">
        <f t="shared" ref="Q157:Q158" si="17">(1+$E$21)^(L157-O157)</f>
        <v>0.3418498710866219</v>
      </c>
      <c r="R157" s="384">
        <f>R150</f>
        <v>0.05</v>
      </c>
      <c r="S157" s="384">
        <f>S156*(1-R156)</f>
        <v>0.9</v>
      </c>
      <c r="T157" s="385">
        <f t="shared" si="15"/>
        <v>201646.17169489057</v>
      </c>
      <c r="U157" s="385">
        <f t="shared" si="15"/>
        <v>116148.19489625696</v>
      </c>
      <c r="V157" s="383">
        <f t="shared" ref="V157:V158" si="18">M157/P157</f>
        <v>0.625</v>
      </c>
      <c r="W157" s="385">
        <f>V157*U157</f>
        <v>72592.621810160606</v>
      </c>
      <c r="X157" s="381">
        <f>X156</f>
        <v>13.2</v>
      </c>
      <c r="Y157" s="385">
        <f>X157*W157*S157*R157*Q157</f>
        <v>14740.572374140122</v>
      </c>
      <c r="Z157" s="385">
        <f>Y157/M157</f>
        <v>737.0286187070061</v>
      </c>
    </row>
    <row r="158" spans="2:26">
      <c r="D158" s="338" t="s">
        <v>142</v>
      </c>
      <c r="E158" s="339"/>
      <c r="F158" s="339"/>
      <c r="G158" s="340"/>
      <c r="H158" s="334">
        <f>O184</f>
        <v>29612.700000000128</v>
      </c>
      <c r="L158" s="381">
        <f>L157</f>
        <v>43</v>
      </c>
      <c r="M158" s="381">
        <f>M157</f>
        <v>20</v>
      </c>
      <c r="N158" s="381">
        <f>N151</f>
        <v>60</v>
      </c>
      <c r="O158" s="381">
        <f>N158</f>
        <v>60</v>
      </c>
      <c r="P158" s="382">
        <f t="shared" si="16"/>
        <v>37</v>
      </c>
      <c r="Q158" s="383">
        <f t="shared" si="17"/>
        <v>0.43629668761085727</v>
      </c>
      <c r="R158" s="384">
        <f>R151</f>
        <v>1</v>
      </c>
      <c r="S158" s="384">
        <f>S157*(1-R157)</f>
        <v>0.85499999999999998</v>
      </c>
      <c r="T158" s="385">
        <f t="shared" si="15"/>
        <v>233763.17902773313</v>
      </c>
      <c r="U158" s="385">
        <f t="shared" si="15"/>
        <v>155686.27723247025</v>
      </c>
      <c r="V158" s="383">
        <f t="shared" si="18"/>
        <v>0.54054054054054057</v>
      </c>
      <c r="W158" s="385">
        <f>V158*U158</f>
        <v>84154.744449983918</v>
      </c>
      <c r="X158" s="381">
        <f>X151</f>
        <v>14.5</v>
      </c>
      <c r="Y158" s="386">
        <f>X158*W158*S158*R158*Q158</f>
        <v>455192.01841267466</v>
      </c>
      <c r="Z158" s="386">
        <f>Y158/M158</f>
        <v>22759.600920633733</v>
      </c>
    </row>
    <row r="159" spans="2:26">
      <c r="D159" s="338" t="s">
        <v>529</v>
      </c>
      <c r="E159" s="339"/>
      <c r="F159" s="339"/>
      <c r="G159" s="340"/>
      <c r="H159" s="334">
        <f>O183</f>
        <v>-11700</v>
      </c>
      <c r="L159" s="381"/>
      <c r="M159" s="387"/>
      <c r="N159" s="381"/>
      <c r="O159" s="381"/>
      <c r="P159" s="381"/>
      <c r="Q159" s="381"/>
      <c r="R159" s="381"/>
      <c r="S159" s="381"/>
      <c r="T159" s="381"/>
      <c r="U159" s="381"/>
      <c r="V159" s="381"/>
      <c r="W159" s="381"/>
      <c r="X159" s="381"/>
      <c r="Y159" s="392">
        <f>SUM(Y156:Y158)</f>
        <v>493839.38293143816</v>
      </c>
      <c r="Z159" s="392">
        <f>SUM(Z156:Z158)</f>
        <v>24691.969146571908</v>
      </c>
    </row>
    <row r="160" spans="2:26">
      <c r="D160" s="338" t="s">
        <v>530</v>
      </c>
      <c r="E160" s="339"/>
      <c r="F160" s="339"/>
      <c r="G160" s="340"/>
      <c r="H160" s="334">
        <f>O187</f>
        <v>-202.76375449029729</v>
      </c>
      <c r="M160" s="390" t="s">
        <v>396</v>
      </c>
      <c r="N160" s="380" t="s">
        <v>504</v>
      </c>
      <c r="O160" s="380" t="s">
        <v>507</v>
      </c>
      <c r="P160" s="380" t="s">
        <v>520</v>
      </c>
      <c r="Q160" s="380" t="s">
        <v>509</v>
      </c>
      <c r="R160" s="380" t="s">
        <v>521</v>
      </c>
      <c r="S160" s="380" t="s">
        <v>517</v>
      </c>
    </row>
    <row r="161" spans="2:38">
      <c r="D161" s="338"/>
      <c r="E161" s="339"/>
      <c r="F161" s="339"/>
      <c r="G161" s="340"/>
      <c r="H161" s="334"/>
      <c r="L161" s="379" t="s">
        <v>522</v>
      </c>
      <c r="M161" s="379" t="str">
        <f>M141</f>
        <v>Deferred</v>
      </c>
      <c r="N161" s="381">
        <f>N141</f>
        <v>51</v>
      </c>
      <c r="O161" s="381">
        <f>O141</f>
        <v>65</v>
      </c>
      <c r="P161" s="385">
        <f>P141</f>
        <v>12000</v>
      </c>
      <c r="Q161" s="383">
        <f>1/(1+$E$21)^(O161-N161)</f>
        <v>0.50506795299551888</v>
      </c>
      <c r="R161" s="381">
        <f>G90</f>
        <v>13.2</v>
      </c>
      <c r="S161" s="392">
        <f>P161*Q161*R161</f>
        <v>80002.763754490195</v>
      </c>
      <c r="T161" s="379"/>
    </row>
    <row r="162" spans="2:38">
      <c r="D162" s="338" t="s">
        <v>531</v>
      </c>
      <c r="E162" s="339"/>
      <c r="F162" s="339"/>
      <c r="G162" s="340"/>
      <c r="H162" s="334">
        <f>O185</f>
        <v>-591743.56354899681</v>
      </c>
      <c r="AA162" s="393"/>
      <c r="AB162" s="394"/>
      <c r="AC162" s="394"/>
      <c r="AD162" s="394"/>
      <c r="AE162" s="394"/>
      <c r="AF162" s="394"/>
      <c r="AG162" s="4"/>
      <c r="AH162" s="4"/>
      <c r="AI162" s="371"/>
      <c r="AJ162" s="371"/>
      <c r="AK162" s="371"/>
      <c r="AL162" s="371"/>
    </row>
    <row r="163" spans="2:38">
      <c r="D163" s="338"/>
      <c r="E163" s="339"/>
      <c r="F163" s="339"/>
      <c r="G163" s="340"/>
      <c r="H163" s="334"/>
      <c r="L163" s="379" t="s">
        <v>523</v>
      </c>
      <c r="M163" s="379" t="str">
        <f t="shared" ref="M163:P165" si="19">M143</f>
        <v>Retired</v>
      </c>
      <c r="N163" s="381">
        <f t="shared" si="19"/>
        <v>55</v>
      </c>
      <c r="O163" s="381">
        <f t="shared" si="19"/>
        <v>55</v>
      </c>
      <c r="P163" s="385">
        <f t="shared" si="19"/>
        <v>32588.999999999993</v>
      </c>
      <c r="Q163" s="383">
        <f>1/(1+$E$73)^(O163-N163)</f>
        <v>1</v>
      </c>
      <c r="R163" s="381">
        <f>D90</f>
        <v>15.7</v>
      </c>
      <c r="S163" s="385">
        <f t="shared" ref="S163:S165" si="20">P163*Q163*R163</f>
        <v>511647.29999999987</v>
      </c>
      <c r="T163" s="379"/>
    </row>
    <row r="164" spans="2:38">
      <c r="D164" s="338"/>
      <c r="E164" s="339"/>
      <c r="F164" s="339"/>
      <c r="G164" s="340"/>
      <c r="H164" s="334"/>
      <c r="L164" s="379" t="s">
        <v>524</v>
      </c>
      <c r="M164" s="379" t="str">
        <f t="shared" si="19"/>
        <v>Retired</v>
      </c>
      <c r="N164" s="381">
        <f t="shared" si="19"/>
        <v>61</v>
      </c>
      <c r="O164" s="381">
        <f t="shared" si="19"/>
        <v>61</v>
      </c>
      <c r="P164" s="385">
        <f t="shared" si="19"/>
        <v>22800</v>
      </c>
      <c r="Q164" s="383">
        <f t="shared" ref="Q164:Q165" si="21">1/(1+$E$73)^(O164-N164)</f>
        <v>1</v>
      </c>
      <c r="R164" s="381">
        <f>F90</f>
        <v>14.3</v>
      </c>
      <c r="S164" s="385">
        <f t="shared" si="20"/>
        <v>326040</v>
      </c>
      <c r="T164" s="379"/>
    </row>
    <row r="165" spans="2:38">
      <c r="D165" s="338"/>
      <c r="E165" s="339"/>
      <c r="F165" s="339"/>
      <c r="G165" s="340"/>
      <c r="H165" s="334"/>
      <c r="L165" s="379" t="s">
        <v>525</v>
      </c>
      <c r="M165" s="379" t="str">
        <f t="shared" si="19"/>
        <v>Retired</v>
      </c>
      <c r="N165" s="381">
        <f t="shared" si="19"/>
        <v>76</v>
      </c>
      <c r="O165" s="381">
        <f t="shared" si="19"/>
        <v>76</v>
      </c>
      <c r="P165" s="385">
        <f t="shared" si="19"/>
        <v>48000</v>
      </c>
      <c r="Q165" s="383">
        <f t="shared" si="21"/>
        <v>1</v>
      </c>
      <c r="R165" s="381">
        <f>H90</f>
        <v>9.5</v>
      </c>
      <c r="S165" s="386">
        <f t="shared" si="20"/>
        <v>456000</v>
      </c>
    </row>
    <row r="166" spans="2:38">
      <c r="D166" s="338"/>
      <c r="E166" s="339"/>
      <c r="F166" s="339"/>
      <c r="G166" s="340"/>
      <c r="H166" s="334"/>
      <c r="S166" s="392">
        <f>SUM(S163:S165)</f>
        <v>1293687.2999999998</v>
      </c>
    </row>
    <row r="168" spans="2:38">
      <c r="D168" s="262" t="s">
        <v>448</v>
      </c>
      <c r="H168" s="306">
        <f>SUM(H150:H166)</f>
        <v>-11538.594113190193</v>
      </c>
      <c r="L168" s="395" t="s">
        <v>532</v>
      </c>
      <c r="M168" s="395" t="s">
        <v>533</v>
      </c>
      <c r="N168" s="395" t="s">
        <v>534</v>
      </c>
      <c r="O168" s="395" t="s">
        <v>535</v>
      </c>
    </row>
    <row r="169" spans="2:38">
      <c r="L169" s="379" t="s">
        <v>503</v>
      </c>
      <c r="M169" s="396">
        <f>SUM(F39:G39)*(1+$E$21)</f>
        <v>154350</v>
      </c>
      <c r="N169" s="397">
        <f>Y152</f>
        <v>152265.58387826514</v>
      </c>
      <c r="O169" s="396">
        <f>+N169-M169</f>
        <v>-2084.4161217348592</v>
      </c>
      <c r="P169" s="371" t="s">
        <v>536</v>
      </c>
    </row>
    <row r="170" spans="2:38">
      <c r="B170" s="262" t="s">
        <v>449</v>
      </c>
      <c r="C170" s="262" t="s">
        <v>302</v>
      </c>
      <c r="D170" s="262" t="s">
        <v>450</v>
      </c>
      <c r="L170" s="379" t="s">
        <v>519</v>
      </c>
      <c r="M170" s="396">
        <f>SUM(F40:G40)*(1+$E$21)</f>
        <v>465150</v>
      </c>
      <c r="N170" s="397">
        <f>Y159</f>
        <v>493839.38293143816</v>
      </c>
      <c r="O170" s="396">
        <f>+N170-M170</f>
        <v>28689.382931438158</v>
      </c>
      <c r="P170" s="371" t="s">
        <v>536</v>
      </c>
      <c r="AF170" s="371"/>
      <c r="AG170" s="371"/>
      <c r="AH170" s="371"/>
      <c r="AI170" s="371"/>
      <c r="AJ170" s="371"/>
      <c r="AK170" s="371"/>
      <c r="AL170" s="371"/>
    </row>
    <row r="171" spans="2:38">
      <c r="L171" s="379" t="s">
        <v>523</v>
      </c>
      <c r="M171" s="396">
        <f>SUM(F41:G41)*(1+$E$21)</f>
        <v>541800</v>
      </c>
      <c r="N171" s="397">
        <f>S163</f>
        <v>511647.29999999987</v>
      </c>
      <c r="O171" s="396">
        <f>+N171-M171</f>
        <v>-30152.700000000128</v>
      </c>
      <c r="P171" s="371" t="s">
        <v>537</v>
      </c>
      <c r="AF171" s="371"/>
      <c r="AG171" s="371"/>
      <c r="AH171" s="371"/>
      <c r="AI171" s="371"/>
      <c r="AJ171" s="371"/>
      <c r="AK171" s="371"/>
      <c r="AL171" s="371"/>
    </row>
    <row r="172" spans="2:38">
      <c r="D172" s="1488" t="s">
        <v>428</v>
      </c>
      <c r="E172" s="1489"/>
      <c r="F172" s="1489"/>
      <c r="G172" s="1489"/>
      <c r="H172" s="1489"/>
      <c r="I172" s="1490"/>
      <c r="L172" s="379" t="s">
        <v>522</v>
      </c>
      <c r="M172" s="396">
        <f>SUM(F42:G42)*(1+$E$21)</f>
        <v>79800</v>
      </c>
      <c r="N172" s="397">
        <f>S161</f>
        <v>80002.763754490195</v>
      </c>
      <c r="O172" s="396">
        <f>+N172-M172</f>
        <v>202.76375449019542</v>
      </c>
      <c r="P172" s="371" t="s">
        <v>538</v>
      </c>
      <c r="AJ172" s="371"/>
      <c r="AK172" s="371"/>
      <c r="AL172" s="371"/>
    </row>
    <row r="173" spans="2:38">
      <c r="D173" s="1491"/>
      <c r="E173" s="1492"/>
      <c r="F173" s="1492"/>
      <c r="G173" s="1492"/>
      <c r="H173" s="1492"/>
      <c r="I173" s="1493"/>
      <c r="L173" s="379" t="s">
        <v>524</v>
      </c>
      <c r="M173" s="396">
        <f>SUM(F43:G43)*(1+$E$21)</f>
        <v>325500</v>
      </c>
      <c r="N173" s="397">
        <f>S164</f>
        <v>326040</v>
      </c>
      <c r="O173" s="396">
        <f t="shared" ref="O173" si="22">+N173-M173</f>
        <v>540</v>
      </c>
      <c r="P173" s="371" t="s">
        <v>537</v>
      </c>
      <c r="AJ173" s="398" t="s">
        <v>536</v>
      </c>
      <c r="AK173" s="27"/>
      <c r="AL173" s="371"/>
    </row>
    <row r="174" spans="2:38">
      <c r="L174" s="390" t="s">
        <v>525</v>
      </c>
      <c r="M174" s="399">
        <f>SUM(F44:G44)*(1+$E$21)-F59*12*(1+$E$21/2)</f>
        <v>444300</v>
      </c>
      <c r="N174" s="400">
        <f>S165</f>
        <v>456000</v>
      </c>
      <c r="O174" s="399">
        <f>+N174-M174</f>
        <v>11700</v>
      </c>
      <c r="P174" s="371" t="s">
        <v>539</v>
      </c>
      <c r="AJ174" s="398" t="s">
        <v>536</v>
      </c>
      <c r="AK174" s="27"/>
      <c r="AL174" s="371"/>
    </row>
    <row r="175" spans="2:38">
      <c r="D175" s="262" t="s">
        <v>451</v>
      </c>
      <c r="F175" s="306">
        <f>D80-E34</f>
        <v>2500000</v>
      </c>
      <c r="L175" s="398" t="s">
        <v>440</v>
      </c>
      <c r="M175" s="397">
        <f>SUM(M169:M174)</f>
        <v>2010900</v>
      </c>
      <c r="N175" s="397">
        <f>SUM(N169:N174)</f>
        <v>2019795.0305641934</v>
      </c>
      <c r="O175" s="396">
        <f>+SUM(O168:O174)</f>
        <v>8895.0305641933664</v>
      </c>
      <c r="AJ175" s="398" t="s">
        <v>537</v>
      </c>
      <c r="AK175" s="27"/>
      <c r="AL175" s="371"/>
    </row>
    <row r="176" spans="2:38">
      <c r="L176" s="371"/>
      <c r="M176" s="371"/>
      <c r="N176" s="371"/>
      <c r="O176" s="371"/>
      <c r="AJ176" s="398" t="s">
        <v>538</v>
      </c>
      <c r="AK176" s="27"/>
      <c r="AL176" s="371"/>
    </row>
    <row r="177" spans="2:38">
      <c r="D177" s="262" t="s">
        <v>452</v>
      </c>
      <c r="L177" s="401"/>
      <c r="M177" s="402" t="s">
        <v>540</v>
      </c>
      <c r="N177" s="402" t="s">
        <v>541</v>
      </c>
      <c r="O177" s="403" t="s">
        <v>542</v>
      </c>
      <c r="AJ177" s="398" t="s">
        <v>537</v>
      </c>
      <c r="AK177" s="27"/>
      <c r="AL177" s="371"/>
    </row>
    <row r="178" spans="2:38">
      <c r="D178" s="262" t="s">
        <v>435</v>
      </c>
      <c r="F178" s="334">
        <f>O212+T212</f>
        <v>873463.50000000012</v>
      </c>
      <c r="L178" s="404">
        <v>44562</v>
      </c>
      <c r="M178" s="405">
        <f>SUM(F39:F44)</f>
        <v>1898000</v>
      </c>
      <c r="N178" s="405">
        <f>D47</f>
        <v>2700000</v>
      </c>
      <c r="O178" s="406">
        <f>N178-M178</f>
        <v>802000</v>
      </c>
      <c r="AJ178" s="398" t="s">
        <v>539</v>
      </c>
      <c r="AK178" s="27"/>
      <c r="AL178" s="371"/>
    </row>
    <row r="179" spans="2:38">
      <c r="D179" s="262" t="s">
        <v>436</v>
      </c>
      <c r="F179" s="334">
        <f>P215</f>
        <v>159600</v>
      </c>
      <c r="L179" s="407" t="s">
        <v>172</v>
      </c>
      <c r="M179" s="405">
        <f>SUM(G39:G44)*(1+E21)</f>
        <v>67200</v>
      </c>
      <c r="N179" s="408">
        <f>G120</f>
        <v>73920</v>
      </c>
      <c r="O179" s="406">
        <f>N179-M179</f>
        <v>6720</v>
      </c>
      <c r="AJ179" s="398"/>
      <c r="AK179" s="398"/>
      <c r="AL179" s="371"/>
    </row>
    <row r="180" spans="2:38">
      <c r="D180" s="262" t="s">
        <v>437</v>
      </c>
      <c r="F180" s="334">
        <f>P220</f>
        <v>1759890.2999999998</v>
      </c>
      <c r="L180" s="407" t="s">
        <v>543</v>
      </c>
      <c r="M180" s="405">
        <f>-F59*12</f>
        <v>-48000</v>
      </c>
      <c r="N180" s="405">
        <f>M180</f>
        <v>-48000</v>
      </c>
      <c r="O180" s="406">
        <f t="shared" ref="O180:O188" si="23">N180-M180</f>
        <v>0</v>
      </c>
      <c r="AJ180" s="371"/>
      <c r="AK180" s="371"/>
      <c r="AL180" s="371"/>
    </row>
    <row r="181" spans="2:38">
      <c r="D181" s="262" t="s">
        <v>453</v>
      </c>
      <c r="F181" s="306">
        <f>SUM(F178:F180)</f>
        <v>2792953.8</v>
      </c>
      <c r="L181" s="407" t="s">
        <v>152</v>
      </c>
      <c r="M181" s="409">
        <f>(M178+0.5*M180)*$E$21</f>
        <v>93700</v>
      </c>
      <c r="N181" s="409">
        <f>(N178+0.5*N180)*$E$21</f>
        <v>133800</v>
      </c>
      <c r="O181" s="406">
        <f t="shared" si="23"/>
        <v>40100</v>
      </c>
      <c r="AJ181" s="371"/>
      <c r="AK181" s="371"/>
      <c r="AL181" s="371"/>
    </row>
    <row r="182" spans="2:38">
      <c r="L182" s="407" t="s">
        <v>13</v>
      </c>
      <c r="M182" s="405">
        <f>O169+O170</f>
        <v>26604.966809703299</v>
      </c>
      <c r="N182" s="410"/>
      <c r="O182" s="406">
        <f t="shared" si="23"/>
        <v>-26604.966809703299</v>
      </c>
      <c r="AJ182" s="411"/>
      <c r="AK182" s="371"/>
      <c r="AL182" s="371"/>
    </row>
    <row r="183" spans="2:38">
      <c r="D183" s="262" t="s">
        <v>454</v>
      </c>
      <c r="F183" s="306">
        <f>F175-F181</f>
        <v>-292953.79999999981</v>
      </c>
      <c r="J183" s="335"/>
      <c r="L183" s="407" t="s">
        <v>154</v>
      </c>
      <c r="M183" s="405">
        <f>O174</f>
        <v>11700</v>
      </c>
      <c r="N183" s="410"/>
      <c r="O183" s="406">
        <f t="shared" si="23"/>
        <v>-11700</v>
      </c>
      <c r="AJ183" s="411"/>
      <c r="AK183" s="371"/>
      <c r="AL183" s="371"/>
    </row>
    <row r="184" spans="2:38">
      <c r="L184" s="407" t="s">
        <v>142</v>
      </c>
      <c r="M184" s="405">
        <f>O171+O173</f>
        <v>-29612.700000000128</v>
      </c>
      <c r="N184" s="410"/>
      <c r="O184" s="406">
        <f t="shared" si="23"/>
        <v>29612.700000000128</v>
      </c>
      <c r="AJ184" s="411"/>
      <c r="AK184" s="371"/>
      <c r="AL184" s="371"/>
    </row>
    <row r="185" spans="2:38">
      <c r="C185" s="262" t="s">
        <v>455</v>
      </c>
      <c r="L185" s="412" t="s">
        <v>544</v>
      </c>
      <c r="M185" s="405">
        <f>F137-N175</f>
        <v>591743.56354899681</v>
      </c>
      <c r="N185" s="410"/>
      <c r="O185" s="406">
        <f t="shared" si="23"/>
        <v>-591743.56354899681</v>
      </c>
      <c r="AJ185" s="411"/>
      <c r="AK185" s="371"/>
      <c r="AL185" s="371"/>
    </row>
    <row r="186" spans="2:38">
      <c r="L186" s="412" t="s">
        <v>545</v>
      </c>
      <c r="M186" s="405"/>
      <c r="N186" s="405">
        <f>N188-SUM(N178:N185)</f>
        <v>-259720</v>
      </c>
      <c r="O186" s="406">
        <f t="shared" si="23"/>
        <v>-259720</v>
      </c>
      <c r="AJ186" s="371"/>
      <c r="AK186" s="371"/>
      <c r="AL186" s="371"/>
    </row>
    <row r="187" spans="2:38">
      <c r="C187" s="262" t="s">
        <v>456</v>
      </c>
      <c r="E187" s="306">
        <v>2900000</v>
      </c>
      <c r="L187" s="413" t="s">
        <v>546</v>
      </c>
      <c r="M187" s="414">
        <f>M188-SUM(M178:M185)</f>
        <v>202.76375449029729</v>
      </c>
      <c r="N187" s="414"/>
      <c r="O187" s="415">
        <f t="shared" si="23"/>
        <v>-202.76375449029729</v>
      </c>
      <c r="AJ187" s="371"/>
      <c r="AK187" s="371"/>
      <c r="AL187" s="371"/>
    </row>
    <row r="188" spans="2:38">
      <c r="L188" s="404">
        <v>44927</v>
      </c>
      <c r="M188" s="405">
        <f>F137</f>
        <v>2611538.5941131902</v>
      </c>
      <c r="N188" s="405">
        <f>D80</f>
        <v>2600000</v>
      </c>
      <c r="O188" s="406">
        <f t="shared" si="23"/>
        <v>-11538.594113190193</v>
      </c>
      <c r="AJ188" s="373"/>
      <c r="AK188" s="371"/>
      <c r="AL188" s="371"/>
    </row>
    <row r="189" spans="2:38">
      <c r="B189" s="262" t="s">
        <v>457</v>
      </c>
      <c r="C189" s="262" t="s">
        <v>247</v>
      </c>
      <c r="D189" s="262" t="s">
        <v>458</v>
      </c>
      <c r="AJ189" s="27"/>
      <c r="AK189" s="371"/>
      <c r="AL189" s="371"/>
    </row>
    <row r="190" spans="2:38">
      <c r="K190" s="416" t="s">
        <v>449</v>
      </c>
      <c r="L190" s="379" t="s">
        <v>503</v>
      </c>
      <c r="M190" s="417"/>
      <c r="Q190" s="379" t="s">
        <v>519</v>
      </c>
      <c r="R190" s="417"/>
      <c r="AJ190" s="371"/>
      <c r="AK190" s="389"/>
      <c r="AL190" s="371"/>
    </row>
    <row r="191" spans="2:38">
      <c r="D191" s="1488" t="s">
        <v>428</v>
      </c>
      <c r="E191" s="1489"/>
      <c r="F191" s="1489"/>
      <c r="G191" s="1489"/>
      <c r="H191" s="1489"/>
      <c r="I191" s="1490"/>
      <c r="L191" s="371" t="s">
        <v>130</v>
      </c>
      <c r="M191" s="396">
        <f>1.8%*AVERAGE(E63:G63)*G54</f>
        <v>16896</v>
      </c>
      <c r="Q191" s="371" t="s">
        <v>130</v>
      </c>
      <c r="R191" s="396">
        <f>1.8%*AVERAGE(E64:G64)*G55</f>
        <v>47880.000000000007</v>
      </c>
      <c r="AJ191" s="27"/>
      <c r="AK191" s="371"/>
      <c r="AL191" s="371"/>
    </row>
    <row r="192" spans="2:38">
      <c r="D192" s="1491"/>
      <c r="E192" s="1492"/>
      <c r="F192" s="1492"/>
      <c r="G192" s="1492"/>
      <c r="H192" s="1492"/>
      <c r="I192" s="1493"/>
      <c r="L192" s="371" t="s">
        <v>547</v>
      </c>
      <c r="M192" s="371">
        <f>+SUM(E54:G54)</f>
        <v>51</v>
      </c>
      <c r="Q192" s="371" t="s">
        <v>547</v>
      </c>
      <c r="R192" s="371">
        <f>+SUM(E55:G55)</f>
        <v>63</v>
      </c>
      <c r="AJ192" s="27"/>
      <c r="AK192" s="371"/>
      <c r="AL192" s="371"/>
    </row>
    <row r="193" spans="2:38">
      <c r="L193" s="371" t="s">
        <v>548</v>
      </c>
      <c r="M193" s="371" t="b">
        <f>M192&gt;=55</f>
        <v>0</v>
      </c>
      <c r="Q193" s="371" t="s">
        <v>548</v>
      </c>
      <c r="R193" s="371" t="b">
        <f>R192&gt;=55</f>
        <v>1</v>
      </c>
      <c r="AJ193" s="27"/>
      <c r="AK193" s="371"/>
      <c r="AL193" s="371"/>
    </row>
    <row r="194" spans="2:38">
      <c r="D194" s="262" t="s">
        <v>459</v>
      </c>
      <c r="H194" s="334">
        <f>M227</f>
        <v>41908.096755968087</v>
      </c>
      <c r="L194" s="371" t="s">
        <v>549</v>
      </c>
      <c r="M194" s="371" t="b">
        <f>+G54&gt;=10</f>
        <v>1</v>
      </c>
      <c r="O194" s="418"/>
      <c r="Q194" s="371" t="s">
        <v>549</v>
      </c>
      <c r="R194" s="371" t="b">
        <f>+G55&gt;=10</f>
        <v>1</v>
      </c>
      <c r="T194" s="418"/>
      <c r="AJ194" s="27"/>
      <c r="AK194" s="371"/>
      <c r="AL194" s="371"/>
    </row>
    <row r="195" spans="2:38">
      <c r="L195" s="371" t="s">
        <v>550</v>
      </c>
      <c r="M195" s="371">
        <f>IF(AND(M193:M194), 60, 65)</f>
        <v>65</v>
      </c>
      <c r="O195" s="418"/>
      <c r="P195" s="371"/>
      <c r="Q195" s="371" t="s">
        <v>550</v>
      </c>
      <c r="R195" s="371">
        <f>IF(AND(R193:R194), 60, 65)</f>
        <v>60</v>
      </c>
      <c r="T195" s="418"/>
      <c r="AJ195" s="27"/>
      <c r="AK195" s="371"/>
      <c r="AL195" s="371"/>
    </row>
    <row r="196" spans="2:38">
      <c r="B196" s="262" t="s">
        <v>460</v>
      </c>
      <c r="C196" s="262" t="s">
        <v>331</v>
      </c>
      <c r="D196" s="262" t="s">
        <v>461</v>
      </c>
      <c r="O196" s="418"/>
      <c r="P196" s="418"/>
      <c r="T196" s="418"/>
      <c r="AJ196" s="27"/>
      <c r="AK196" s="371"/>
      <c r="AL196" s="371"/>
    </row>
    <row r="197" spans="2:38">
      <c r="L197" s="419" t="s">
        <v>55</v>
      </c>
      <c r="M197" s="419" t="s">
        <v>551</v>
      </c>
      <c r="N197" s="419" t="s">
        <v>552</v>
      </c>
      <c r="O197" s="419" t="s">
        <v>553</v>
      </c>
      <c r="P197" s="420"/>
      <c r="Q197" s="419" t="s">
        <v>55</v>
      </c>
      <c r="R197" s="419" t="s">
        <v>551</v>
      </c>
      <c r="S197" s="419" t="s">
        <v>552</v>
      </c>
      <c r="T197" s="419" t="s">
        <v>553</v>
      </c>
      <c r="AJ197" s="371"/>
      <c r="AK197" s="371"/>
      <c r="AL197" s="371"/>
    </row>
    <row r="198" spans="2:38">
      <c r="D198" s="1488" t="s">
        <v>428</v>
      </c>
      <c r="E198" s="1489"/>
      <c r="F198" s="1489"/>
      <c r="G198" s="1489"/>
      <c r="H198" s="1489"/>
      <c r="I198" s="1490"/>
      <c r="L198" s="420">
        <v>55</v>
      </c>
      <c r="M198" s="421">
        <f t="shared" ref="M198:M208" si="24">MIN((1-IF($M$195=65, 0.06,0.03)*($M$195-$L198)),1)</f>
        <v>0.4</v>
      </c>
      <c r="N198" s="421">
        <f t="shared" ref="N198:N208" si="25">+E94</f>
        <v>16.399999999999999</v>
      </c>
      <c r="O198" s="389">
        <f t="shared" ref="O198:O208" si="26">$M$191*M198*N198</f>
        <v>110837.75999999999</v>
      </c>
      <c r="Q198" s="420">
        <v>55</v>
      </c>
      <c r="R198" s="421">
        <f>MIN((1-IF($R$195=65, 0.06,0.03)*($R$195-$Q198)),1)</f>
        <v>0.85</v>
      </c>
      <c r="S198" s="421">
        <f>+G94</f>
        <v>17.5</v>
      </c>
      <c r="T198" s="389">
        <f>$R$191*R198*S198</f>
        <v>712215.00000000012</v>
      </c>
      <c r="AJ198" s="373"/>
      <c r="AK198" s="371"/>
      <c r="AL198" s="371"/>
    </row>
    <row r="199" spans="2:38">
      <c r="D199" s="1491"/>
      <c r="E199" s="1492"/>
      <c r="F199" s="1492"/>
      <c r="G199" s="1492"/>
      <c r="H199" s="1492"/>
      <c r="I199" s="1493"/>
      <c r="L199" s="420">
        <f>+L198+1</f>
        <v>56</v>
      </c>
      <c r="M199" s="421">
        <f t="shared" si="24"/>
        <v>0.45999999999999996</v>
      </c>
      <c r="N199" s="421">
        <f t="shared" si="25"/>
        <v>15.8</v>
      </c>
      <c r="O199" s="389">
        <f t="shared" si="26"/>
        <v>122800.128</v>
      </c>
      <c r="Q199" s="420">
        <f>+Q198+1</f>
        <v>56</v>
      </c>
      <c r="R199" s="421">
        <f t="shared" ref="R199:R208" si="27">MIN((1-IF($R$195=65, 0.06,0.03)*($R$195-$Q199)),1)</f>
        <v>0.88</v>
      </c>
      <c r="S199" s="421">
        <f t="shared" ref="S199:S208" si="28">+G95</f>
        <v>16.8</v>
      </c>
      <c r="T199" s="389">
        <f t="shared" ref="T199:T208" si="29">$R$191*R199*S199</f>
        <v>707857.92000000016</v>
      </c>
      <c r="AF199" s="394"/>
      <c r="AG199" s="4"/>
      <c r="AH199" s="4"/>
      <c r="AI199" s="371"/>
      <c r="AJ199" s="371"/>
      <c r="AK199" s="371"/>
      <c r="AL199" s="371"/>
    </row>
    <row r="200" spans="2:38">
      <c r="L200" s="420">
        <f t="shared" ref="L200:L208" si="30">+L199+1</f>
        <v>57</v>
      </c>
      <c r="M200" s="421">
        <f t="shared" si="24"/>
        <v>0.52</v>
      </c>
      <c r="N200" s="421">
        <f t="shared" si="25"/>
        <v>15.1</v>
      </c>
      <c r="O200" s="389">
        <f t="shared" si="26"/>
        <v>132667.39199999999</v>
      </c>
      <c r="P200" s="371"/>
      <c r="Q200" s="420">
        <f t="shared" ref="Q200:Q208" si="31">+Q199+1</f>
        <v>57</v>
      </c>
      <c r="R200" s="421">
        <f t="shared" si="27"/>
        <v>0.91</v>
      </c>
      <c r="S200" s="421">
        <f t="shared" si="28"/>
        <v>16.100000000000001</v>
      </c>
      <c r="T200" s="389">
        <f t="shared" si="29"/>
        <v>701489.88000000024</v>
      </c>
    </row>
    <row r="201" spans="2:38">
      <c r="D201" s="262" t="s">
        <v>462</v>
      </c>
      <c r="H201" s="334">
        <f>M237</f>
        <v>63702.369624716805</v>
      </c>
      <c r="L201" s="420">
        <f t="shared" si="30"/>
        <v>58</v>
      </c>
      <c r="M201" s="421">
        <f t="shared" si="24"/>
        <v>0.58000000000000007</v>
      </c>
      <c r="N201" s="421">
        <f t="shared" si="25"/>
        <v>14.5</v>
      </c>
      <c r="O201" s="389">
        <f t="shared" si="26"/>
        <v>142095.36000000002</v>
      </c>
      <c r="P201" s="371"/>
      <c r="Q201" s="420">
        <f t="shared" si="31"/>
        <v>58</v>
      </c>
      <c r="R201" s="421">
        <f t="shared" si="27"/>
        <v>0.94</v>
      </c>
      <c r="S201" s="421">
        <f t="shared" si="28"/>
        <v>15.5</v>
      </c>
      <c r="T201" s="389">
        <f t="shared" si="29"/>
        <v>697611.60000000009</v>
      </c>
    </row>
    <row r="202" spans="2:38">
      <c r="D202" s="262" t="s">
        <v>463</v>
      </c>
      <c r="H202" s="334">
        <f>M238</f>
        <v>356656.16962471663</v>
      </c>
      <c r="L202" s="420">
        <f t="shared" si="30"/>
        <v>59</v>
      </c>
      <c r="M202" s="421">
        <f t="shared" si="24"/>
        <v>0.64</v>
      </c>
      <c r="N202" s="421">
        <f t="shared" si="25"/>
        <v>13.9</v>
      </c>
      <c r="O202" s="389">
        <f t="shared" si="26"/>
        <v>150306.81600000002</v>
      </c>
      <c r="P202" s="371"/>
      <c r="Q202" s="420">
        <f t="shared" si="31"/>
        <v>59</v>
      </c>
      <c r="R202" s="421">
        <f t="shared" si="27"/>
        <v>0.97</v>
      </c>
      <c r="S202" s="421">
        <f t="shared" si="28"/>
        <v>14.8</v>
      </c>
      <c r="T202" s="389">
        <f t="shared" si="29"/>
        <v>687365.28000000014</v>
      </c>
    </row>
    <row r="203" spans="2:38">
      <c r="L203" s="420">
        <f t="shared" si="30"/>
        <v>60</v>
      </c>
      <c r="M203" s="421">
        <f t="shared" si="24"/>
        <v>0.7</v>
      </c>
      <c r="N203" s="421">
        <f t="shared" si="25"/>
        <v>13.3</v>
      </c>
      <c r="O203" s="389">
        <f t="shared" si="26"/>
        <v>157301.75999999998</v>
      </c>
      <c r="P203" s="371"/>
      <c r="Q203" s="420">
        <f t="shared" si="31"/>
        <v>60</v>
      </c>
      <c r="R203" s="421">
        <f t="shared" si="27"/>
        <v>1</v>
      </c>
      <c r="S203" s="421">
        <f t="shared" si="28"/>
        <v>14.2</v>
      </c>
      <c r="T203" s="389">
        <f t="shared" si="29"/>
        <v>679896.00000000012</v>
      </c>
    </row>
    <row r="204" spans="2:38">
      <c r="L204" s="420">
        <f t="shared" si="30"/>
        <v>61</v>
      </c>
      <c r="M204" s="421">
        <f t="shared" si="24"/>
        <v>0.76</v>
      </c>
      <c r="N204" s="421">
        <f t="shared" si="25"/>
        <v>12.7</v>
      </c>
      <c r="O204" s="389">
        <f t="shared" si="26"/>
        <v>163080.19200000001</v>
      </c>
      <c r="P204" s="371"/>
      <c r="Q204" s="420">
        <f t="shared" si="31"/>
        <v>61</v>
      </c>
      <c r="R204" s="421">
        <f t="shared" si="27"/>
        <v>1</v>
      </c>
      <c r="S204" s="421">
        <f t="shared" si="28"/>
        <v>13.5</v>
      </c>
      <c r="T204" s="389">
        <f t="shared" si="29"/>
        <v>646380.00000000012</v>
      </c>
    </row>
    <row r="205" spans="2:38">
      <c r="L205" s="420">
        <f t="shared" si="30"/>
        <v>62</v>
      </c>
      <c r="M205" s="421">
        <f t="shared" si="24"/>
        <v>0.82000000000000006</v>
      </c>
      <c r="N205" s="421">
        <f t="shared" si="25"/>
        <v>12.1</v>
      </c>
      <c r="O205" s="389">
        <f t="shared" si="26"/>
        <v>167642.11200000002</v>
      </c>
      <c r="P205" s="371"/>
      <c r="Q205" s="420">
        <f t="shared" si="31"/>
        <v>62</v>
      </c>
      <c r="R205" s="421">
        <f t="shared" si="27"/>
        <v>1</v>
      </c>
      <c r="S205" s="421">
        <f t="shared" si="28"/>
        <v>12.9</v>
      </c>
      <c r="T205" s="389">
        <f t="shared" si="29"/>
        <v>617652.00000000012</v>
      </c>
    </row>
    <row r="206" spans="2:38">
      <c r="L206" s="420">
        <f t="shared" si="30"/>
        <v>63</v>
      </c>
      <c r="M206" s="421">
        <f t="shared" si="24"/>
        <v>0.88</v>
      </c>
      <c r="N206" s="421">
        <f t="shared" si="25"/>
        <v>11.6</v>
      </c>
      <c r="O206" s="389">
        <f t="shared" si="26"/>
        <v>172474.36799999999</v>
      </c>
      <c r="P206" s="371"/>
      <c r="Q206" s="420">
        <f t="shared" si="31"/>
        <v>63</v>
      </c>
      <c r="R206" s="421">
        <f t="shared" si="27"/>
        <v>1</v>
      </c>
      <c r="S206" s="421">
        <f t="shared" si="28"/>
        <v>12.3</v>
      </c>
      <c r="T206" s="389">
        <f t="shared" si="29"/>
        <v>588924.00000000012</v>
      </c>
    </row>
    <row r="207" spans="2:38">
      <c r="L207" s="420">
        <f t="shared" si="30"/>
        <v>64</v>
      </c>
      <c r="M207" s="421">
        <f t="shared" si="24"/>
        <v>0.94</v>
      </c>
      <c r="N207" s="421">
        <f t="shared" si="25"/>
        <v>11</v>
      </c>
      <c r="O207" s="389">
        <f t="shared" si="26"/>
        <v>174704.63999999998</v>
      </c>
      <c r="P207" s="371"/>
      <c r="Q207" s="420">
        <f t="shared" si="31"/>
        <v>64</v>
      </c>
      <c r="R207" s="421">
        <f t="shared" si="27"/>
        <v>1</v>
      </c>
      <c r="S207" s="421">
        <f t="shared" si="28"/>
        <v>11.8</v>
      </c>
      <c r="T207" s="389">
        <f t="shared" si="29"/>
        <v>564984.00000000012</v>
      </c>
    </row>
    <row r="208" spans="2:38">
      <c r="L208" s="420">
        <f t="shared" si="30"/>
        <v>65</v>
      </c>
      <c r="M208" s="421">
        <f t="shared" si="24"/>
        <v>1</v>
      </c>
      <c r="N208" s="421">
        <f t="shared" si="25"/>
        <v>10.5</v>
      </c>
      <c r="O208" s="389">
        <f t="shared" si="26"/>
        <v>177408</v>
      </c>
      <c r="P208" s="371"/>
      <c r="Q208" s="420">
        <f t="shared" si="31"/>
        <v>65</v>
      </c>
      <c r="R208" s="421">
        <f t="shared" si="27"/>
        <v>1</v>
      </c>
      <c r="S208" s="421">
        <f t="shared" si="28"/>
        <v>11.2</v>
      </c>
      <c r="T208" s="389">
        <f t="shared" si="29"/>
        <v>536256</v>
      </c>
    </row>
    <row r="209" spans="11:20">
      <c r="P209" s="371"/>
    </row>
    <row r="210" spans="11:20">
      <c r="N210" s="371" t="s">
        <v>554</v>
      </c>
      <c r="O210" s="422">
        <f>MAX(O198:O208)</f>
        <v>177408</v>
      </c>
      <c r="P210" s="371"/>
      <c r="S210" s="371" t="s">
        <v>554</v>
      </c>
      <c r="T210" s="422">
        <f>MAX(T198:T208)</f>
        <v>712215.00000000012</v>
      </c>
    </row>
    <row r="211" spans="11:20">
      <c r="N211" s="371" t="s">
        <v>555</v>
      </c>
      <c r="O211" s="423">
        <f>VLOOKUP(M195,$L$198:$O$208,4,FALSE)</f>
        <v>177408</v>
      </c>
      <c r="P211" s="371"/>
      <c r="S211" s="371" t="s">
        <v>555</v>
      </c>
      <c r="T211" s="423">
        <f>VLOOKUP(R195,$Q$198:$T$208,4,FALSE)</f>
        <v>679896.00000000012</v>
      </c>
    </row>
    <row r="212" spans="11:20">
      <c r="N212" s="371" t="s">
        <v>556</v>
      </c>
      <c r="O212" s="424">
        <f>AVERAGE(O210:O211)</f>
        <v>177408</v>
      </c>
      <c r="P212" s="371"/>
      <c r="S212" s="371" t="s">
        <v>556</v>
      </c>
      <c r="T212" s="424">
        <f>AVERAGE(T210:T211)</f>
        <v>696055.50000000012</v>
      </c>
    </row>
    <row r="214" spans="11:20">
      <c r="M214" s="390" t="s">
        <v>396</v>
      </c>
      <c r="N214" s="380" t="s">
        <v>520</v>
      </c>
      <c r="O214" s="380" t="s">
        <v>521</v>
      </c>
      <c r="P214" s="380" t="s">
        <v>517</v>
      </c>
    </row>
    <row r="215" spans="11:20">
      <c r="L215" s="379" t="s">
        <v>522</v>
      </c>
      <c r="M215" s="379" t="str">
        <f>M161</f>
        <v>Deferred</v>
      </c>
      <c r="N215" s="385">
        <f>P161</f>
        <v>12000</v>
      </c>
      <c r="O215" s="381">
        <f>D107</f>
        <v>13.3</v>
      </c>
      <c r="P215" s="425">
        <f>N215*O215</f>
        <v>159600</v>
      </c>
    </row>
    <row r="217" spans="11:20">
      <c r="L217" s="379" t="s">
        <v>523</v>
      </c>
      <c r="M217" s="379" t="str">
        <f>M163</f>
        <v>Retired</v>
      </c>
      <c r="N217" s="385">
        <f>P163</f>
        <v>32588.999999999993</v>
      </c>
      <c r="O217" s="381">
        <f>D109</f>
        <v>22.7</v>
      </c>
      <c r="P217" s="426">
        <f>N217*O217</f>
        <v>739770.29999999981</v>
      </c>
    </row>
    <row r="218" spans="11:20">
      <c r="L218" s="379" t="s">
        <v>524</v>
      </c>
      <c r="M218" s="379" t="str">
        <f>M164</f>
        <v>Retired</v>
      </c>
      <c r="N218" s="385">
        <f>P164</f>
        <v>22800</v>
      </c>
      <c r="O218" s="381">
        <f>D111</f>
        <v>19.899999999999999</v>
      </c>
      <c r="P218" s="426">
        <f>N218*O218</f>
        <v>453719.99999999994</v>
      </c>
    </row>
    <row r="219" spans="11:20">
      <c r="L219" s="379" t="s">
        <v>525</v>
      </c>
      <c r="M219" s="379" t="str">
        <f>M165</f>
        <v>Retired</v>
      </c>
      <c r="N219" s="385">
        <f>P165</f>
        <v>48000</v>
      </c>
      <c r="O219" s="381">
        <f>D113</f>
        <v>11.8</v>
      </c>
      <c r="P219" s="427">
        <f>N219*O219</f>
        <v>566400</v>
      </c>
    </row>
    <row r="220" spans="11:20">
      <c r="P220" s="425">
        <f>SUM(P217:P219)</f>
        <v>1759890.2999999998</v>
      </c>
    </row>
    <row r="222" spans="11:20">
      <c r="K222" s="428" t="s">
        <v>457</v>
      </c>
      <c r="L222" s="371" t="s">
        <v>557</v>
      </c>
      <c r="M222" s="429">
        <f>E75</f>
        <v>2.3E-2</v>
      </c>
      <c r="N222" s="371"/>
      <c r="O222" s="371"/>
      <c r="P222" s="371"/>
    </row>
    <row r="223" spans="11:20">
      <c r="K223" s="371"/>
      <c r="L223" s="371"/>
      <c r="M223" s="371">
        <v>2023</v>
      </c>
      <c r="N223" s="371">
        <v>2024</v>
      </c>
      <c r="O223" s="371"/>
      <c r="P223" s="371"/>
    </row>
    <row r="224" spans="11:20">
      <c r="K224" s="371"/>
      <c r="L224" s="371" t="s">
        <v>558</v>
      </c>
      <c r="M224" s="373">
        <f>F181</f>
        <v>2792953.8</v>
      </c>
      <c r="N224" s="430">
        <f>E187</f>
        <v>2900000</v>
      </c>
      <c r="O224" s="371"/>
      <c r="P224" s="371"/>
    </row>
    <row r="225" spans="11:16">
      <c r="K225" s="371"/>
      <c r="L225" s="371" t="s">
        <v>559</v>
      </c>
      <c r="M225" s="373">
        <f>+M224</f>
        <v>2792953.8</v>
      </c>
      <c r="N225" s="373">
        <f>+N224/(1+M222)</f>
        <v>2834799.6089931577</v>
      </c>
      <c r="O225" s="27"/>
      <c r="P225" s="371"/>
    </row>
    <row r="226" spans="11:16">
      <c r="K226" s="371"/>
      <c r="L226" s="371" t="s">
        <v>560</v>
      </c>
      <c r="M226" s="373">
        <f>+SUM(Q192,O191,R192)/(1+E75)^0.5</f>
        <v>62.287762810157417</v>
      </c>
      <c r="N226" s="27"/>
      <c r="O226" s="371"/>
      <c r="P226" s="371"/>
    </row>
    <row r="227" spans="11:16">
      <c r="K227" s="371"/>
      <c r="L227" s="371" t="s">
        <v>561</v>
      </c>
      <c r="M227" s="431">
        <f>+N225-M225+M226</f>
        <v>41908.096755968087</v>
      </c>
      <c r="N227" s="27"/>
      <c r="O227" s="371"/>
      <c r="P227" s="432"/>
    </row>
    <row r="228" spans="11:16">
      <c r="K228" s="371"/>
      <c r="P228" s="371"/>
    </row>
    <row r="229" spans="11:16">
      <c r="K229" s="4"/>
      <c r="L229" s="4"/>
      <c r="M229" s="433"/>
      <c r="N229" s="371"/>
      <c r="O229" s="371"/>
      <c r="P229" s="4"/>
    </row>
    <row r="230" spans="11:16">
      <c r="K230" s="434" t="s">
        <v>460</v>
      </c>
      <c r="L230" s="371" t="s">
        <v>562</v>
      </c>
      <c r="M230" s="373">
        <f>G142</f>
        <v>-194346.29570111353</v>
      </c>
      <c r="N230" s="27"/>
      <c r="O230" s="371" t="s">
        <v>563</v>
      </c>
      <c r="P230" s="373">
        <f>F183</f>
        <v>-292953.79999999981</v>
      </c>
    </row>
    <row r="231" spans="11:16">
      <c r="K231" s="371"/>
      <c r="L231" s="371" t="s">
        <v>497</v>
      </c>
      <c r="M231" s="376">
        <f>F130/F139</f>
        <v>0.93045017505521765</v>
      </c>
      <c r="N231" s="371"/>
      <c r="O231" s="371" t="s">
        <v>495</v>
      </c>
      <c r="P231" s="376">
        <f>F130/F181</f>
        <v>0.93091407383824254</v>
      </c>
    </row>
    <row r="233" spans="11:16">
      <c r="M233" s="371">
        <v>2023</v>
      </c>
    </row>
    <row r="234" spans="11:16">
      <c r="L234" s="371" t="s">
        <v>564</v>
      </c>
      <c r="M234" s="373">
        <f>G143</f>
        <v>63702.369624716805</v>
      </c>
      <c r="N234" s="371"/>
    </row>
    <row r="235" spans="11:16">
      <c r="L235" s="371" t="s">
        <v>565</v>
      </c>
      <c r="M235" s="373">
        <v>0</v>
      </c>
      <c r="N235" s="371" t="s">
        <v>566</v>
      </c>
    </row>
    <row r="236" spans="11:16">
      <c r="L236" s="4"/>
      <c r="M236" s="4"/>
      <c r="N236" s="4"/>
    </row>
    <row r="237" spans="11:16">
      <c r="L237" s="371" t="s">
        <v>499</v>
      </c>
      <c r="M237" s="435">
        <f>SUM(M234:M235)</f>
        <v>63702.369624716805</v>
      </c>
      <c r="N237" s="27"/>
    </row>
    <row r="238" spans="11:16">
      <c r="L238" s="371" t="s">
        <v>501</v>
      </c>
      <c r="M238" s="435">
        <f>M234+MAX(MAX(0,-G142),MAX(0,-F183))</f>
        <v>356656.16962471663</v>
      </c>
      <c r="N238" s="27"/>
    </row>
  </sheetData>
  <mergeCells count="22">
    <mergeCell ref="D147:I148"/>
    <mergeCell ref="D172:I173"/>
    <mergeCell ref="D191:I192"/>
    <mergeCell ref="D198:I199"/>
    <mergeCell ref="C32:D32"/>
    <mergeCell ref="C73:D73"/>
    <mergeCell ref="D78:E78"/>
    <mergeCell ref="F78:G78"/>
    <mergeCell ref="D117:I118"/>
    <mergeCell ref="D127:I128"/>
    <mergeCell ref="E27:F27"/>
    <mergeCell ref="G27:H27"/>
    <mergeCell ref="E28:F28"/>
    <mergeCell ref="G28:H28"/>
    <mergeCell ref="E29:F29"/>
    <mergeCell ref="G29:H29"/>
    <mergeCell ref="C27:D29"/>
    <mergeCell ref="C12:D12"/>
    <mergeCell ref="C13:D15"/>
    <mergeCell ref="C21:D21"/>
    <mergeCell ref="C25:D25"/>
    <mergeCell ref="C26:D26"/>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8B212-3D4A-4EDF-B0C8-3B433DD8A2D3}">
  <dimension ref="A1:BZ63"/>
  <sheetViews>
    <sheetView workbookViewId="0"/>
  </sheetViews>
  <sheetFormatPr defaultColWidth="8.88671875" defaultRowHeight="15.6"/>
  <cols>
    <col min="1" max="1" width="3.5546875" style="343" customWidth="1"/>
    <col min="2" max="2" width="11.109375" style="343" customWidth="1"/>
    <col min="3" max="3" width="16" style="343" customWidth="1"/>
    <col min="4" max="8" width="12.88671875" style="343" customWidth="1"/>
    <col min="9" max="9" width="8.88671875" style="343"/>
    <col min="10" max="10" width="2.5546875" style="343" customWidth="1"/>
    <col min="11" max="16384" width="8.88671875" style="344"/>
  </cols>
  <sheetData>
    <row r="1" spans="1:11">
      <c r="A1" s="341" t="s">
        <v>372</v>
      </c>
      <c r="B1" s="342"/>
      <c r="K1" s="344" t="str">
        <f>A1</f>
        <v>RETFRC Spring 2023</v>
      </c>
    </row>
    <row r="2" spans="1:11">
      <c r="A2" s="342" t="s">
        <v>464</v>
      </c>
      <c r="B2" s="342"/>
      <c r="K2" s="344" t="str">
        <f>A2</f>
        <v>Question 5</v>
      </c>
    </row>
    <row r="3" spans="1:11" ht="18.45" customHeight="1">
      <c r="A3" s="345"/>
    </row>
    <row r="4" spans="1:11" ht="18.45" customHeight="1">
      <c r="A4" s="342"/>
      <c r="K4" s="344" t="s">
        <v>35</v>
      </c>
    </row>
    <row r="5" spans="1:11">
      <c r="A5" s="342"/>
      <c r="B5" s="346" t="s">
        <v>220</v>
      </c>
      <c r="C5" s="343" t="s">
        <v>465</v>
      </c>
    </row>
    <row r="6" spans="1:11">
      <c r="A6" s="342"/>
      <c r="B6" s="346"/>
    </row>
    <row r="7" spans="1:11">
      <c r="A7" s="342"/>
      <c r="B7" s="346"/>
      <c r="C7" s="343" t="s">
        <v>78</v>
      </c>
    </row>
    <row r="9" spans="1:11">
      <c r="C9" s="347" t="s">
        <v>466</v>
      </c>
    </row>
    <row r="10" spans="1:11" ht="15.6" customHeight="1">
      <c r="C10" s="1495" t="s">
        <v>39</v>
      </c>
      <c r="D10" s="1496"/>
      <c r="E10" s="1499" t="s">
        <v>467</v>
      </c>
      <c r="F10" s="1500"/>
      <c r="G10" s="1501"/>
    </row>
    <row r="11" spans="1:11" ht="15.6" customHeight="1">
      <c r="C11" s="1497"/>
      <c r="D11" s="1498"/>
      <c r="E11" s="1502"/>
      <c r="F11" s="1503"/>
      <c r="G11" s="1504"/>
    </row>
    <row r="12" spans="1:11">
      <c r="C12" s="1505" t="s">
        <v>41</v>
      </c>
      <c r="D12" s="1505"/>
      <c r="E12" s="1505" t="s">
        <v>42</v>
      </c>
      <c r="F12" s="1505"/>
      <c r="G12" s="1505"/>
    </row>
    <row r="13" spans="1:11">
      <c r="C13" s="1505" t="s">
        <v>180</v>
      </c>
      <c r="D13" s="1505"/>
      <c r="E13" s="1506" t="s">
        <v>181</v>
      </c>
      <c r="F13" s="1506"/>
      <c r="G13" s="1506"/>
    </row>
    <row r="14" spans="1:11">
      <c r="C14" s="1507" t="s">
        <v>182</v>
      </c>
      <c r="D14" s="1508"/>
      <c r="E14" s="1507" t="s">
        <v>183</v>
      </c>
      <c r="F14" s="1509"/>
      <c r="G14" s="1508"/>
    </row>
    <row r="15" spans="1:11" ht="34.5" customHeight="1">
      <c r="C15" s="1507" t="s">
        <v>184</v>
      </c>
      <c r="D15" s="1508"/>
      <c r="E15" s="1510" t="s">
        <v>468</v>
      </c>
      <c r="F15" s="1511"/>
      <c r="G15" s="1512"/>
    </row>
    <row r="16" spans="1:11">
      <c r="C16" s="1513" t="s">
        <v>46</v>
      </c>
      <c r="D16" s="1513"/>
      <c r="E16" s="1514" t="s">
        <v>469</v>
      </c>
      <c r="F16" s="1514"/>
      <c r="G16" s="1514"/>
    </row>
    <row r="17" spans="1:78">
      <c r="C17" s="1513"/>
      <c r="D17" s="1513"/>
      <c r="E17" s="1514"/>
      <c r="F17" s="1514"/>
      <c r="G17" s="1514"/>
    </row>
    <row r="19" spans="1:78" s="350" customFormat="1">
      <c r="A19" s="343"/>
      <c r="B19" s="343"/>
      <c r="C19" s="347" t="s">
        <v>470</v>
      </c>
      <c r="D19" s="343"/>
      <c r="E19" s="343"/>
      <c r="F19" s="343"/>
      <c r="G19" s="343"/>
      <c r="H19" s="343"/>
      <c r="I19" s="343"/>
      <c r="J19" s="343"/>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44"/>
      <c r="AM19" s="344"/>
      <c r="AN19" s="344"/>
      <c r="AO19" s="344"/>
      <c r="AP19" s="344"/>
      <c r="AQ19" s="344"/>
      <c r="AR19" s="344"/>
      <c r="AS19" s="344"/>
      <c r="AT19" s="344"/>
      <c r="AU19" s="344"/>
      <c r="AV19" s="344"/>
      <c r="AW19" s="344"/>
      <c r="AX19" s="344"/>
      <c r="AY19" s="344"/>
      <c r="AZ19" s="344"/>
      <c r="BA19" s="344"/>
      <c r="BB19" s="344"/>
      <c r="BC19" s="344"/>
      <c r="BD19" s="344"/>
      <c r="BE19" s="344"/>
      <c r="BF19" s="344"/>
      <c r="BG19" s="344"/>
      <c r="BH19" s="344"/>
      <c r="BI19" s="344"/>
      <c r="BJ19" s="344"/>
      <c r="BK19" s="344"/>
      <c r="BL19" s="344"/>
      <c r="BM19" s="344"/>
      <c r="BN19" s="344"/>
      <c r="BO19" s="344"/>
      <c r="BP19" s="344"/>
      <c r="BQ19" s="344"/>
      <c r="BR19" s="344"/>
      <c r="BS19" s="344"/>
      <c r="BT19" s="344"/>
      <c r="BU19" s="344"/>
      <c r="BV19" s="344"/>
      <c r="BW19" s="344"/>
      <c r="BX19" s="344"/>
      <c r="BY19" s="344"/>
      <c r="BZ19" s="344"/>
    </row>
    <row r="20" spans="1:78" s="350" customFormat="1">
      <c r="A20" s="343"/>
      <c r="B20" s="343"/>
      <c r="C20" s="1515" t="s">
        <v>471</v>
      </c>
      <c r="D20" s="1512"/>
      <c r="E20" s="352">
        <v>0.05</v>
      </c>
      <c r="F20" s="1511" t="s">
        <v>52</v>
      </c>
      <c r="G20" s="1511"/>
      <c r="H20" s="1512"/>
      <c r="I20" s="343"/>
      <c r="J20" s="343"/>
      <c r="K20" s="344"/>
      <c r="L20" s="344"/>
      <c r="M20" s="344"/>
      <c r="N20" s="344"/>
      <c r="O20" s="344"/>
      <c r="P20" s="344"/>
      <c r="Q20" s="344"/>
      <c r="R20" s="344"/>
      <c r="S20" s="344"/>
      <c r="T20" s="344"/>
      <c r="U20" s="344"/>
      <c r="V20" s="344"/>
      <c r="W20" s="344"/>
      <c r="X20" s="344"/>
      <c r="Y20" s="344"/>
      <c r="Z20" s="344"/>
      <c r="AA20" s="344"/>
      <c r="AB20" s="344"/>
      <c r="AC20" s="344"/>
      <c r="AD20" s="344"/>
      <c r="AE20" s="344"/>
      <c r="AF20" s="344"/>
      <c r="AG20" s="344"/>
      <c r="AH20" s="344"/>
      <c r="AI20" s="344"/>
      <c r="AJ20" s="344"/>
      <c r="AK20" s="344"/>
      <c r="AL20" s="344"/>
      <c r="AM20" s="344"/>
      <c r="AN20" s="344"/>
      <c r="AO20" s="344"/>
      <c r="AP20" s="344"/>
      <c r="AQ20" s="344"/>
      <c r="AR20" s="344"/>
      <c r="AS20" s="344"/>
      <c r="AT20" s="344"/>
      <c r="AU20" s="344"/>
      <c r="AV20" s="344"/>
      <c r="AW20" s="344"/>
      <c r="AX20" s="344"/>
      <c r="AY20" s="344"/>
      <c r="AZ20" s="344"/>
      <c r="BA20" s="344"/>
      <c r="BB20" s="344"/>
      <c r="BC20" s="344"/>
      <c r="BD20" s="344"/>
      <c r="BE20" s="344"/>
      <c r="BF20" s="344"/>
      <c r="BG20" s="344"/>
      <c r="BH20" s="344"/>
      <c r="BI20" s="344"/>
      <c r="BJ20" s="344"/>
      <c r="BK20" s="344"/>
      <c r="BL20" s="344"/>
      <c r="BM20" s="344"/>
      <c r="BN20" s="344"/>
      <c r="BO20" s="344"/>
      <c r="BP20" s="344"/>
      <c r="BQ20" s="344"/>
      <c r="BR20" s="344"/>
      <c r="BS20" s="344"/>
      <c r="BT20" s="344"/>
      <c r="BU20" s="344"/>
      <c r="BV20" s="344"/>
      <c r="BW20" s="344"/>
      <c r="BX20" s="344"/>
      <c r="BY20" s="344"/>
      <c r="BZ20" s="344"/>
    </row>
    <row r="21" spans="1:78" s="350" customFormat="1">
      <c r="A21" s="343"/>
      <c r="B21" s="343"/>
      <c r="C21" s="351" t="s">
        <v>53</v>
      </c>
      <c r="D21" s="349"/>
      <c r="E21" s="352">
        <v>3.5000000000000003E-2</v>
      </c>
      <c r="F21" s="348" t="s">
        <v>52</v>
      </c>
      <c r="G21" s="348"/>
      <c r="H21" s="349"/>
      <c r="I21" s="343"/>
      <c r="J21" s="343"/>
      <c r="K21" s="344"/>
      <c r="L21" s="344"/>
      <c r="M21" s="344"/>
      <c r="N21" s="344"/>
      <c r="O21" s="344"/>
      <c r="P21" s="344"/>
      <c r="Q21" s="344"/>
      <c r="R21" s="344"/>
      <c r="S21" s="344"/>
      <c r="T21" s="344"/>
      <c r="U21" s="344"/>
      <c r="V21" s="344"/>
      <c r="W21" s="344"/>
      <c r="X21" s="344"/>
      <c r="Y21" s="344"/>
      <c r="Z21" s="344"/>
      <c r="AA21" s="344"/>
      <c r="AB21" s="344"/>
      <c r="AC21" s="344"/>
      <c r="AD21" s="344"/>
      <c r="AE21" s="344"/>
      <c r="AF21" s="344"/>
      <c r="AG21" s="344"/>
      <c r="AH21" s="344"/>
      <c r="AI21" s="344"/>
      <c r="AJ21" s="344"/>
      <c r="AK21" s="344"/>
      <c r="AL21" s="344"/>
      <c r="AM21" s="344"/>
      <c r="AN21" s="344"/>
      <c r="AO21" s="344"/>
      <c r="AP21" s="344"/>
      <c r="AQ21" s="344"/>
      <c r="AR21" s="344"/>
      <c r="AS21" s="344"/>
      <c r="AT21" s="344"/>
      <c r="AU21" s="344"/>
      <c r="AV21" s="344"/>
      <c r="AW21" s="344"/>
      <c r="AX21" s="344"/>
      <c r="AY21" s="344"/>
      <c r="AZ21" s="344"/>
      <c r="BA21" s="344"/>
      <c r="BB21" s="344"/>
      <c r="BC21" s="344"/>
      <c r="BD21" s="344"/>
      <c r="BE21" s="344"/>
      <c r="BF21" s="344"/>
      <c r="BG21" s="344"/>
      <c r="BH21" s="344"/>
      <c r="BI21" s="344"/>
      <c r="BJ21" s="344"/>
      <c r="BK21" s="344"/>
      <c r="BL21" s="344"/>
      <c r="BM21" s="344"/>
      <c r="BN21" s="344"/>
      <c r="BO21" s="344"/>
      <c r="BP21" s="344"/>
      <c r="BQ21" s="344"/>
      <c r="BR21" s="344"/>
      <c r="BS21" s="344"/>
      <c r="BT21" s="344"/>
      <c r="BU21" s="344"/>
      <c r="BV21" s="344"/>
      <c r="BW21" s="344"/>
      <c r="BX21" s="344"/>
      <c r="BY21" s="344"/>
      <c r="BZ21" s="344"/>
    </row>
    <row r="22" spans="1:78" s="350" customFormat="1">
      <c r="A22" s="343"/>
      <c r="B22" s="343"/>
      <c r="C22" s="1516" t="s">
        <v>54</v>
      </c>
      <c r="D22" s="1517"/>
      <c r="E22" s="1522" t="s">
        <v>55</v>
      </c>
      <c r="F22" s="1522"/>
      <c r="G22" s="1522" t="s">
        <v>56</v>
      </c>
      <c r="H22" s="1522"/>
      <c r="I22" s="343"/>
      <c r="J22" s="343"/>
      <c r="K22" s="344"/>
      <c r="L22" s="344"/>
      <c r="M22" s="344"/>
      <c r="N22" s="344"/>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44"/>
      <c r="AL22" s="344"/>
      <c r="AM22" s="344"/>
      <c r="AN22" s="344"/>
      <c r="AO22" s="344"/>
      <c r="AP22" s="344"/>
      <c r="AQ22" s="344"/>
      <c r="AR22" s="344"/>
      <c r="AS22" s="344"/>
      <c r="AT22" s="344"/>
      <c r="AU22" s="344"/>
      <c r="AV22" s="344"/>
      <c r="AW22" s="344"/>
      <c r="AX22" s="344"/>
      <c r="AY22" s="344"/>
      <c r="AZ22" s="344"/>
      <c r="BA22" s="344"/>
      <c r="BB22" s="344"/>
      <c r="BC22" s="344"/>
      <c r="BD22" s="344"/>
      <c r="BE22" s="344"/>
      <c r="BF22" s="344"/>
      <c r="BG22" s="344"/>
      <c r="BH22" s="344"/>
      <c r="BI22" s="344"/>
      <c r="BJ22" s="344"/>
      <c r="BK22" s="344"/>
      <c r="BL22" s="344"/>
      <c r="BM22" s="344"/>
      <c r="BN22" s="344"/>
      <c r="BO22" s="344"/>
      <c r="BP22" s="344"/>
      <c r="BQ22" s="344"/>
      <c r="BR22" s="344"/>
      <c r="BS22" s="344"/>
      <c r="BT22" s="344"/>
      <c r="BU22" s="344"/>
      <c r="BV22" s="344"/>
      <c r="BW22" s="344"/>
      <c r="BX22" s="344"/>
      <c r="BY22" s="344"/>
      <c r="BZ22" s="344"/>
    </row>
    <row r="23" spans="1:78" s="350" customFormat="1">
      <c r="A23" s="343"/>
      <c r="B23" s="343"/>
      <c r="C23" s="1518"/>
      <c r="D23" s="1519"/>
      <c r="E23" s="1522">
        <v>60</v>
      </c>
      <c r="F23" s="1522"/>
      <c r="G23" s="1523">
        <v>0.5</v>
      </c>
      <c r="H23" s="1522"/>
      <c r="I23" s="343"/>
      <c r="J23" s="343"/>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c r="AR23" s="344"/>
      <c r="AS23" s="344"/>
      <c r="AT23" s="344"/>
      <c r="AU23" s="344"/>
      <c r="AV23" s="344"/>
      <c r="AW23" s="344"/>
      <c r="AX23" s="344"/>
      <c r="AY23" s="344"/>
      <c r="AZ23" s="344"/>
      <c r="BA23" s="344"/>
      <c r="BB23" s="344"/>
      <c r="BC23" s="344"/>
      <c r="BD23" s="344"/>
      <c r="BE23" s="344"/>
      <c r="BF23" s="344"/>
      <c r="BG23" s="344"/>
      <c r="BH23" s="344"/>
      <c r="BI23" s="344"/>
      <c r="BJ23" s="344"/>
      <c r="BK23" s="344"/>
      <c r="BL23" s="344"/>
      <c r="BM23" s="344"/>
      <c r="BN23" s="344"/>
      <c r="BO23" s="344"/>
      <c r="BP23" s="344"/>
      <c r="BQ23" s="344"/>
      <c r="BR23" s="344"/>
      <c r="BS23" s="344"/>
      <c r="BT23" s="344"/>
      <c r="BU23" s="344"/>
      <c r="BV23" s="344"/>
      <c r="BW23" s="344"/>
      <c r="BX23" s="344"/>
      <c r="BY23" s="344"/>
      <c r="BZ23" s="344"/>
    </row>
    <row r="24" spans="1:78" s="350" customFormat="1">
      <c r="A24" s="343"/>
      <c r="B24" s="343"/>
      <c r="C24" s="1520"/>
      <c r="D24" s="1521"/>
      <c r="E24" s="1522">
        <v>65</v>
      </c>
      <c r="F24" s="1522"/>
      <c r="G24" s="1523">
        <v>1</v>
      </c>
      <c r="H24" s="1523"/>
      <c r="I24" s="343"/>
      <c r="J24" s="343"/>
      <c r="K24" s="344"/>
      <c r="L24" s="344"/>
      <c r="M24" s="344"/>
      <c r="N24" s="344"/>
      <c r="O24" s="344"/>
      <c r="P24" s="344"/>
      <c r="Q24" s="344"/>
      <c r="R24" s="344"/>
      <c r="S24" s="344"/>
      <c r="T24" s="344"/>
      <c r="U24" s="344"/>
      <c r="V24" s="344"/>
      <c r="W24" s="344"/>
      <c r="X24" s="344"/>
      <c r="Y24" s="344"/>
      <c r="Z24" s="344"/>
      <c r="AA24" s="344"/>
      <c r="AB24" s="344"/>
      <c r="AC24" s="344"/>
      <c r="AD24" s="344"/>
      <c r="AE24" s="344"/>
      <c r="AF24" s="344"/>
      <c r="AG24" s="344"/>
      <c r="AH24" s="344"/>
      <c r="AI24" s="344"/>
      <c r="AJ24" s="344"/>
      <c r="AK24" s="344"/>
      <c r="AL24" s="344"/>
      <c r="AM24" s="344"/>
      <c r="AN24" s="344"/>
      <c r="AO24" s="344"/>
      <c r="AP24" s="344"/>
      <c r="AQ24" s="344"/>
      <c r="AR24" s="344"/>
      <c r="AS24" s="344"/>
      <c r="AT24" s="344"/>
      <c r="AU24" s="344"/>
      <c r="AV24" s="344"/>
      <c r="AW24" s="344"/>
      <c r="AX24" s="344"/>
      <c r="AY24" s="344"/>
      <c r="AZ24" s="344"/>
      <c r="BA24" s="344"/>
      <c r="BB24" s="344"/>
      <c r="BC24" s="344"/>
      <c r="BD24" s="344"/>
      <c r="BE24" s="344"/>
      <c r="BF24" s="344"/>
      <c r="BG24" s="344"/>
      <c r="BH24" s="344"/>
      <c r="BI24" s="344"/>
      <c r="BJ24" s="344"/>
      <c r="BK24" s="344"/>
      <c r="BL24" s="344"/>
      <c r="BM24" s="344"/>
      <c r="BN24" s="344"/>
      <c r="BO24" s="344"/>
      <c r="BP24" s="344"/>
      <c r="BQ24" s="344"/>
      <c r="BR24" s="344"/>
      <c r="BS24" s="344"/>
      <c r="BT24" s="344"/>
      <c r="BU24" s="344"/>
      <c r="BV24" s="344"/>
      <c r="BW24" s="344"/>
      <c r="BX24" s="344"/>
      <c r="BY24" s="344"/>
      <c r="BZ24" s="344"/>
    </row>
    <row r="25" spans="1:78" s="350" customFormat="1">
      <c r="A25" s="343"/>
      <c r="B25" s="343"/>
      <c r="C25" s="353" t="s">
        <v>57</v>
      </c>
      <c r="D25" s="354"/>
      <c r="E25" s="1524" t="s">
        <v>129</v>
      </c>
      <c r="F25" s="1525"/>
      <c r="G25" s="1526" t="s">
        <v>56</v>
      </c>
      <c r="H25" s="1527"/>
      <c r="I25" s="343"/>
      <c r="J25" s="343"/>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44"/>
      <c r="AL25" s="344"/>
      <c r="AM25" s="344"/>
      <c r="AN25" s="344"/>
      <c r="AO25" s="344"/>
      <c r="AP25" s="344"/>
      <c r="AQ25" s="344"/>
      <c r="AR25" s="344"/>
      <c r="AS25" s="344"/>
      <c r="AT25" s="344"/>
      <c r="AU25" s="344"/>
      <c r="AV25" s="344"/>
      <c r="AW25" s="344"/>
      <c r="AX25" s="344"/>
      <c r="AY25" s="344"/>
      <c r="AZ25" s="344"/>
      <c r="BA25" s="344"/>
      <c r="BB25" s="344"/>
      <c r="BC25" s="344"/>
      <c r="BD25" s="344"/>
      <c r="BE25" s="344"/>
      <c r="BF25" s="344"/>
      <c r="BG25" s="344"/>
      <c r="BH25" s="344"/>
      <c r="BI25" s="344"/>
      <c r="BJ25" s="344"/>
      <c r="BK25" s="344"/>
      <c r="BL25" s="344"/>
      <c r="BM25" s="344"/>
      <c r="BN25" s="344"/>
      <c r="BO25" s="344"/>
      <c r="BP25" s="344"/>
      <c r="BQ25" s="344"/>
      <c r="BR25" s="344"/>
      <c r="BS25" s="344"/>
      <c r="BT25" s="344"/>
      <c r="BU25" s="344"/>
      <c r="BV25" s="344"/>
      <c r="BW25" s="344"/>
      <c r="BX25" s="344"/>
      <c r="BY25" s="344"/>
      <c r="BZ25" s="344"/>
    </row>
    <row r="26" spans="1:78" s="350" customFormat="1">
      <c r="A26" s="343"/>
      <c r="B26" s="343"/>
      <c r="C26" s="353"/>
      <c r="D26" s="354"/>
      <c r="E26" s="1524" t="s">
        <v>472</v>
      </c>
      <c r="F26" s="1525"/>
      <c r="G26" s="1526">
        <v>0.2</v>
      </c>
      <c r="H26" s="1527"/>
      <c r="I26" s="343"/>
      <c r="J26" s="343"/>
      <c r="K26" s="344"/>
      <c r="L26" s="344"/>
      <c r="M26" s="344"/>
      <c r="N26" s="344"/>
      <c r="O26" s="344"/>
      <c r="P26" s="344"/>
      <c r="Q26" s="344"/>
      <c r="R26" s="344"/>
      <c r="S26" s="344"/>
      <c r="T26" s="344"/>
      <c r="U26" s="344"/>
      <c r="V26" s="344"/>
      <c r="W26" s="344"/>
      <c r="X26" s="344"/>
      <c r="Y26" s="344"/>
      <c r="Z26" s="344"/>
      <c r="AA26" s="344"/>
      <c r="AB26" s="344"/>
      <c r="AC26" s="344"/>
      <c r="AD26" s="344"/>
      <c r="AE26" s="344"/>
      <c r="AF26" s="344"/>
      <c r="AG26" s="344"/>
      <c r="AH26" s="344"/>
      <c r="AI26" s="344"/>
      <c r="AJ26" s="344"/>
      <c r="AK26" s="344"/>
      <c r="AL26" s="344"/>
      <c r="AM26" s="344"/>
      <c r="AN26" s="344"/>
      <c r="AO26" s="344"/>
      <c r="AP26" s="344"/>
      <c r="AQ26" s="344"/>
      <c r="AR26" s="344"/>
      <c r="AS26" s="344"/>
      <c r="AT26" s="344"/>
      <c r="AU26" s="344"/>
      <c r="AV26" s="344"/>
      <c r="AW26" s="344"/>
      <c r="AX26" s="344"/>
      <c r="AY26" s="344"/>
      <c r="AZ26" s="344"/>
      <c r="BA26" s="344"/>
      <c r="BB26" s="344"/>
      <c r="BC26" s="344"/>
      <c r="BD26" s="344"/>
      <c r="BE26" s="344"/>
      <c r="BF26" s="344"/>
      <c r="BG26" s="344"/>
      <c r="BH26" s="344"/>
      <c r="BI26" s="344"/>
      <c r="BJ26" s="344"/>
      <c r="BK26" s="344"/>
      <c r="BL26" s="344"/>
      <c r="BM26" s="344"/>
      <c r="BN26" s="344"/>
      <c r="BO26" s="344"/>
      <c r="BP26" s="344"/>
      <c r="BQ26" s="344"/>
      <c r="BR26" s="344"/>
      <c r="BS26" s="344"/>
      <c r="BT26" s="344"/>
      <c r="BU26" s="344"/>
      <c r="BV26" s="344"/>
      <c r="BW26" s="344"/>
      <c r="BX26" s="344"/>
      <c r="BY26" s="344"/>
      <c r="BZ26" s="344"/>
    </row>
    <row r="27" spans="1:78" s="350" customFormat="1">
      <c r="A27" s="343"/>
      <c r="B27" s="343"/>
      <c r="C27" s="353"/>
      <c r="D27" s="354"/>
      <c r="E27" s="1528" t="s">
        <v>473</v>
      </c>
      <c r="F27" s="1525"/>
      <c r="G27" s="1526">
        <v>0.1</v>
      </c>
      <c r="H27" s="1527"/>
      <c r="I27" s="343"/>
      <c r="J27" s="343"/>
      <c r="K27" s="344"/>
      <c r="L27" s="344"/>
      <c r="M27" s="344"/>
      <c r="N27" s="344"/>
      <c r="O27" s="344"/>
      <c r="P27" s="344"/>
      <c r="Q27" s="344"/>
      <c r="R27" s="344"/>
      <c r="S27" s="344"/>
      <c r="T27" s="344"/>
      <c r="U27" s="344"/>
      <c r="V27" s="344"/>
      <c r="W27" s="344"/>
      <c r="X27" s="344"/>
      <c r="Y27" s="344"/>
      <c r="Z27" s="344"/>
      <c r="AA27" s="344"/>
      <c r="AB27" s="344"/>
      <c r="AC27" s="344"/>
      <c r="AD27" s="344"/>
      <c r="AE27" s="344"/>
      <c r="AF27" s="344"/>
      <c r="AG27" s="344"/>
      <c r="AH27" s="344"/>
      <c r="AI27" s="344"/>
      <c r="AJ27" s="344"/>
      <c r="AK27" s="344"/>
      <c r="AL27" s="344"/>
      <c r="AM27" s="344"/>
      <c r="AN27" s="344"/>
      <c r="AO27" s="344"/>
      <c r="AP27" s="344"/>
      <c r="AQ27" s="344"/>
      <c r="AR27" s="344"/>
      <c r="AS27" s="344"/>
      <c r="AT27" s="344"/>
      <c r="AU27" s="344"/>
      <c r="AV27" s="344"/>
      <c r="AW27" s="344"/>
      <c r="AX27" s="344"/>
      <c r="AY27" s="344"/>
      <c r="AZ27" s="344"/>
      <c r="BA27" s="344"/>
      <c r="BB27" s="344"/>
      <c r="BC27" s="344"/>
      <c r="BD27" s="344"/>
      <c r="BE27" s="344"/>
      <c r="BF27" s="344"/>
      <c r="BG27" s="344"/>
      <c r="BH27" s="344"/>
      <c r="BI27" s="344"/>
      <c r="BJ27" s="344"/>
      <c r="BK27" s="344"/>
      <c r="BL27" s="344"/>
      <c r="BM27" s="344"/>
      <c r="BN27" s="344"/>
      <c r="BO27" s="344"/>
      <c r="BP27" s="344"/>
      <c r="BQ27" s="344"/>
      <c r="BR27" s="344"/>
      <c r="BS27" s="344"/>
      <c r="BT27" s="344"/>
      <c r="BU27" s="344"/>
      <c r="BV27" s="344"/>
      <c r="BW27" s="344"/>
      <c r="BX27" s="344"/>
      <c r="BY27" s="344"/>
      <c r="BZ27" s="344"/>
    </row>
    <row r="28" spans="1:78" s="350" customFormat="1">
      <c r="A28" s="343"/>
      <c r="B28" s="343"/>
      <c r="C28" s="353"/>
      <c r="D28" s="354"/>
      <c r="E28" s="1529" t="s">
        <v>474</v>
      </c>
      <c r="F28" s="1525"/>
      <c r="G28" s="1526">
        <v>0.05</v>
      </c>
      <c r="H28" s="1527"/>
      <c r="I28" s="343"/>
      <c r="J28" s="343"/>
      <c r="K28" s="344"/>
      <c r="L28" s="344"/>
      <c r="M28" s="344"/>
      <c r="N28" s="344"/>
      <c r="O28" s="344"/>
      <c r="P28" s="344"/>
      <c r="Q28" s="344"/>
      <c r="R28" s="344"/>
      <c r="S28" s="344"/>
      <c r="T28" s="344"/>
      <c r="U28" s="344"/>
      <c r="V28" s="344"/>
      <c r="W28" s="344"/>
      <c r="X28" s="344"/>
      <c r="Y28" s="344"/>
      <c r="Z28" s="344"/>
      <c r="AA28" s="344"/>
      <c r="AB28" s="344"/>
      <c r="AC28" s="344"/>
      <c r="AD28" s="344"/>
      <c r="AE28" s="344"/>
      <c r="AF28" s="344"/>
      <c r="AG28" s="344"/>
      <c r="AH28" s="344"/>
      <c r="AI28" s="344"/>
      <c r="AJ28" s="344"/>
      <c r="AK28" s="344"/>
      <c r="AL28" s="344"/>
      <c r="AM28" s="344"/>
      <c r="AN28" s="344"/>
      <c r="AO28" s="344"/>
      <c r="AP28" s="344"/>
      <c r="AQ28" s="344"/>
      <c r="AR28" s="344"/>
      <c r="AS28" s="344"/>
      <c r="AT28" s="344"/>
      <c r="AU28" s="344"/>
      <c r="AV28" s="344"/>
      <c r="AW28" s="344"/>
      <c r="AX28" s="344"/>
      <c r="AY28" s="344"/>
      <c r="AZ28" s="344"/>
      <c r="BA28" s="344"/>
      <c r="BB28" s="344"/>
      <c r="BC28" s="344"/>
      <c r="BD28" s="344"/>
      <c r="BE28" s="344"/>
      <c r="BF28" s="344"/>
      <c r="BG28" s="344"/>
      <c r="BH28" s="344"/>
      <c r="BI28" s="344"/>
      <c r="BJ28" s="344"/>
      <c r="BK28" s="344"/>
      <c r="BL28" s="344"/>
      <c r="BM28" s="344"/>
      <c r="BN28" s="344"/>
      <c r="BO28" s="344"/>
      <c r="BP28" s="344"/>
      <c r="BQ28" s="344"/>
      <c r="BR28" s="344"/>
      <c r="BS28" s="344"/>
      <c r="BT28" s="344"/>
      <c r="BU28" s="344"/>
      <c r="BV28" s="344"/>
      <c r="BW28" s="344"/>
      <c r="BX28" s="344"/>
      <c r="BY28" s="344"/>
      <c r="BZ28" s="344"/>
    </row>
    <row r="29" spans="1:78" s="350" customFormat="1">
      <c r="A29" s="343"/>
      <c r="B29" s="343"/>
      <c r="C29" s="353"/>
      <c r="D29" s="354"/>
      <c r="E29" s="1529" t="s">
        <v>475</v>
      </c>
      <c r="F29" s="1525"/>
      <c r="G29" s="1526">
        <v>0</v>
      </c>
      <c r="H29" s="1527"/>
      <c r="I29" s="343"/>
      <c r="J29" s="343"/>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344"/>
      <c r="AM29" s="344"/>
      <c r="AN29" s="344"/>
      <c r="AO29" s="344"/>
      <c r="AP29" s="344"/>
      <c r="AQ29" s="344"/>
      <c r="AR29" s="344"/>
      <c r="AS29" s="344"/>
      <c r="AT29" s="344"/>
      <c r="AU29" s="344"/>
      <c r="AV29" s="344"/>
      <c r="AW29" s="344"/>
      <c r="AX29" s="344"/>
      <c r="AY29" s="344"/>
      <c r="AZ29" s="344"/>
      <c r="BA29" s="344"/>
      <c r="BB29" s="344"/>
      <c r="BC29" s="344"/>
      <c r="BD29" s="344"/>
      <c r="BE29" s="344"/>
      <c r="BF29" s="344"/>
      <c r="BG29" s="344"/>
      <c r="BH29" s="344"/>
      <c r="BI29" s="344"/>
      <c r="BJ29" s="344"/>
      <c r="BK29" s="344"/>
      <c r="BL29" s="344"/>
      <c r="BM29" s="344"/>
      <c r="BN29" s="344"/>
      <c r="BO29" s="344"/>
      <c r="BP29" s="344"/>
      <c r="BQ29" s="344"/>
      <c r="BR29" s="344"/>
      <c r="BS29" s="344"/>
      <c r="BT29" s="344"/>
      <c r="BU29" s="344"/>
      <c r="BV29" s="344"/>
      <c r="BW29" s="344"/>
      <c r="BX29" s="344"/>
      <c r="BY29" s="344"/>
      <c r="BZ29" s="344"/>
    </row>
    <row r="30" spans="1:78" s="350" customFormat="1">
      <c r="A30" s="343"/>
      <c r="B30" s="343"/>
      <c r="C30" s="1515" t="s">
        <v>340</v>
      </c>
      <c r="D30" s="1512"/>
      <c r="E30" s="1515" t="s">
        <v>59</v>
      </c>
      <c r="F30" s="1511"/>
      <c r="G30" s="1511"/>
      <c r="H30" s="1512"/>
      <c r="I30" s="343"/>
      <c r="J30" s="343"/>
      <c r="K30" s="344"/>
      <c r="L30" s="344"/>
      <c r="M30" s="344"/>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344"/>
      <c r="AK30" s="344"/>
      <c r="AL30" s="344"/>
      <c r="AM30" s="344"/>
      <c r="AN30" s="344"/>
      <c r="AO30" s="344"/>
      <c r="AP30" s="344"/>
      <c r="AQ30" s="344"/>
      <c r="AR30" s="344"/>
      <c r="AS30" s="344"/>
      <c r="AT30" s="344"/>
      <c r="AU30" s="344"/>
      <c r="AV30" s="344"/>
      <c r="AW30" s="344"/>
      <c r="AX30" s="344"/>
      <c r="AY30" s="344"/>
      <c r="AZ30" s="344"/>
      <c r="BA30" s="344"/>
      <c r="BB30" s="344"/>
      <c r="BC30" s="344"/>
      <c r="BD30" s="344"/>
      <c r="BE30" s="344"/>
      <c r="BF30" s="344"/>
      <c r="BG30" s="344"/>
      <c r="BH30" s="344"/>
      <c r="BI30" s="344"/>
      <c r="BJ30" s="344"/>
      <c r="BK30" s="344"/>
      <c r="BL30" s="344"/>
      <c r="BM30" s="344"/>
      <c r="BN30" s="344"/>
      <c r="BO30" s="344"/>
      <c r="BP30" s="344"/>
      <c r="BQ30" s="344"/>
      <c r="BR30" s="344"/>
      <c r="BS30" s="344"/>
      <c r="BT30" s="344"/>
      <c r="BU30" s="344"/>
      <c r="BV30" s="344"/>
      <c r="BW30" s="344"/>
      <c r="BX30" s="344"/>
      <c r="BY30" s="344"/>
      <c r="BZ30" s="344"/>
    </row>
    <row r="31" spans="1:78" s="350" customFormat="1">
      <c r="A31" s="343"/>
      <c r="B31" s="343"/>
      <c r="C31" s="1515" t="s">
        <v>64</v>
      </c>
      <c r="D31" s="1512"/>
      <c r="E31" s="1515" t="s">
        <v>290</v>
      </c>
      <c r="F31" s="1511"/>
      <c r="G31" s="1511"/>
      <c r="H31" s="1512"/>
      <c r="I31" s="343"/>
      <c r="J31" s="343"/>
      <c r="K31" s="344"/>
      <c r="L31" s="344"/>
      <c r="M31" s="344"/>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344"/>
      <c r="AK31" s="344"/>
      <c r="AL31" s="344"/>
      <c r="AM31" s="344"/>
      <c r="AN31" s="344"/>
      <c r="AO31" s="344"/>
      <c r="AP31" s="344"/>
      <c r="AQ31" s="344"/>
      <c r="AR31" s="344"/>
      <c r="AS31" s="344"/>
      <c r="AT31" s="344"/>
      <c r="AU31" s="344"/>
      <c r="AV31" s="344"/>
      <c r="AW31" s="344"/>
      <c r="AX31" s="344"/>
      <c r="AY31" s="344"/>
      <c r="AZ31" s="344"/>
      <c r="BA31" s="344"/>
      <c r="BB31" s="344"/>
      <c r="BC31" s="344"/>
      <c r="BD31" s="344"/>
      <c r="BE31" s="344"/>
      <c r="BF31" s="344"/>
      <c r="BG31" s="344"/>
      <c r="BH31" s="344"/>
      <c r="BI31" s="344"/>
      <c r="BJ31" s="344"/>
      <c r="BK31" s="344"/>
      <c r="BL31" s="344"/>
      <c r="BM31" s="344"/>
      <c r="BN31" s="344"/>
      <c r="BO31" s="344"/>
      <c r="BP31" s="344"/>
      <c r="BQ31" s="344"/>
      <c r="BR31" s="344"/>
      <c r="BS31" s="344"/>
      <c r="BT31" s="344"/>
      <c r="BU31" s="344"/>
      <c r="BV31" s="344"/>
      <c r="BW31" s="344"/>
      <c r="BX31" s="344"/>
      <c r="BY31" s="344"/>
      <c r="BZ31" s="344"/>
    </row>
    <row r="32" spans="1:78" s="350" customFormat="1">
      <c r="A32" s="343"/>
      <c r="B32" s="343"/>
      <c r="C32" s="1515" t="s">
        <v>359</v>
      </c>
      <c r="D32" s="1512"/>
      <c r="E32" s="1515" t="s">
        <v>360</v>
      </c>
      <c r="F32" s="1511"/>
      <c r="G32" s="1511"/>
      <c r="H32" s="1512"/>
      <c r="I32" s="343"/>
      <c r="J32" s="343"/>
      <c r="K32" s="344"/>
      <c r="L32" s="344"/>
      <c r="M32" s="344"/>
      <c r="N32" s="344"/>
      <c r="O32" s="344"/>
      <c r="P32" s="344"/>
      <c r="Q32" s="344"/>
      <c r="R32" s="344"/>
      <c r="S32" s="344"/>
      <c r="T32" s="344"/>
      <c r="U32" s="344"/>
      <c r="V32" s="344"/>
      <c r="W32" s="344"/>
      <c r="X32" s="344"/>
      <c r="Y32" s="344"/>
      <c r="Z32" s="344"/>
      <c r="AA32" s="344"/>
      <c r="AB32" s="344"/>
      <c r="AC32" s="344"/>
      <c r="AD32" s="344"/>
      <c r="AE32" s="344"/>
      <c r="AF32" s="344"/>
      <c r="AG32" s="344"/>
      <c r="AH32" s="344"/>
      <c r="AI32" s="344"/>
      <c r="AJ32" s="344"/>
      <c r="AK32" s="344"/>
      <c r="AL32" s="344"/>
      <c r="AM32" s="344"/>
      <c r="AN32" s="344"/>
      <c r="AO32" s="344"/>
      <c r="AP32" s="344"/>
      <c r="AQ32" s="344"/>
      <c r="AR32" s="344"/>
      <c r="AS32" s="344"/>
      <c r="AT32" s="344"/>
      <c r="AU32" s="344"/>
      <c r="AV32" s="344"/>
      <c r="AW32" s="344"/>
      <c r="AX32" s="344"/>
      <c r="AY32" s="344"/>
      <c r="AZ32" s="344"/>
      <c r="BA32" s="344"/>
      <c r="BB32" s="344"/>
      <c r="BC32" s="344"/>
      <c r="BD32" s="344"/>
      <c r="BE32" s="344"/>
      <c r="BF32" s="344"/>
      <c r="BG32" s="344"/>
      <c r="BH32" s="344"/>
      <c r="BI32" s="344"/>
      <c r="BJ32" s="344"/>
      <c r="BK32" s="344"/>
      <c r="BL32" s="344"/>
      <c r="BM32" s="344"/>
      <c r="BN32" s="344"/>
      <c r="BO32" s="344"/>
      <c r="BP32" s="344"/>
      <c r="BQ32" s="344"/>
      <c r="BR32" s="344"/>
      <c r="BS32" s="344"/>
      <c r="BT32" s="344"/>
      <c r="BU32" s="344"/>
      <c r="BV32" s="344"/>
      <c r="BW32" s="344"/>
      <c r="BX32" s="344"/>
      <c r="BY32" s="344"/>
      <c r="BZ32" s="344"/>
    </row>
    <row r="34" spans="1:78" s="350" customFormat="1">
      <c r="A34" s="343"/>
      <c r="B34" s="343"/>
      <c r="C34" s="355" t="s">
        <v>73</v>
      </c>
      <c r="D34" s="356"/>
      <c r="E34" s="356"/>
      <c r="F34" s="356"/>
      <c r="G34" s="343"/>
      <c r="H34" s="343"/>
      <c r="I34" s="343"/>
      <c r="J34" s="343"/>
      <c r="K34" s="344"/>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4"/>
      <c r="AL34" s="344"/>
      <c r="AM34" s="344"/>
      <c r="AN34" s="344"/>
      <c r="AO34" s="344"/>
      <c r="AP34" s="344"/>
      <c r="AQ34" s="344"/>
      <c r="AR34" s="344"/>
      <c r="AS34" s="344"/>
      <c r="AT34" s="344"/>
      <c r="AU34" s="344"/>
      <c r="AV34" s="344"/>
      <c r="AW34" s="344"/>
      <c r="AX34" s="344"/>
      <c r="AY34" s="344"/>
      <c r="AZ34" s="344"/>
      <c r="BA34" s="344"/>
      <c r="BB34" s="344"/>
      <c r="BC34" s="344"/>
      <c r="BD34" s="344"/>
      <c r="BE34" s="344"/>
      <c r="BF34" s="344"/>
      <c r="BG34" s="344"/>
      <c r="BH34" s="344"/>
      <c r="BI34" s="344"/>
      <c r="BJ34" s="344"/>
      <c r="BK34" s="344"/>
      <c r="BL34" s="344"/>
      <c r="BM34" s="344"/>
      <c r="BN34" s="344"/>
      <c r="BO34" s="344"/>
      <c r="BP34" s="344"/>
      <c r="BQ34" s="344"/>
      <c r="BR34" s="344"/>
      <c r="BS34" s="344"/>
      <c r="BT34" s="344"/>
      <c r="BU34" s="344"/>
      <c r="BV34" s="344"/>
      <c r="BW34" s="344"/>
      <c r="BX34" s="344"/>
      <c r="BY34" s="344"/>
      <c r="BZ34" s="344"/>
    </row>
    <row r="35" spans="1:78" s="350" customFormat="1" ht="19.8">
      <c r="A35" s="343"/>
      <c r="B35" s="343"/>
      <c r="C35" s="357" t="s">
        <v>476</v>
      </c>
      <c r="D35" s="358">
        <v>12.5</v>
      </c>
      <c r="E35" s="357" t="s">
        <v>477</v>
      </c>
      <c r="F35" s="358">
        <v>13.9</v>
      </c>
      <c r="G35" s="343"/>
      <c r="H35" s="343"/>
      <c r="I35" s="343"/>
      <c r="J35" s="343"/>
      <c r="K35" s="344"/>
      <c r="L35" s="344"/>
      <c r="M35" s="344"/>
      <c r="N35" s="344"/>
      <c r="O35" s="344"/>
      <c r="P35" s="344"/>
      <c r="Q35" s="344"/>
      <c r="R35" s="344"/>
      <c r="S35" s="344"/>
      <c r="T35" s="344"/>
      <c r="U35" s="344"/>
      <c r="V35" s="344"/>
      <c r="W35" s="344"/>
      <c r="X35" s="344"/>
      <c r="Y35" s="344"/>
      <c r="Z35" s="344"/>
      <c r="AA35" s="344"/>
      <c r="AB35" s="344"/>
      <c r="AC35" s="344"/>
      <c r="AD35" s="344"/>
      <c r="AE35" s="344"/>
      <c r="AF35" s="344"/>
      <c r="AG35" s="344"/>
      <c r="AH35" s="344"/>
      <c r="AI35" s="344"/>
      <c r="AJ35" s="344"/>
      <c r="AK35" s="344"/>
      <c r="AL35" s="344"/>
      <c r="AM35" s="344"/>
      <c r="AN35" s="344"/>
      <c r="AO35" s="344"/>
      <c r="AP35" s="344"/>
      <c r="AQ35" s="344"/>
      <c r="AR35" s="344"/>
      <c r="AS35" s="344"/>
      <c r="AT35" s="344"/>
      <c r="AU35" s="344"/>
      <c r="AV35" s="344"/>
      <c r="AW35" s="344"/>
      <c r="AX35" s="344"/>
      <c r="AY35" s="344"/>
      <c r="AZ35" s="344"/>
      <c r="BA35" s="344"/>
      <c r="BB35" s="344"/>
      <c r="BC35" s="344"/>
      <c r="BD35" s="344"/>
      <c r="BE35" s="344"/>
      <c r="BF35" s="344"/>
      <c r="BG35" s="344"/>
      <c r="BH35" s="344"/>
      <c r="BI35" s="344"/>
      <c r="BJ35" s="344"/>
      <c r="BK35" s="344"/>
      <c r="BL35" s="344"/>
      <c r="BM35" s="344"/>
      <c r="BN35" s="344"/>
      <c r="BO35" s="344"/>
      <c r="BP35" s="344"/>
      <c r="BQ35" s="344"/>
      <c r="BR35" s="344"/>
      <c r="BS35" s="344"/>
      <c r="BT35" s="344"/>
      <c r="BU35" s="344"/>
      <c r="BV35" s="344"/>
      <c r="BW35" s="344"/>
      <c r="BX35" s="344"/>
      <c r="BY35" s="344"/>
      <c r="BZ35" s="344"/>
    </row>
    <row r="36" spans="1:78" s="350" customFormat="1">
      <c r="A36" s="343"/>
      <c r="B36" s="343"/>
      <c r="C36" s="343"/>
      <c r="D36" s="359"/>
      <c r="E36" s="359"/>
      <c r="F36" s="359"/>
      <c r="G36" s="343"/>
      <c r="H36" s="343"/>
      <c r="I36" s="343"/>
      <c r="J36" s="343"/>
      <c r="K36" s="344"/>
      <c r="L36" s="344"/>
      <c r="M36" s="344"/>
      <c r="N36" s="344"/>
      <c r="O36" s="344"/>
      <c r="P36" s="344"/>
      <c r="Q36" s="344"/>
      <c r="R36" s="344"/>
      <c r="S36" s="344"/>
      <c r="T36" s="344"/>
      <c r="U36" s="344"/>
      <c r="V36" s="344"/>
      <c r="W36" s="344"/>
      <c r="X36" s="344"/>
      <c r="Y36" s="344"/>
      <c r="Z36" s="344"/>
      <c r="AA36" s="344"/>
      <c r="AB36" s="344"/>
      <c r="AC36" s="344"/>
      <c r="AD36" s="344"/>
      <c r="AE36" s="344"/>
      <c r="AF36" s="344"/>
      <c r="AG36" s="344"/>
      <c r="AH36" s="344"/>
      <c r="AI36" s="344"/>
      <c r="AJ36" s="344"/>
      <c r="AK36" s="344"/>
      <c r="AL36" s="344"/>
      <c r="AM36" s="344"/>
      <c r="AN36" s="344"/>
      <c r="AO36" s="344"/>
      <c r="AP36" s="344"/>
      <c r="AQ36" s="344"/>
      <c r="AR36" s="344"/>
      <c r="AS36" s="344"/>
      <c r="AT36" s="344"/>
      <c r="AU36" s="344"/>
      <c r="AV36" s="344"/>
      <c r="AW36" s="344"/>
      <c r="AX36" s="344"/>
      <c r="AY36" s="344"/>
      <c r="AZ36" s="344"/>
      <c r="BA36" s="344"/>
      <c r="BB36" s="344"/>
      <c r="BC36" s="344"/>
      <c r="BD36" s="344"/>
      <c r="BE36" s="344"/>
      <c r="BF36" s="344"/>
      <c r="BG36" s="344"/>
      <c r="BH36" s="344"/>
      <c r="BI36" s="344"/>
      <c r="BJ36" s="344"/>
      <c r="BK36" s="344"/>
      <c r="BL36" s="344"/>
      <c r="BM36" s="344"/>
      <c r="BN36" s="344"/>
      <c r="BO36" s="344"/>
      <c r="BP36" s="344"/>
      <c r="BQ36" s="344"/>
      <c r="BR36" s="344"/>
      <c r="BS36" s="344"/>
      <c r="BT36" s="344"/>
      <c r="BU36" s="344"/>
      <c r="BV36" s="344"/>
      <c r="BW36" s="344"/>
      <c r="BX36" s="344"/>
      <c r="BY36" s="344"/>
      <c r="BZ36" s="344"/>
    </row>
    <row r="38" spans="1:78" s="350" customFormat="1">
      <c r="A38" s="343"/>
      <c r="B38" s="343"/>
      <c r="C38" s="347" t="s">
        <v>478</v>
      </c>
      <c r="D38" s="343"/>
      <c r="E38" s="343"/>
      <c r="F38" s="343"/>
      <c r="G38" s="343"/>
      <c r="H38" s="343"/>
      <c r="I38" s="343"/>
      <c r="J38" s="343"/>
      <c r="K38" s="344"/>
      <c r="L38" s="344"/>
      <c r="M38" s="344"/>
      <c r="N38" s="344"/>
      <c r="O38" s="344"/>
      <c r="P38" s="344"/>
      <c r="Q38" s="344"/>
      <c r="R38" s="344"/>
      <c r="S38" s="344"/>
      <c r="T38" s="344"/>
      <c r="U38" s="344"/>
      <c r="V38" s="344"/>
      <c r="W38" s="344"/>
      <c r="X38" s="344"/>
      <c r="Y38" s="344"/>
      <c r="Z38" s="344"/>
      <c r="AA38" s="344"/>
      <c r="AB38" s="344"/>
      <c r="AC38" s="344"/>
      <c r="AD38" s="344"/>
      <c r="AE38" s="344"/>
      <c r="AF38" s="344"/>
      <c r="AG38" s="344"/>
      <c r="AH38" s="344"/>
      <c r="AI38" s="344"/>
      <c r="AJ38" s="344"/>
      <c r="AK38" s="344"/>
      <c r="AL38" s="344"/>
      <c r="AM38" s="344"/>
      <c r="AN38" s="344"/>
      <c r="AO38" s="344"/>
      <c r="AP38" s="344"/>
      <c r="AQ38" s="344"/>
      <c r="AR38" s="344"/>
      <c r="AS38" s="344"/>
      <c r="AT38" s="344"/>
      <c r="AU38" s="344"/>
      <c r="AV38" s="344"/>
      <c r="AW38" s="344"/>
      <c r="AX38" s="344"/>
      <c r="AY38" s="344"/>
      <c r="AZ38" s="344"/>
      <c r="BA38" s="344"/>
      <c r="BB38" s="344"/>
      <c r="BC38" s="344"/>
      <c r="BD38" s="344"/>
      <c r="BE38" s="344"/>
      <c r="BF38" s="344"/>
      <c r="BG38" s="344"/>
      <c r="BH38" s="344"/>
      <c r="BI38" s="344"/>
      <c r="BJ38" s="344"/>
      <c r="BK38" s="344"/>
      <c r="BL38" s="344"/>
      <c r="BM38" s="344"/>
      <c r="BN38" s="344"/>
      <c r="BO38" s="344"/>
      <c r="BP38" s="344"/>
      <c r="BQ38" s="344"/>
      <c r="BR38" s="344"/>
      <c r="BS38" s="344"/>
      <c r="BT38" s="344"/>
      <c r="BU38" s="344"/>
      <c r="BV38" s="344"/>
      <c r="BW38" s="344"/>
      <c r="BX38" s="344"/>
      <c r="BY38" s="344"/>
      <c r="BZ38" s="344"/>
    </row>
    <row r="39" spans="1:78" s="350" customFormat="1">
      <c r="A39" s="343"/>
      <c r="B39" s="343"/>
      <c r="C39" s="360"/>
      <c r="D39" s="361" t="s">
        <v>67</v>
      </c>
      <c r="E39" s="361" t="s">
        <v>68</v>
      </c>
      <c r="F39" s="362"/>
      <c r="G39" s="362"/>
      <c r="H39" s="362"/>
      <c r="I39" s="343"/>
      <c r="J39" s="343"/>
      <c r="K39" s="344"/>
      <c r="L39" s="344"/>
      <c r="M39" s="344"/>
      <c r="N39" s="344"/>
      <c r="O39" s="344"/>
      <c r="P39" s="344"/>
      <c r="Q39" s="344"/>
      <c r="R39" s="344"/>
      <c r="S39" s="344"/>
      <c r="T39" s="344"/>
      <c r="U39" s="344"/>
      <c r="V39" s="344"/>
      <c r="W39" s="344"/>
      <c r="X39" s="344"/>
      <c r="Y39" s="344"/>
      <c r="Z39" s="344"/>
      <c r="AA39" s="344"/>
      <c r="AB39" s="344"/>
      <c r="AC39" s="344"/>
      <c r="AD39" s="344"/>
      <c r="AE39" s="344"/>
      <c r="AF39" s="344"/>
      <c r="AG39" s="344"/>
      <c r="AH39" s="344"/>
      <c r="AI39" s="344"/>
      <c r="AJ39" s="344"/>
      <c r="AK39" s="344"/>
      <c r="AL39" s="344"/>
      <c r="AM39" s="344"/>
      <c r="AN39" s="344"/>
      <c r="AO39" s="344"/>
      <c r="AP39" s="344"/>
      <c r="AQ39" s="344"/>
      <c r="AR39" s="344"/>
      <c r="AS39" s="344"/>
      <c r="AT39" s="344"/>
      <c r="AU39" s="344"/>
      <c r="AV39" s="344"/>
      <c r="AW39" s="344"/>
      <c r="AX39" s="344"/>
      <c r="AY39" s="344"/>
      <c r="AZ39" s="344"/>
      <c r="BA39" s="344"/>
      <c r="BB39" s="344"/>
      <c r="BC39" s="344"/>
      <c r="BD39" s="344"/>
      <c r="BE39" s="344"/>
      <c r="BF39" s="344"/>
      <c r="BG39" s="344"/>
      <c r="BH39" s="344"/>
      <c r="BI39" s="344"/>
      <c r="BJ39" s="344"/>
      <c r="BK39" s="344"/>
      <c r="BL39" s="344"/>
      <c r="BM39" s="344"/>
      <c r="BN39" s="344"/>
      <c r="BO39" s="344"/>
      <c r="BP39" s="344"/>
      <c r="BQ39" s="344"/>
      <c r="BR39" s="344"/>
      <c r="BS39" s="344"/>
      <c r="BT39" s="344"/>
      <c r="BU39" s="344"/>
      <c r="BV39" s="344"/>
      <c r="BW39" s="344"/>
      <c r="BX39" s="344"/>
      <c r="BY39" s="344"/>
      <c r="BZ39" s="344"/>
    </row>
    <row r="40" spans="1:78" s="350" customFormat="1">
      <c r="A40" s="343"/>
      <c r="B40" s="343"/>
      <c r="C40" s="360" t="s">
        <v>55</v>
      </c>
      <c r="D40" s="363">
        <v>29</v>
      </c>
      <c r="E40" s="363">
        <v>50</v>
      </c>
      <c r="F40" s="356"/>
      <c r="G40" s="356"/>
      <c r="H40" s="356"/>
      <c r="I40" s="343"/>
      <c r="J40" s="343"/>
      <c r="K40" s="344"/>
      <c r="L40" s="344"/>
      <c r="M40" s="344"/>
      <c r="N40" s="344"/>
      <c r="O40" s="344"/>
      <c r="P40" s="344"/>
      <c r="Q40" s="344"/>
      <c r="R40" s="344"/>
      <c r="S40" s="344"/>
      <c r="T40" s="344"/>
      <c r="U40" s="344"/>
      <c r="V40" s="344"/>
      <c r="W40" s="344"/>
      <c r="X40" s="344"/>
      <c r="Y40" s="344"/>
      <c r="Z40" s="344"/>
      <c r="AA40" s="344"/>
      <c r="AB40" s="344"/>
      <c r="AC40" s="344"/>
      <c r="AD40" s="344"/>
      <c r="AE40" s="344"/>
      <c r="AF40" s="344"/>
      <c r="AG40" s="344"/>
      <c r="AH40" s="344"/>
      <c r="AI40" s="344"/>
      <c r="AJ40" s="344"/>
      <c r="AK40" s="344"/>
      <c r="AL40" s="344"/>
      <c r="AM40" s="344"/>
      <c r="AN40" s="344"/>
      <c r="AO40" s="344"/>
      <c r="AP40" s="344"/>
      <c r="AQ40" s="344"/>
      <c r="AR40" s="344"/>
      <c r="AS40" s="344"/>
      <c r="AT40" s="344"/>
      <c r="AU40" s="344"/>
      <c r="AV40" s="344"/>
      <c r="AW40" s="344"/>
      <c r="AX40" s="344"/>
      <c r="AY40" s="344"/>
      <c r="AZ40" s="344"/>
      <c r="BA40" s="344"/>
      <c r="BB40" s="344"/>
      <c r="BC40" s="344"/>
      <c r="BD40" s="344"/>
      <c r="BE40" s="344"/>
      <c r="BF40" s="344"/>
      <c r="BG40" s="344"/>
      <c r="BH40" s="344"/>
      <c r="BI40" s="344"/>
      <c r="BJ40" s="344"/>
      <c r="BK40" s="344"/>
      <c r="BL40" s="344"/>
      <c r="BM40" s="344"/>
      <c r="BN40" s="344"/>
      <c r="BO40" s="344"/>
      <c r="BP40" s="344"/>
      <c r="BQ40" s="344"/>
      <c r="BR40" s="344"/>
      <c r="BS40" s="344"/>
      <c r="BT40" s="344"/>
      <c r="BU40" s="344"/>
      <c r="BV40" s="344"/>
      <c r="BW40" s="344"/>
      <c r="BX40" s="344"/>
      <c r="BY40" s="344"/>
      <c r="BZ40" s="344"/>
    </row>
    <row r="41" spans="1:78" s="350" customFormat="1">
      <c r="A41" s="343"/>
      <c r="B41" s="343"/>
      <c r="C41" s="360" t="s">
        <v>129</v>
      </c>
      <c r="D41" s="363">
        <v>9</v>
      </c>
      <c r="E41" s="363">
        <v>20</v>
      </c>
      <c r="F41" s="356"/>
      <c r="G41" s="356"/>
      <c r="H41" s="356"/>
      <c r="I41" s="343"/>
      <c r="J41" s="343"/>
      <c r="K41" s="344"/>
      <c r="L41" s="344"/>
      <c r="M41" s="344"/>
      <c r="N41" s="344"/>
      <c r="O41" s="344"/>
      <c r="P41" s="344"/>
      <c r="Q41" s="344"/>
      <c r="R41" s="344"/>
      <c r="S41" s="344"/>
      <c r="T41" s="344"/>
      <c r="U41" s="344"/>
      <c r="V41" s="344"/>
      <c r="W41" s="344"/>
      <c r="X41" s="344"/>
      <c r="Y41" s="344"/>
      <c r="Z41" s="344"/>
      <c r="AA41" s="344"/>
      <c r="AB41" s="344"/>
      <c r="AC41" s="344"/>
      <c r="AD41" s="344"/>
      <c r="AE41" s="344"/>
      <c r="AF41" s="344"/>
      <c r="AG41" s="344"/>
      <c r="AH41" s="344"/>
      <c r="AI41" s="344"/>
      <c r="AJ41" s="344"/>
      <c r="AK41" s="344"/>
      <c r="AL41" s="344"/>
      <c r="AM41" s="344"/>
      <c r="AN41" s="344"/>
      <c r="AO41" s="344"/>
      <c r="AP41" s="344"/>
      <c r="AQ41" s="344"/>
      <c r="AR41" s="344"/>
      <c r="AS41" s="344"/>
      <c r="AT41" s="344"/>
      <c r="AU41" s="344"/>
      <c r="AV41" s="344"/>
      <c r="AW41" s="344"/>
      <c r="AX41" s="344"/>
      <c r="AY41" s="344"/>
      <c r="AZ41" s="344"/>
      <c r="BA41" s="344"/>
      <c r="BB41" s="344"/>
      <c r="BC41" s="344"/>
      <c r="BD41" s="344"/>
      <c r="BE41" s="344"/>
      <c r="BF41" s="344"/>
      <c r="BG41" s="344"/>
      <c r="BH41" s="344"/>
      <c r="BI41" s="344"/>
      <c r="BJ41" s="344"/>
      <c r="BK41" s="344"/>
      <c r="BL41" s="344"/>
      <c r="BM41" s="344"/>
      <c r="BN41" s="344"/>
      <c r="BO41" s="344"/>
      <c r="BP41" s="344"/>
      <c r="BQ41" s="344"/>
      <c r="BR41" s="344"/>
      <c r="BS41" s="344"/>
      <c r="BT41" s="344"/>
      <c r="BU41" s="344"/>
      <c r="BV41" s="344"/>
      <c r="BW41" s="344"/>
      <c r="BX41" s="344"/>
      <c r="BY41" s="344"/>
      <c r="BZ41" s="344"/>
    </row>
    <row r="42" spans="1:78" s="350" customFormat="1">
      <c r="A42" s="343"/>
      <c r="B42" s="343"/>
      <c r="C42" s="360" t="s">
        <v>479</v>
      </c>
      <c r="D42" s="364">
        <v>80000</v>
      </c>
      <c r="E42" s="364">
        <v>120000</v>
      </c>
      <c r="F42" s="356"/>
      <c r="G42" s="356"/>
      <c r="H42" s="356"/>
      <c r="I42" s="343"/>
      <c r="J42" s="343"/>
      <c r="K42" s="344"/>
      <c r="L42" s="344"/>
      <c r="M42" s="344"/>
      <c r="N42" s="344"/>
      <c r="O42" s="344"/>
      <c r="P42" s="344"/>
      <c r="Q42" s="344"/>
      <c r="R42" s="344"/>
      <c r="S42" s="344"/>
      <c r="T42" s="344"/>
      <c r="U42" s="344"/>
      <c r="V42" s="344"/>
      <c r="W42" s="344"/>
      <c r="X42" s="344"/>
      <c r="Y42" s="344"/>
      <c r="Z42" s="344"/>
      <c r="AA42" s="344"/>
      <c r="AB42" s="344"/>
      <c r="AC42" s="344"/>
      <c r="AD42" s="344"/>
      <c r="AE42" s="344"/>
      <c r="AF42" s="344"/>
      <c r="AG42" s="344"/>
      <c r="AH42" s="344"/>
      <c r="AI42" s="344"/>
      <c r="AJ42" s="344"/>
      <c r="AK42" s="344"/>
      <c r="AL42" s="344"/>
      <c r="AM42" s="344"/>
      <c r="AN42" s="344"/>
      <c r="AO42" s="344"/>
      <c r="AP42" s="344"/>
      <c r="AQ42" s="344"/>
      <c r="AR42" s="344"/>
      <c r="AS42" s="344"/>
      <c r="AT42" s="344"/>
      <c r="AU42" s="344"/>
      <c r="AV42" s="344"/>
      <c r="AW42" s="344"/>
      <c r="AX42" s="344"/>
      <c r="AY42" s="344"/>
      <c r="AZ42" s="344"/>
      <c r="BA42" s="344"/>
      <c r="BB42" s="344"/>
      <c r="BC42" s="344"/>
      <c r="BD42" s="344"/>
      <c r="BE42" s="344"/>
      <c r="BF42" s="344"/>
      <c r="BG42" s="344"/>
      <c r="BH42" s="344"/>
      <c r="BI42" s="344"/>
      <c r="BJ42" s="344"/>
      <c r="BK42" s="344"/>
      <c r="BL42" s="344"/>
      <c r="BM42" s="344"/>
      <c r="BN42" s="344"/>
      <c r="BO42" s="344"/>
      <c r="BP42" s="344"/>
      <c r="BQ42" s="344"/>
      <c r="BR42" s="344"/>
      <c r="BS42" s="344"/>
      <c r="BT42" s="344"/>
      <c r="BU42" s="344"/>
      <c r="BV42" s="344"/>
      <c r="BW42" s="344"/>
      <c r="BX42" s="344"/>
      <c r="BY42" s="344"/>
      <c r="BZ42" s="344"/>
    </row>
    <row r="43" spans="1:78" s="350" customFormat="1">
      <c r="A43" s="343"/>
      <c r="B43" s="343"/>
      <c r="C43" s="356"/>
      <c r="D43" s="1536"/>
      <c r="E43" s="1536"/>
      <c r="F43" s="1537"/>
      <c r="G43" s="1537"/>
      <c r="H43" s="356"/>
      <c r="I43" s="343"/>
      <c r="J43" s="343"/>
      <c r="K43" s="344"/>
      <c r="L43" s="344"/>
      <c r="M43" s="344"/>
      <c r="N43" s="344"/>
      <c r="O43" s="344"/>
      <c r="P43" s="344"/>
      <c r="Q43" s="344"/>
      <c r="R43" s="344"/>
      <c r="S43" s="344"/>
      <c r="T43" s="344"/>
      <c r="U43" s="344"/>
      <c r="V43" s="344"/>
      <c r="W43" s="344"/>
      <c r="X43" s="344"/>
      <c r="Y43" s="344"/>
      <c r="Z43" s="344"/>
      <c r="AA43" s="344"/>
      <c r="AB43" s="344"/>
      <c r="AC43" s="344"/>
      <c r="AD43" s="344"/>
      <c r="AE43" s="344"/>
      <c r="AF43" s="344"/>
      <c r="AG43" s="344"/>
      <c r="AH43" s="344"/>
      <c r="AI43" s="344"/>
      <c r="AJ43" s="344"/>
      <c r="AK43" s="344"/>
      <c r="AL43" s="344"/>
      <c r="AM43" s="344"/>
      <c r="AN43" s="344"/>
      <c r="AO43" s="344"/>
      <c r="AP43" s="344"/>
      <c r="AQ43" s="344"/>
      <c r="AR43" s="344"/>
      <c r="AS43" s="344"/>
      <c r="AT43" s="344"/>
      <c r="AU43" s="344"/>
      <c r="AV43" s="344"/>
      <c r="AW43" s="344"/>
      <c r="AX43" s="344"/>
      <c r="AY43" s="344"/>
      <c r="AZ43" s="344"/>
      <c r="BA43" s="344"/>
      <c r="BB43" s="344"/>
      <c r="BC43" s="344"/>
      <c r="BD43" s="344"/>
      <c r="BE43" s="344"/>
      <c r="BF43" s="344"/>
      <c r="BG43" s="344"/>
      <c r="BH43" s="344"/>
      <c r="BI43" s="344"/>
      <c r="BJ43" s="344"/>
      <c r="BK43" s="344"/>
      <c r="BL43" s="344"/>
      <c r="BM43" s="344"/>
      <c r="BN43" s="344"/>
      <c r="BO43" s="344"/>
      <c r="BP43" s="344"/>
      <c r="BQ43" s="344"/>
      <c r="BR43" s="344"/>
      <c r="BS43" s="344"/>
      <c r="BT43" s="344"/>
      <c r="BU43" s="344"/>
      <c r="BV43" s="344"/>
      <c r="BW43" s="344"/>
      <c r="BX43" s="344"/>
      <c r="BY43" s="344"/>
      <c r="BZ43" s="344"/>
    </row>
    <row r="44" spans="1:78" s="350" customFormat="1">
      <c r="A44" s="343"/>
      <c r="B44" s="343"/>
      <c r="C44" s="355" t="s">
        <v>84</v>
      </c>
      <c r="D44" s="356"/>
      <c r="E44" s="356"/>
      <c r="F44" s="356"/>
      <c r="G44" s="356"/>
      <c r="H44" s="356"/>
      <c r="I44" s="343"/>
      <c r="J44" s="343"/>
      <c r="K44" s="344"/>
      <c r="L44" s="344"/>
      <c r="M44" s="344"/>
      <c r="N44" s="344"/>
      <c r="O44" s="344"/>
      <c r="P44" s="344"/>
      <c r="Q44" s="344"/>
      <c r="R44" s="344"/>
      <c r="S44" s="344"/>
      <c r="T44" s="344"/>
      <c r="U44" s="344"/>
      <c r="V44" s="344"/>
      <c r="W44" s="344"/>
      <c r="X44" s="344"/>
      <c r="Y44" s="344"/>
      <c r="Z44" s="344"/>
      <c r="AA44" s="344"/>
      <c r="AB44" s="344"/>
      <c r="AC44" s="344"/>
      <c r="AD44" s="344"/>
      <c r="AE44" s="344"/>
      <c r="AF44" s="344"/>
      <c r="AG44" s="344"/>
      <c r="AH44" s="344"/>
      <c r="AI44" s="344"/>
      <c r="AJ44" s="344"/>
      <c r="AK44" s="344"/>
      <c r="AL44" s="344"/>
      <c r="AM44" s="344"/>
      <c r="AN44" s="344"/>
      <c r="AO44" s="344"/>
      <c r="AP44" s="344"/>
      <c r="AQ44" s="344"/>
      <c r="AR44" s="344"/>
      <c r="AS44" s="344"/>
      <c r="AT44" s="344"/>
      <c r="AU44" s="344"/>
      <c r="AV44" s="344"/>
      <c r="AW44" s="344"/>
      <c r="AX44" s="344"/>
      <c r="AY44" s="344"/>
      <c r="AZ44" s="344"/>
      <c r="BA44" s="344"/>
      <c r="BB44" s="344"/>
      <c r="BC44" s="344"/>
      <c r="BD44" s="344"/>
      <c r="BE44" s="344"/>
      <c r="BF44" s="344"/>
      <c r="BG44" s="344"/>
      <c r="BH44" s="344"/>
      <c r="BI44" s="344"/>
      <c r="BJ44" s="344"/>
      <c r="BK44" s="344"/>
      <c r="BL44" s="344"/>
      <c r="BM44" s="344"/>
      <c r="BN44" s="344"/>
      <c r="BO44" s="344"/>
      <c r="BP44" s="344"/>
      <c r="BQ44" s="344"/>
      <c r="BR44" s="344"/>
      <c r="BS44" s="344"/>
      <c r="BT44" s="344"/>
      <c r="BU44" s="344"/>
      <c r="BV44" s="344"/>
      <c r="BW44" s="344"/>
      <c r="BX44" s="344"/>
      <c r="BY44" s="344"/>
      <c r="BZ44" s="344"/>
    </row>
    <row r="45" spans="1:78" s="350" customFormat="1">
      <c r="A45" s="343"/>
      <c r="B45" s="343"/>
      <c r="C45" s="365" t="s">
        <v>480</v>
      </c>
      <c r="D45" s="366"/>
      <c r="E45" s="358"/>
      <c r="F45" s="367">
        <v>400000</v>
      </c>
      <c r="G45" s="356"/>
      <c r="H45" s="356"/>
      <c r="I45" s="343"/>
      <c r="J45" s="343"/>
      <c r="K45" s="344"/>
      <c r="L45" s="344"/>
      <c r="M45" s="344"/>
      <c r="N45" s="344"/>
      <c r="O45" s="344"/>
      <c r="P45" s="344"/>
      <c r="Q45" s="344"/>
      <c r="R45" s="344"/>
      <c r="S45" s="344"/>
      <c r="T45" s="344"/>
      <c r="U45" s="344"/>
      <c r="V45" s="344"/>
      <c r="W45" s="344"/>
      <c r="X45" s="344"/>
      <c r="Y45" s="344"/>
      <c r="Z45" s="344"/>
      <c r="AA45" s="344"/>
      <c r="AB45" s="344"/>
      <c r="AC45" s="344"/>
      <c r="AD45" s="344"/>
      <c r="AE45" s="344"/>
      <c r="AF45" s="344"/>
      <c r="AG45" s="344"/>
      <c r="AH45" s="344"/>
      <c r="AI45" s="344"/>
      <c r="AJ45" s="344"/>
      <c r="AK45" s="344"/>
      <c r="AL45" s="344"/>
      <c r="AM45" s="344"/>
      <c r="AN45" s="344"/>
      <c r="AO45" s="344"/>
      <c r="AP45" s="344"/>
      <c r="AQ45" s="344"/>
      <c r="AR45" s="344"/>
      <c r="AS45" s="344"/>
      <c r="AT45" s="344"/>
      <c r="AU45" s="344"/>
      <c r="AV45" s="344"/>
      <c r="AW45" s="344"/>
      <c r="AX45" s="344"/>
      <c r="AY45" s="344"/>
      <c r="AZ45" s="344"/>
      <c r="BA45" s="344"/>
      <c r="BB45" s="344"/>
      <c r="BC45" s="344"/>
      <c r="BD45" s="344"/>
      <c r="BE45" s="344"/>
      <c r="BF45" s="344"/>
      <c r="BG45" s="344"/>
      <c r="BH45" s="344"/>
      <c r="BI45" s="344"/>
      <c r="BJ45" s="344"/>
      <c r="BK45" s="344"/>
      <c r="BL45" s="344"/>
      <c r="BM45" s="344"/>
      <c r="BN45" s="344"/>
      <c r="BO45" s="344"/>
      <c r="BP45" s="344"/>
      <c r="BQ45" s="344"/>
      <c r="BR45" s="344"/>
      <c r="BS45" s="344"/>
      <c r="BT45" s="344"/>
      <c r="BU45" s="344"/>
      <c r="BV45" s="344"/>
      <c r="BW45" s="344"/>
      <c r="BX45" s="344"/>
      <c r="BY45" s="344"/>
      <c r="BZ45" s="344"/>
    </row>
    <row r="46" spans="1:78" s="350" customFormat="1">
      <c r="A46" s="343"/>
      <c r="B46" s="343"/>
      <c r="C46" s="356"/>
      <c r="D46" s="356"/>
      <c r="E46" s="356"/>
      <c r="F46" s="356"/>
      <c r="G46" s="356"/>
      <c r="H46" s="356"/>
      <c r="I46" s="343"/>
      <c r="J46" s="343"/>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c r="AH46" s="344"/>
      <c r="AI46" s="344"/>
      <c r="AJ46" s="344"/>
      <c r="AK46" s="344"/>
      <c r="AL46" s="344"/>
      <c r="AM46" s="344"/>
      <c r="AN46" s="344"/>
      <c r="AO46" s="344"/>
      <c r="AP46" s="344"/>
      <c r="AQ46" s="344"/>
      <c r="AR46" s="344"/>
      <c r="AS46" s="344"/>
      <c r="AT46" s="344"/>
      <c r="AU46" s="344"/>
      <c r="AV46" s="344"/>
      <c r="AW46" s="344"/>
      <c r="AX46" s="344"/>
      <c r="AY46" s="344"/>
      <c r="AZ46" s="344"/>
      <c r="BA46" s="344"/>
      <c r="BB46" s="344"/>
      <c r="BC46" s="344"/>
      <c r="BD46" s="344"/>
      <c r="BE46" s="344"/>
      <c r="BF46" s="344"/>
      <c r="BG46" s="344"/>
      <c r="BH46" s="344"/>
      <c r="BI46" s="344"/>
      <c r="BJ46" s="344"/>
      <c r="BK46" s="344"/>
      <c r="BL46" s="344"/>
      <c r="BM46" s="344"/>
      <c r="BN46" s="344"/>
      <c r="BO46" s="344"/>
      <c r="BP46" s="344"/>
      <c r="BQ46" s="344"/>
      <c r="BR46" s="344"/>
      <c r="BS46" s="344"/>
      <c r="BT46" s="344"/>
      <c r="BU46" s="344"/>
      <c r="BV46" s="344"/>
      <c r="BW46" s="344"/>
      <c r="BX46" s="344"/>
      <c r="BY46" s="344"/>
      <c r="BZ46" s="344"/>
    </row>
    <row r="48" spans="1:78" s="350" customFormat="1">
      <c r="A48" s="343"/>
      <c r="B48" s="343" t="s">
        <v>246</v>
      </c>
      <c r="C48" s="346" t="s">
        <v>257</v>
      </c>
      <c r="D48" s="343" t="s">
        <v>481</v>
      </c>
      <c r="E48" s="343"/>
      <c r="F48" s="343"/>
      <c r="G48" s="343"/>
      <c r="H48" s="343"/>
      <c r="I48" s="343"/>
      <c r="J48" s="343"/>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c r="AI48" s="344"/>
      <c r="AJ48" s="344"/>
      <c r="AK48" s="344"/>
      <c r="AL48" s="344"/>
      <c r="AM48" s="344"/>
      <c r="AN48" s="344"/>
      <c r="AO48" s="344"/>
      <c r="AP48" s="344"/>
      <c r="AQ48" s="344"/>
      <c r="AR48" s="344"/>
      <c r="AS48" s="344"/>
      <c r="AT48" s="344"/>
      <c r="AU48" s="344"/>
      <c r="AV48" s="344"/>
      <c r="AW48" s="344"/>
      <c r="AX48" s="344"/>
      <c r="AY48" s="344"/>
      <c r="AZ48" s="344"/>
      <c r="BA48" s="344"/>
      <c r="BB48" s="344"/>
      <c r="BC48" s="344"/>
      <c r="BD48" s="344"/>
      <c r="BE48" s="344"/>
      <c r="BF48" s="344"/>
      <c r="BG48" s="344"/>
      <c r="BH48" s="344"/>
      <c r="BI48" s="344"/>
      <c r="BJ48" s="344"/>
      <c r="BK48" s="344"/>
      <c r="BL48" s="344"/>
      <c r="BM48" s="344"/>
      <c r="BN48" s="344"/>
      <c r="BO48" s="344"/>
      <c r="BP48" s="344"/>
      <c r="BQ48" s="344"/>
      <c r="BR48" s="344"/>
      <c r="BS48" s="344"/>
      <c r="BT48" s="344"/>
      <c r="BU48" s="344"/>
      <c r="BV48" s="344"/>
      <c r="BW48" s="344"/>
      <c r="BX48" s="344"/>
      <c r="BY48" s="344"/>
      <c r="BZ48" s="344"/>
    </row>
    <row r="50" spans="2:10" ht="15.75" customHeight="1">
      <c r="D50" s="1530" t="s">
        <v>95</v>
      </c>
      <c r="E50" s="1531"/>
      <c r="F50" s="1531"/>
      <c r="G50" s="1531"/>
      <c r="H50" s="1531"/>
      <c r="I50" s="1531"/>
      <c r="J50" s="1532"/>
    </row>
    <row r="51" spans="2:10">
      <c r="D51" s="1533"/>
      <c r="E51" s="1534"/>
      <c r="F51" s="1534"/>
      <c r="G51" s="1534"/>
      <c r="H51" s="1534"/>
      <c r="I51" s="1534"/>
      <c r="J51" s="1535"/>
    </row>
    <row r="53" spans="2:10">
      <c r="C53" s="343" t="s">
        <v>364</v>
      </c>
    </row>
    <row r="54" spans="2:10">
      <c r="C54" s="368" t="s">
        <v>482</v>
      </c>
    </row>
    <row r="55" spans="2:10">
      <c r="C55" s="369" t="s">
        <v>483</v>
      </c>
      <c r="D55" s="370"/>
    </row>
    <row r="56" spans="2:10">
      <c r="C56" s="368" t="s">
        <v>484</v>
      </c>
    </row>
    <row r="57" spans="2:10">
      <c r="C57" s="368" t="s">
        <v>485</v>
      </c>
    </row>
    <row r="58" spans="2:10">
      <c r="C58" s="368" t="s">
        <v>486</v>
      </c>
    </row>
    <row r="60" spans="2:10">
      <c r="B60" s="343" t="s">
        <v>6</v>
      </c>
      <c r="C60" s="346" t="s">
        <v>257</v>
      </c>
      <c r="D60" s="343" t="s">
        <v>487</v>
      </c>
    </row>
    <row r="62" spans="2:10" ht="15.75" customHeight="1">
      <c r="D62" s="1530" t="s">
        <v>95</v>
      </c>
      <c r="E62" s="1531"/>
      <c r="F62" s="1531"/>
      <c r="G62" s="1531"/>
      <c r="H62" s="1531"/>
      <c r="I62" s="1531"/>
      <c r="J62" s="1532"/>
    </row>
    <row r="63" spans="2:10">
      <c r="D63" s="1533"/>
      <c r="E63" s="1534"/>
      <c r="F63" s="1534"/>
      <c r="G63" s="1534"/>
      <c r="H63" s="1534"/>
      <c r="I63" s="1534"/>
      <c r="J63" s="1535"/>
    </row>
  </sheetData>
  <mergeCells count="41">
    <mergeCell ref="D50:J51"/>
    <mergeCell ref="D62:J63"/>
    <mergeCell ref="C31:D31"/>
    <mergeCell ref="E31:H31"/>
    <mergeCell ref="C32:D32"/>
    <mergeCell ref="E32:H32"/>
    <mergeCell ref="D43:E43"/>
    <mergeCell ref="F43:G43"/>
    <mergeCell ref="E28:F28"/>
    <mergeCell ref="G28:H28"/>
    <mergeCell ref="E29:F29"/>
    <mergeCell ref="G29:H29"/>
    <mergeCell ref="C30:D30"/>
    <mergeCell ref="E30:H30"/>
    <mergeCell ref="E25:F25"/>
    <mergeCell ref="G25:H25"/>
    <mergeCell ref="E26:F26"/>
    <mergeCell ref="G26:H26"/>
    <mergeCell ref="E27:F27"/>
    <mergeCell ref="G27:H27"/>
    <mergeCell ref="C20:D20"/>
    <mergeCell ref="F20:H20"/>
    <mergeCell ref="C22:D24"/>
    <mergeCell ref="E22:F22"/>
    <mergeCell ref="G22:H22"/>
    <mergeCell ref="E23:F23"/>
    <mergeCell ref="G23:H23"/>
    <mergeCell ref="E24:F24"/>
    <mergeCell ref="G24:H24"/>
    <mergeCell ref="C14:D14"/>
    <mergeCell ref="E14:G14"/>
    <mergeCell ref="C15:D15"/>
    <mergeCell ref="E15:G15"/>
    <mergeCell ref="C16:D17"/>
    <mergeCell ref="E16:G17"/>
    <mergeCell ref="C10:D11"/>
    <mergeCell ref="E10:G11"/>
    <mergeCell ref="C12:D12"/>
    <mergeCell ref="E12:G12"/>
    <mergeCell ref="C13:D13"/>
    <mergeCell ref="E13:G1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EF3B8-55BB-4B02-B3C2-DEDDE8CE3158}">
  <dimension ref="A1:AH69"/>
  <sheetViews>
    <sheetView zoomScaleNormal="100" workbookViewId="0">
      <selection activeCell="A5" sqref="A5"/>
    </sheetView>
  </sheetViews>
  <sheetFormatPr defaultColWidth="8.88671875" defaultRowHeight="15.6"/>
  <cols>
    <col min="1" max="1" width="3.5546875" style="52" customWidth="1"/>
    <col min="2" max="2" width="11.109375" style="52" customWidth="1"/>
    <col min="3" max="3" width="22.5546875" style="52" customWidth="1"/>
    <col min="4" max="8" width="12.88671875" style="52" customWidth="1"/>
    <col min="9" max="9" width="8.88671875" style="52"/>
    <col min="10" max="10" width="2.5546875" style="52" customWidth="1"/>
    <col min="11" max="11" width="8.88671875" style="4"/>
    <col min="12" max="12" width="17.5546875" style="4" customWidth="1"/>
    <col min="13" max="13" width="15.44140625" style="4" customWidth="1"/>
    <col min="14" max="14" width="17" style="4" customWidth="1"/>
    <col min="15" max="33" width="8.88671875" style="4"/>
    <col min="34" max="34" width="8.88671875" style="4" customWidth="1"/>
    <col min="35" max="16384" width="8.88671875" style="4"/>
  </cols>
  <sheetData>
    <row r="1" spans="1:34">
      <c r="A1" s="51" t="s">
        <v>567</v>
      </c>
      <c r="B1" s="51"/>
      <c r="K1" s="56" t="str">
        <f>A1</f>
        <v>RETFRC Fall 2023</v>
      </c>
      <c r="L1" s="56"/>
    </row>
    <row r="2" spans="1:34">
      <c r="A2" s="51" t="s">
        <v>162</v>
      </c>
      <c r="B2" s="51"/>
      <c r="K2" s="56" t="str">
        <f>A2</f>
        <v>Question 4</v>
      </c>
      <c r="L2" s="56"/>
    </row>
    <row r="3" spans="1:34" ht="18.45" customHeight="1">
      <c r="A3" s="53"/>
      <c r="K3" s="56"/>
      <c r="L3" s="56"/>
    </row>
    <row r="4" spans="1:34" ht="18.45" customHeight="1">
      <c r="A4" s="51"/>
      <c r="K4" s="56" t="s">
        <v>35</v>
      </c>
      <c r="L4" s="56"/>
    </row>
    <row r="5" spans="1:34">
      <c r="A5" s="52" t="s">
        <v>261</v>
      </c>
      <c r="C5" s="52" t="s">
        <v>568</v>
      </c>
    </row>
    <row r="6" spans="1:34">
      <c r="C6" s="52" t="s">
        <v>569</v>
      </c>
    </row>
    <row r="7" spans="1:34">
      <c r="L7"/>
      <c r="M7"/>
      <c r="N7"/>
      <c r="O7"/>
      <c r="P7" s="436"/>
      <c r="Q7"/>
      <c r="R7"/>
      <c r="S7"/>
      <c r="T7"/>
      <c r="U7"/>
      <c r="V7"/>
      <c r="W7"/>
      <c r="X7"/>
      <c r="Y7"/>
      <c r="Z7"/>
      <c r="AA7"/>
      <c r="AB7"/>
      <c r="AC7"/>
      <c r="AD7"/>
      <c r="AE7"/>
      <c r="AF7"/>
      <c r="AG7"/>
      <c r="AH7"/>
    </row>
    <row r="8" spans="1:34">
      <c r="C8" s="52" t="s">
        <v>570</v>
      </c>
      <c r="L8" s="437"/>
      <c r="M8" s="438"/>
      <c r="N8" s="438"/>
      <c r="O8" s="438"/>
      <c r="P8" s="438"/>
      <c r="Q8" s="438"/>
      <c r="R8"/>
      <c r="S8"/>
      <c r="T8"/>
      <c r="U8"/>
      <c r="V8"/>
      <c r="W8"/>
      <c r="X8"/>
      <c r="Y8"/>
      <c r="Z8"/>
      <c r="AA8"/>
      <c r="AB8"/>
      <c r="AC8"/>
      <c r="AD8"/>
      <c r="AE8"/>
      <c r="AF8"/>
      <c r="AG8"/>
      <c r="AH8"/>
    </row>
    <row r="9" spans="1:34">
      <c r="C9" s="52" t="s">
        <v>571</v>
      </c>
      <c r="L9"/>
      <c r="M9" s="439"/>
      <c r="N9" s="439"/>
      <c r="O9" s="439"/>
      <c r="P9" s="439"/>
      <c r="Q9" s="439"/>
      <c r="R9"/>
      <c r="S9" s="438"/>
      <c r="T9"/>
      <c r="U9"/>
      <c r="V9"/>
      <c r="W9"/>
      <c r="X9"/>
      <c r="Y9"/>
      <c r="Z9"/>
      <c r="AA9"/>
      <c r="AB9"/>
      <c r="AC9"/>
      <c r="AD9"/>
      <c r="AE9"/>
      <c r="AF9"/>
      <c r="AG9"/>
      <c r="AH9"/>
    </row>
    <row r="10" spans="1:34">
      <c r="C10" s="52" t="s">
        <v>572</v>
      </c>
      <c r="L10"/>
      <c r="M10" s="439"/>
      <c r="N10" s="439"/>
      <c r="O10" s="439"/>
      <c r="P10" s="439"/>
      <c r="Q10" s="439"/>
      <c r="R10"/>
      <c r="S10"/>
      <c r="T10"/>
      <c r="U10"/>
      <c r="V10"/>
      <c r="W10" s="440"/>
      <c r="X10"/>
      <c r="Y10"/>
      <c r="Z10"/>
      <c r="AA10"/>
      <c r="AB10"/>
      <c r="AC10"/>
      <c r="AD10"/>
      <c r="AE10"/>
      <c r="AF10"/>
      <c r="AG10"/>
      <c r="AH10"/>
    </row>
    <row r="11" spans="1:34">
      <c r="C11" s="52" t="s">
        <v>573</v>
      </c>
      <c r="L11" s="441"/>
      <c r="M11" s="439"/>
      <c r="N11" s="439"/>
      <c r="O11" s="439"/>
      <c r="P11" s="439"/>
      <c r="Q11" s="439"/>
      <c r="R11"/>
      <c r="S11"/>
      <c r="T11"/>
      <c r="U11"/>
      <c r="V11"/>
      <c r="W11" s="440"/>
      <c r="X11"/>
      <c r="Y11"/>
      <c r="Z11"/>
      <c r="AA11"/>
      <c r="AB11"/>
      <c r="AC11"/>
      <c r="AD11"/>
      <c r="AE11"/>
      <c r="AF11"/>
      <c r="AG11"/>
      <c r="AH11"/>
    </row>
    <row r="12" spans="1:34">
      <c r="L12" s="442"/>
      <c r="M12" s="439"/>
      <c r="N12" s="439"/>
      <c r="O12" s="439"/>
      <c r="P12" s="439"/>
      <c r="Q12" s="439"/>
      <c r="R12"/>
      <c r="S12"/>
      <c r="T12"/>
      <c r="U12"/>
      <c r="V12"/>
      <c r="W12" s="440"/>
      <c r="X12" s="443"/>
      <c r="Y12"/>
      <c r="Z12"/>
      <c r="AA12"/>
      <c r="AB12"/>
      <c r="AC12"/>
      <c r="AD12"/>
      <c r="AE12"/>
      <c r="AF12"/>
      <c r="AG12"/>
      <c r="AH12"/>
    </row>
    <row r="13" spans="1:34">
      <c r="C13" s="52" t="s">
        <v>574</v>
      </c>
      <c r="L13" s="442"/>
      <c r="M13" s="439"/>
      <c r="N13" s="439"/>
      <c r="O13" s="439"/>
      <c r="P13" s="439"/>
      <c r="Q13" s="439"/>
      <c r="R13"/>
      <c r="S13"/>
      <c r="T13"/>
      <c r="U13" s="443"/>
      <c r="V13" s="444"/>
      <c r="W13" s="440"/>
      <c r="X13"/>
      <c r="Y13"/>
      <c r="Z13"/>
      <c r="AA13"/>
      <c r="AB13"/>
      <c r="AC13"/>
      <c r="AD13"/>
      <c r="AE13"/>
      <c r="AF13"/>
      <c r="AG13"/>
      <c r="AH13"/>
    </row>
    <row r="14" spans="1:34">
      <c r="C14" s="52" t="s">
        <v>575</v>
      </c>
      <c r="L14"/>
      <c r="M14" s="439"/>
      <c r="N14" s="439"/>
      <c r="O14" s="439"/>
      <c r="P14" s="439"/>
      <c r="Q14" s="439"/>
      <c r="R14"/>
      <c r="S14"/>
      <c r="T14"/>
      <c r="U14" s="440"/>
      <c r="V14" s="444"/>
      <c r="W14" s="440"/>
      <c r="X14"/>
      <c r="Y14"/>
      <c r="Z14"/>
      <c r="AA14"/>
      <c r="AB14"/>
      <c r="AC14"/>
      <c r="AD14"/>
      <c r="AE14"/>
      <c r="AF14"/>
      <c r="AG14"/>
      <c r="AH14"/>
    </row>
    <row r="15" spans="1:34">
      <c r="C15" s="52" t="s">
        <v>576</v>
      </c>
      <c r="L15" s="441"/>
      <c r="M15" s="439"/>
      <c r="N15" s="439"/>
      <c r="O15" s="439"/>
      <c r="P15" s="439"/>
      <c r="Q15" s="439"/>
      <c r="R15"/>
      <c r="S15"/>
      <c r="T15"/>
      <c r="U15"/>
      <c r="V15"/>
      <c r="W15" s="440"/>
      <c r="X15"/>
      <c r="Y15" s="436"/>
      <c r="Z15"/>
      <c r="AA15"/>
      <c r="AB15"/>
      <c r="AC15"/>
      <c r="AD15"/>
      <c r="AE15"/>
      <c r="AF15"/>
      <c r="AG15"/>
      <c r="AH15"/>
    </row>
    <row r="16" spans="1:34">
      <c r="C16" s="52" t="s">
        <v>577</v>
      </c>
      <c r="L16" s="442"/>
      <c r="M16" s="439"/>
      <c r="N16" s="439"/>
      <c r="O16" s="439"/>
      <c r="P16" s="439"/>
      <c r="Q16" s="439"/>
      <c r="R16"/>
      <c r="S16"/>
      <c r="T16"/>
      <c r="U16"/>
      <c r="V16"/>
      <c r="W16"/>
      <c r="X16"/>
      <c r="Y16"/>
      <c r="Z16"/>
      <c r="AA16"/>
      <c r="AB16"/>
      <c r="AC16"/>
      <c r="AD16"/>
      <c r="AE16"/>
      <c r="AF16"/>
      <c r="AG16"/>
      <c r="AH16"/>
    </row>
    <row r="17" spans="3:34">
      <c r="C17" s="52" t="s">
        <v>578</v>
      </c>
      <c r="L17" s="442"/>
      <c r="M17" s="439"/>
      <c r="N17" s="439"/>
      <c r="O17" s="439"/>
      <c r="P17" s="439"/>
      <c r="Q17" s="439"/>
      <c r="R17"/>
      <c r="S17" s="438"/>
      <c r="T17"/>
      <c r="U17"/>
      <c r="V17"/>
      <c r="W17"/>
      <c r="X17"/>
      <c r="Y17"/>
      <c r="Z17" s="438"/>
      <c r="AA17"/>
      <c r="AB17"/>
      <c r="AC17"/>
      <c r="AD17"/>
      <c r="AE17"/>
      <c r="AF17"/>
      <c r="AG17"/>
      <c r="AH17"/>
    </row>
    <row r="18" spans="3:34">
      <c r="C18" s="52" t="s">
        <v>579</v>
      </c>
      <c r="L18" s="442"/>
      <c r="M18" s="439"/>
      <c r="N18" s="439"/>
      <c r="O18" s="439"/>
      <c r="P18" s="439"/>
      <c r="Q18" s="439"/>
      <c r="R18"/>
      <c r="S18"/>
      <c r="T18"/>
      <c r="U18"/>
      <c r="V18"/>
      <c r="W18"/>
      <c r="X18"/>
      <c r="Y18"/>
      <c r="Z18"/>
      <c r="AA18"/>
      <c r="AB18"/>
      <c r="AC18"/>
      <c r="AD18"/>
      <c r="AE18"/>
      <c r="AF18"/>
      <c r="AG18"/>
      <c r="AH18"/>
    </row>
    <row r="19" spans="3:34">
      <c r="C19" s="52" t="s">
        <v>580</v>
      </c>
      <c r="L19" s="442"/>
      <c r="M19" s="439"/>
      <c r="N19" s="439"/>
      <c r="O19" s="439"/>
      <c r="P19" s="439"/>
      <c r="Q19" s="439"/>
      <c r="R19"/>
      <c r="S19"/>
      <c r="T19"/>
      <c r="U19"/>
      <c r="V19"/>
      <c r="W19" s="440"/>
      <c r="X19"/>
      <c r="Y19"/>
      <c r="Z19"/>
      <c r="AA19"/>
      <c r="AB19"/>
      <c r="AC19"/>
      <c r="AD19" s="440"/>
      <c r="AE19"/>
      <c r="AF19"/>
      <c r="AG19"/>
      <c r="AH19"/>
    </row>
    <row r="20" spans="3:34">
      <c r="C20" s="52" t="s">
        <v>581</v>
      </c>
      <c r="L20" s="442"/>
      <c r="M20" s="439"/>
      <c r="N20" s="439"/>
      <c r="O20" s="439"/>
      <c r="P20" s="439"/>
      <c r="Q20" s="439"/>
      <c r="R20"/>
      <c r="S20" s="445"/>
      <c r="T20" s="440"/>
      <c r="U20"/>
      <c r="V20"/>
      <c r="W20" s="440"/>
      <c r="X20"/>
      <c r="Y20"/>
      <c r="Z20" s="445"/>
      <c r="AA20" s="440"/>
      <c r="AB20"/>
      <c r="AC20"/>
      <c r="AD20" s="440"/>
      <c r="AE20"/>
      <c r="AF20"/>
      <c r="AG20"/>
      <c r="AH20"/>
    </row>
    <row r="21" spans="3:34">
      <c r="L21"/>
      <c r="M21" s="439"/>
      <c r="N21" s="439"/>
      <c r="O21" s="439"/>
      <c r="P21" s="439"/>
      <c r="Q21" s="439"/>
      <c r="R21"/>
      <c r="S21"/>
      <c r="T21" s="440"/>
      <c r="U21" s="443"/>
      <c r="V21" s="444"/>
      <c r="W21" s="440"/>
      <c r="X21"/>
      <c r="Y21"/>
      <c r="Z21"/>
      <c r="AA21" s="440"/>
      <c r="AB21" s="443"/>
      <c r="AC21" s="444"/>
      <c r="AD21" s="440"/>
      <c r="AE21"/>
      <c r="AF21"/>
      <c r="AG21"/>
      <c r="AH21"/>
    </row>
    <row r="22" spans="3:34">
      <c r="C22" s="52" t="s">
        <v>582</v>
      </c>
      <c r="L22"/>
      <c r="M22" s="439"/>
      <c r="N22" s="439"/>
      <c r="O22" s="439"/>
      <c r="P22" s="439"/>
      <c r="Q22" s="439"/>
      <c r="R22"/>
      <c r="S22"/>
      <c r="T22" s="21"/>
      <c r="U22" s="440"/>
      <c r="V22" s="444"/>
      <c r="W22" s="440"/>
      <c r="X22"/>
      <c r="Y22"/>
      <c r="Z22"/>
      <c r="AA22" s="21"/>
      <c r="AB22" s="440"/>
      <c r="AC22" s="444"/>
      <c r="AD22" s="440"/>
      <c r="AE22"/>
      <c r="AF22"/>
      <c r="AG22"/>
      <c r="AH22"/>
    </row>
    <row r="23" spans="3:34">
      <c r="L23"/>
      <c r="M23"/>
      <c r="N23"/>
      <c r="O23"/>
      <c r="P23"/>
      <c r="Q23"/>
      <c r="R23"/>
      <c r="S23"/>
      <c r="T23" s="440"/>
      <c r="U23"/>
      <c r="V23"/>
      <c r="W23" s="440"/>
      <c r="X23"/>
      <c r="Y23"/>
      <c r="Z23"/>
      <c r="AA23" s="440"/>
      <c r="AB23"/>
      <c r="AC23"/>
      <c r="AD23" s="440"/>
      <c r="AE23"/>
      <c r="AF23"/>
      <c r="AG23"/>
      <c r="AH23"/>
    </row>
    <row r="24" spans="3:34">
      <c r="C24" s="95" t="s">
        <v>583</v>
      </c>
      <c r="D24" s="95">
        <v>2018</v>
      </c>
      <c r="E24" s="95">
        <v>2019</v>
      </c>
      <c r="F24" s="95">
        <v>2020</v>
      </c>
      <c r="G24" s="95">
        <v>2021</v>
      </c>
      <c r="H24" s="95">
        <v>2022</v>
      </c>
      <c r="L24"/>
      <c r="M24" s="21"/>
      <c r="N24" s="21"/>
      <c r="O24" s="21"/>
      <c r="P24" s="21"/>
      <c r="Q24" s="21"/>
      <c r="R24"/>
      <c r="S24" s="445"/>
      <c r="T24" s="440"/>
      <c r="U24"/>
      <c r="V24"/>
      <c r="W24"/>
      <c r="X24"/>
      <c r="Y24"/>
      <c r="Z24" s="445"/>
      <c r="AA24" s="440"/>
      <c r="AB24"/>
      <c r="AC24"/>
      <c r="AD24"/>
      <c r="AE24"/>
      <c r="AF24"/>
      <c r="AG24"/>
      <c r="AH24"/>
    </row>
    <row r="25" spans="3:34" ht="31.2">
      <c r="C25" s="248" t="s">
        <v>584</v>
      </c>
      <c r="D25" s="446">
        <v>85000</v>
      </c>
      <c r="E25" s="446">
        <v>87153</v>
      </c>
      <c r="F25" s="446">
        <v>102193</v>
      </c>
      <c r="G25" s="446">
        <v>106990</v>
      </c>
      <c r="H25" s="446">
        <v>118869</v>
      </c>
      <c r="L25"/>
      <c r="M25"/>
      <c r="N25"/>
      <c r="O25"/>
      <c r="P25"/>
      <c r="Q25"/>
      <c r="R25"/>
      <c r="S25"/>
      <c r="T25"/>
      <c r="U25"/>
      <c r="V25"/>
      <c r="W25"/>
      <c r="X25"/>
      <c r="Y25"/>
      <c r="Z25"/>
      <c r="AA25"/>
      <c r="AB25"/>
      <c r="AC25"/>
      <c r="AD25"/>
      <c r="AE25"/>
      <c r="AF25"/>
      <c r="AG25"/>
      <c r="AH25"/>
    </row>
    <row r="26" spans="3:34">
      <c r="C26" s="447" t="s">
        <v>585</v>
      </c>
      <c r="D26" s="95"/>
      <c r="E26" s="95"/>
      <c r="F26" s="95"/>
      <c r="G26" s="95"/>
      <c r="H26" s="95"/>
      <c r="L26"/>
      <c r="M26"/>
      <c r="N26"/>
      <c r="O26"/>
      <c r="P26"/>
      <c r="Q26"/>
      <c r="R26"/>
      <c r="S26" s="445"/>
      <c r="T26" s="440"/>
      <c r="U26" s="440"/>
      <c r="V26"/>
      <c r="W26"/>
      <c r="X26"/>
      <c r="Y26"/>
      <c r="Z26" s="445"/>
      <c r="AA26" s="440"/>
      <c r="AB26" s="440"/>
      <c r="AC26"/>
      <c r="AD26"/>
      <c r="AE26"/>
      <c r="AF26"/>
      <c r="AG26"/>
      <c r="AH26"/>
    </row>
    <row r="27" spans="3:34">
      <c r="C27" s="248" t="s">
        <v>586</v>
      </c>
      <c r="D27" s="446">
        <v>5896</v>
      </c>
      <c r="E27" s="446">
        <v>5931</v>
      </c>
      <c r="F27" s="446">
        <v>2968</v>
      </c>
      <c r="G27" s="446">
        <v>3054</v>
      </c>
      <c r="H27" s="446">
        <v>3150</v>
      </c>
      <c r="L27"/>
      <c r="M27"/>
      <c r="N27"/>
      <c r="O27"/>
      <c r="P27"/>
      <c r="Q27"/>
      <c r="R27"/>
      <c r="S27"/>
      <c r="T27" s="440"/>
      <c r="U27" s="440"/>
      <c r="V27"/>
      <c r="W27"/>
      <c r="X27"/>
      <c r="Y27"/>
      <c r="Z27"/>
      <c r="AA27" s="440"/>
      <c r="AB27" s="440"/>
      <c r="AC27"/>
      <c r="AD27"/>
      <c r="AE27"/>
      <c r="AF27"/>
      <c r="AG27"/>
      <c r="AH27"/>
    </row>
    <row r="28" spans="3:34">
      <c r="C28" s="248" t="s">
        <v>587</v>
      </c>
      <c r="D28" s="446">
        <v>576</v>
      </c>
      <c r="E28" s="446">
        <v>3690</v>
      </c>
      <c r="F28" s="446">
        <v>3394</v>
      </c>
      <c r="G28" s="446">
        <v>7969</v>
      </c>
      <c r="H28" s="446">
        <v>17243</v>
      </c>
      <c r="L28"/>
      <c r="M28"/>
      <c r="N28"/>
      <c r="O28"/>
      <c r="P28"/>
      <c r="Q28"/>
      <c r="R28"/>
      <c r="S28"/>
      <c r="T28" s="440"/>
      <c r="U28" s="440"/>
      <c r="V28"/>
      <c r="W28"/>
      <c r="X28"/>
      <c r="Y28"/>
      <c r="Z28"/>
      <c r="AA28" s="440"/>
      <c r="AB28" s="440"/>
      <c r="AC28"/>
      <c r="AD28"/>
      <c r="AE28"/>
      <c r="AF28"/>
      <c r="AG28"/>
      <c r="AH28"/>
    </row>
    <row r="29" spans="3:34">
      <c r="C29" s="447" t="s">
        <v>588</v>
      </c>
      <c r="D29" s="95"/>
      <c r="E29" s="95"/>
      <c r="F29" s="95"/>
      <c r="G29" s="95"/>
      <c r="H29" s="95"/>
      <c r="L29"/>
      <c r="M29" s="440"/>
      <c r="N29" s="440"/>
      <c r="O29" s="440"/>
      <c r="P29" s="440"/>
      <c r="Q29" s="440"/>
      <c r="R29"/>
      <c r="S29" s="445"/>
      <c r="T29" s="440"/>
      <c r="U29" s="440"/>
      <c r="V29"/>
      <c r="W29"/>
      <c r="X29"/>
      <c r="Y29"/>
      <c r="Z29" s="445"/>
      <c r="AA29" s="440"/>
      <c r="AB29" s="440"/>
      <c r="AC29"/>
      <c r="AD29"/>
      <c r="AE29"/>
      <c r="AF29"/>
      <c r="AG29"/>
      <c r="AH29"/>
    </row>
    <row r="30" spans="3:34">
      <c r="C30" s="248" t="s">
        <v>589</v>
      </c>
      <c r="D30" s="446">
        <v>4754</v>
      </c>
      <c r="E30" s="446">
        <v>4962</v>
      </c>
      <c r="F30" s="446">
        <v>7941</v>
      </c>
      <c r="G30" s="446">
        <v>5186</v>
      </c>
      <c r="H30" s="446">
        <v>5250</v>
      </c>
      <c r="L30"/>
      <c r="M30" s="448"/>
      <c r="N30" s="448"/>
      <c r="O30" s="448"/>
      <c r="P30" s="448"/>
      <c r="Q30" s="448"/>
      <c r="R30"/>
      <c r="S30"/>
      <c r="T30"/>
      <c r="U30"/>
      <c r="V30"/>
      <c r="W30"/>
      <c r="X30"/>
      <c r="Y30"/>
      <c r="Z30"/>
      <c r="AA30"/>
      <c r="AB30"/>
      <c r="AC30"/>
      <c r="AD30"/>
      <c r="AE30"/>
      <c r="AF30"/>
      <c r="AG30"/>
      <c r="AH30"/>
    </row>
    <row r="31" spans="3:34" ht="15" customHeight="1">
      <c r="C31" s="248" t="s">
        <v>590</v>
      </c>
      <c r="D31" s="446">
        <v>1218</v>
      </c>
      <c r="E31" s="446">
        <v>1285</v>
      </c>
      <c r="F31" s="446">
        <v>1421</v>
      </c>
      <c r="G31" s="446">
        <v>1559</v>
      </c>
      <c r="H31" s="446">
        <v>1671</v>
      </c>
      <c r="L31"/>
      <c r="M31"/>
      <c r="N31"/>
      <c r="O31"/>
      <c r="P31"/>
      <c r="Q31"/>
      <c r="R31"/>
      <c r="S31" s="445"/>
      <c r="T31" s="440"/>
      <c r="U31" s="440"/>
      <c r="V31" s="440"/>
      <c r="W31"/>
      <c r="X31"/>
      <c r="Y31"/>
      <c r="Z31" s="445"/>
      <c r="AA31" s="440"/>
      <c r="AB31" s="440"/>
      <c r="AC31" s="440"/>
      <c r="AD31"/>
      <c r="AE31"/>
      <c r="AF31"/>
      <c r="AG31"/>
      <c r="AH31"/>
    </row>
    <row r="32" spans="3:34">
      <c r="C32" s="248" t="s">
        <v>591</v>
      </c>
      <c r="D32" s="95">
        <v>758</v>
      </c>
      <c r="E32" s="95">
        <v>762</v>
      </c>
      <c r="F32" s="95">
        <v>846</v>
      </c>
      <c r="G32" s="95">
        <v>894</v>
      </c>
      <c r="H32" s="446">
        <v>1018</v>
      </c>
      <c r="L32"/>
      <c r="M32" s="448"/>
      <c r="N32" s="448"/>
      <c r="O32" s="448"/>
      <c r="P32" s="448"/>
      <c r="Q32" s="448"/>
      <c r="R32"/>
      <c r="S32"/>
      <c r="T32" s="440"/>
      <c r="U32" s="440"/>
      <c r="V32" s="440"/>
      <c r="W32"/>
      <c r="X32"/>
      <c r="Y32"/>
      <c r="Z32"/>
      <c r="AA32" s="440"/>
      <c r="AB32" s="440"/>
      <c r="AC32" s="440"/>
      <c r="AD32"/>
      <c r="AE32"/>
      <c r="AF32"/>
      <c r="AG32"/>
      <c r="AH32"/>
    </row>
    <row r="33" spans="2:34">
      <c r="C33" s="248"/>
      <c r="D33" s="95"/>
      <c r="E33" s="95"/>
      <c r="F33" s="95"/>
      <c r="G33" s="95"/>
      <c r="H33" s="95"/>
      <c r="L33"/>
      <c r="M33"/>
      <c r="N33"/>
      <c r="O33"/>
      <c r="P33"/>
      <c r="Q33"/>
      <c r="R33"/>
      <c r="S33"/>
      <c r="T33" s="21"/>
      <c r="U33" s="21"/>
      <c r="V33" s="21"/>
      <c r="W33"/>
      <c r="X33"/>
      <c r="Y33"/>
      <c r="Z33"/>
      <c r="AA33" s="21"/>
      <c r="AB33" s="21"/>
      <c r="AC33" s="21"/>
      <c r="AD33"/>
      <c r="AE33"/>
      <c r="AF33"/>
      <c r="AG33"/>
      <c r="AH33"/>
    </row>
    <row r="34" spans="2:34">
      <c r="C34" s="248" t="s">
        <v>592</v>
      </c>
      <c r="D34" s="446">
        <v>2411</v>
      </c>
      <c r="E34" s="446">
        <v>12428</v>
      </c>
      <c r="F34" s="446">
        <v>8643</v>
      </c>
      <c r="G34" s="446">
        <v>8495</v>
      </c>
      <c r="H34" s="95">
        <v>-946</v>
      </c>
      <c r="L34"/>
      <c r="M34"/>
      <c r="N34"/>
      <c r="O34"/>
      <c r="P34"/>
      <c r="Q34"/>
      <c r="R34"/>
      <c r="S34"/>
      <c r="T34" s="440"/>
      <c r="U34" s="440"/>
      <c r="V34" s="440"/>
      <c r="W34"/>
      <c r="X34"/>
      <c r="Y34"/>
      <c r="Z34"/>
      <c r="AA34" s="440"/>
      <c r="AB34" s="440"/>
      <c r="AC34" s="440"/>
      <c r="AD34"/>
      <c r="AE34"/>
      <c r="AF34"/>
      <c r="AG34"/>
      <c r="AH34"/>
    </row>
    <row r="35" spans="2:34" ht="31.2">
      <c r="C35" s="248" t="s">
        <v>593</v>
      </c>
      <c r="D35" s="446">
        <v>87153</v>
      </c>
      <c r="E35" s="446">
        <v>102193</v>
      </c>
      <c r="F35" s="446">
        <v>106990</v>
      </c>
      <c r="G35" s="446">
        <v>118869</v>
      </c>
      <c r="H35" s="446">
        <v>130377</v>
      </c>
      <c r="L35"/>
      <c r="M35" s="21"/>
      <c r="N35" s="21"/>
      <c r="O35" s="21"/>
      <c r="P35" s="21"/>
      <c r="Q35" s="21"/>
      <c r="R35"/>
      <c r="S35" s="445"/>
      <c r="T35" s="440"/>
      <c r="U35" s="440"/>
      <c r="V35" s="440"/>
      <c r="W35"/>
      <c r="X35"/>
      <c r="Y35"/>
      <c r="Z35" s="445"/>
      <c r="AA35" s="440"/>
      <c r="AB35" s="440"/>
      <c r="AC35" s="440"/>
      <c r="AD35"/>
      <c r="AE35"/>
      <c r="AF35"/>
      <c r="AG35"/>
      <c r="AH35"/>
    </row>
    <row r="36" spans="2:34" ht="31.2">
      <c r="C36" s="248" t="s">
        <v>594</v>
      </c>
      <c r="D36" s="449">
        <v>5.7500000000000002E-2</v>
      </c>
      <c r="E36" s="449">
        <v>5.7500000000000002E-2</v>
      </c>
      <c r="F36" s="449">
        <v>5.2499999999999998E-2</v>
      </c>
      <c r="G36" s="449">
        <v>5.2499999999999998E-2</v>
      </c>
      <c r="H36" s="449">
        <v>5.2499999999999998E-2</v>
      </c>
      <c r="L36"/>
      <c r="M36"/>
      <c r="N36"/>
      <c r="O36"/>
      <c r="P36"/>
      <c r="Q36"/>
      <c r="R36"/>
      <c r="S36"/>
      <c r="T36"/>
      <c r="U36"/>
      <c r="V36"/>
      <c r="W36"/>
      <c r="X36"/>
      <c r="Y36"/>
      <c r="Z36"/>
      <c r="AA36"/>
      <c r="AB36"/>
      <c r="AC36"/>
      <c r="AD36"/>
      <c r="AE36"/>
      <c r="AF36"/>
      <c r="AG36"/>
      <c r="AH36"/>
    </row>
    <row r="37" spans="2:34">
      <c r="L37"/>
      <c r="M37"/>
      <c r="N37"/>
      <c r="O37"/>
      <c r="P37"/>
      <c r="Q37"/>
      <c r="R37"/>
      <c r="S37" s="445"/>
      <c r="T37" s="440"/>
      <c r="U37" s="440"/>
      <c r="V37" s="440"/>
      <c r="W37" s="440"/>
      <c r="X37"/>
      <c r="Y37"/>
      <c r="Z37" s="445"/>
      <c r="AA37" s="440"/>
      <c r="AB37" s="440"/>
      <c r="AC37" s="440"/>
      <c r="AD37" s="440"/>
      <c r="AE37"/>
      <c r="AF37"/>
      <c r="AG37"/>
      <c r="AH37"/>
    </row>
    <row r="38" spans="2:34">
      <c r="B38" s="52" t="s">
        <v>246</v>
      </c>
      <c r="C38" s="55" t="s">
        <v>257</v>
      </c>
      <c r="D38" s="52" t="s">
        <v>595</v>
      </c>
      <c r="L38"/>
      <c r="M38"/>
      <c r="N38"/>
      <c r="O38"/>
      <c r="P38"/>
      <c r="Q38"/>
      <c r="R38"/>
      <c r="S38"/>
      <c r="T38" s="440"/>
      <c r="U38" s="440"/>
      <c r="V38" s="440"/>
      <c r="W38" s="440"/>
      <c r="X38"/>
      <c r="Y38"/>
      <c r="Z38"/>
      <c r="AA38" s="440"/>
      <c r="AB38" s="440"/>
      <c r="AC38" s="440"/>
      <c r="AD38" s="440"/>
      <c r="AE38"/>
      <c r="AF38"/>
      <c r="AG38"/>
      <c r="AH38"/>
    </row>
    <row r="39" spans="2:34">
      <c r="D39" s="52" t="s">
        <v>596</v>
      </c>
      <c r="L39"/>
      <c r="M39"/>
      <c r="N39"/>
      <c r="O39"/>
      <c r="P39"/>
      <c r="Q39"/>
      <c r="R39"/>
      <c r="S39"/>
      <c r="T39" s="21"/>
      <c r="U39" s="21"/>
      <c r="V39" s="21"/>
      <c r="W39" s="21"/>
      <c r="X39"/>
      <c r="Y39"/>
      <c r="Z39"/>
      <c r="AA39" s="21"/>
      <c r="AB39" s="21"/>
      <c r="AC39" s="21"/>
      <c r="AD39" s="21"/>
      <c r="AE39"/>
      <c r="AF39"/>
      <c r="AG39"/>
      <c r="AH39"/>
    </row>
    <row r="40" spans="2:34">
      <c r="L40"/>
      <c r="M40"/>
      <c r="N40"/>
      <c r="O40"/>
      <c r="P40"/>
      <c r="Q40"/>
      <c r="R40"/>
      <c r="S40"/>
      <c r="T40" s="440"/>
      <c r="U40" s="440"/>
      <c r="V40" s="440"/>
      <c r="W40" s="440"/>
      <c r="X40"/>
      <c r="Y40"/>
      <c r="Z40"/>
      <c r="AA40" s="440"/>
      <c r="AB40" s="440"/>
      <c r="AC40" s="440"/>
      <c r="AD40" s="440"/>
      <c r="AE40"/>
      <c r="AF40"/>
      <c r="AG40"/>
      <c r="AH40"/>
    </row>
    <row r="41" spans="2:34">
      <c r="D41" s="1455" t="s">
        <v>95</v>
      </c>
      <c r="E41" s="1456"/>
      <c r="F41" s="1456"/>
      <c r="G41" s="1456"/>
      <c r="H41" s="1456"/>
      <c r="I41" s="1456"/>
      <c r="J41" s="1457"/>
      <c r="L41"/>
      <c r="M41"/>
      <c r="N41"/>
      <c r="O41"/>
      <c r="P41"/>
      <c r="Q41"/>
      <c r="R41"/>
      <c r="S41" s="445"/>
      <c r="T41" s="440"/>
      <c r="U41" s="440"/>
      <c r="V41" s="440"/>
      <c r="W41" s="440"/>
      <c r="X41"/>
      <c r="Y41"/>
      <c r="Z41" s="445"/>
      <c r="AA41" s="440"/>
      <c r="AB41" s="440"/>
      <c r="AC41" s="440"/>
      <c r="AD41" s="440"/>
      <c r="AE41"/>
      <c r="AF41"/>
      <c r="AG41"/>
      <c r="AH41"/>
    </row>
    <row r="42" spans="2:34">
      <c r="D42" s="1458"/>
      <c r="E42" s="1459"/>
      <c r="F42" s="1459"/>
      <c r="G42" s="1459"/>
      <c r="H42" s="1459"/>
      <c r="I42" s="1459"/>
      <c r="J42" s="1460"/>
      <c r="L42"/>
      <c r="M42"/>
      <c r="N42"/>
      <c r="O42"/>
      <c r="P42"/>
      <c r="Q42"/>
      <c r="R42"/>
      <c r="S42"/>
      <c r="T42"/>
      <c r="U42"/>
      <c r="V42"/>
      <c r="W42"/>
      <c r="X42"/>
      <c r="Y42"/>
      <c r="Z42"/>
      <c r="AA42"/>
      <c r="AB42"/>
      <c r="AC42"/>
      <c r="AD42"/>
      <c r="AE42"/>
      <c r="AF42"/>
      <c r="AG42"/>
      <c r="AH42"/>
    </row>
    <row r="43" spans="2:34">
      <c r="L43"/>
      <c r="M43"/>
      <c r="N43"/>
      <c r="O43"/>
      <c r="P43"/>
      <c r="Q43"/>
      <c r="R43"/>
      <c r="S43" s="445"/>
      <c r="T43" s="440"/>
      <c r="U43" s="440"/>
      <c r="V43" s="440"/>
      <c r="W43" s="440"/>
      <c r="X43" s="440"/>
      <c r="Y43"/>
      <c r="Z43" s="445"/>
      <c r="AA43" s="440"/>
      <c r="AB43" s="440"/>
      <c r="AC43" s="440"/>
      <c r="AD43" s="440"/>
      <c r="AE43" s="440"/>
      <c r="AF43"/>
      <c r="AG43"/>
      <c r="AH43"/>
    </row>
    <row r="44" spans="2:34">
      <c r="B44" s="52" t="s">
        <v>6</v>
      </c>
      <c r="C44" s="55" t="s">
        <v>331</v>
      </c>
      <c r="D44" s="52" t="s">
        <v>597</v>
      </c>
      <c r="L44"/>
      <c r="M44"/>
      <c r="N44"/>
      <c r="O44"/>
      <c r="P44"/>
      <c r="Q44"/>
      <c r="R44"/>
      <c r="S44"/>
      <c r="T44" s="440"/>
      <c r="U44" s="440"/>
      <c r="V44" s="440"/>
      <c r="W44" s="440"/>
      <c r="X44" s="440"/>
      <c r="Y44"/>
      <c r="Z44"/>
      <c r="AA44" s="440"/>
      <c r="AB44" s="440"/>
      <c r="AC44" s="440"/>
      <c r="AD44" s="440"/>
      <c r="AE44" s="440"/>
      <c r="AF44"/>
      <c r="AG44"/>
      <c r="AH44"/>
    </row>
    <row r="45" spans="2:34">
      <c r="D45" s="52" t="s">
        <v>598</v>
      </c>
      <c r="L45"/>
      <c r="M45"/>
      <c r="N45"/>
      <c r="O45"/>
      <c r="P45"/>
      <c r="Q45"/>
      <c r="R45"/>
      <c r="S45"/>
      <c r="T45" s="21"/>
      <c r="U45"/>
      <c r="V45"/>
      <c r="W45" s="21"/>
      <c r="X45" s="440"/>
      <c r="Y45"/>
      <c r="Z45"/>
      <c r="AA45" s="21"/>
      <c r="AB45"/>
      <c r="AC45"/>
      <c r="AD45" s="21"/>
      <c r="AE45" s="440"/>
      <c r="AF45"/>
      <c r="AG45"/>
      <c r="AH45"/>
    </row>
    <row r="46" spans="2:34">
      <c r="L46"/>
      <c r="M46"/>
      <c r="N46"/>
      <c r="O46"/>
      <c r="P46"/>
      <c r="Q46"/>
      <c r="R46"/>
      <c r="S46"/>
      <c r="T46"/>
      <c r="U46"/>
      <c r="V46" s="443"/>
      <c r="W46" s="444"/>
      <c r="X46" s="440"/>
      <c r="Y46"/>
      <c r="Z46"/>
      <c r="AA46"/>
      <c r="AB46"/>
      <c r="AC46" s="443"/>
      <c r="AD46" s="444"/>
      <c r="AE46" s="440"/>
      <c r="AF46"/>
      <c r="AG46"/>
      <c r="AH46"/>
    </row>
    <row r="47" spans="2:34" ht="15.6" customHeight="1">
      <c r="D47" s="1538" t="s">
        <v>599</v>
      </c>
      <c r="E47" s="1539"/>
      <c r="F47" s="1539"/>
      <c r="G47" s="1539"/>
      <c r="H47" s="1539"/>
      <c r="I47" s="1539"/>
      <c r="J47" s="1540"/>
      <c r="L47"/>
      <c r="M47"/>
      <c r="N47"/>
      <c r="O47"/>
      <c r="P47"/>
      <c r="Q47"/>
      <c r="R47"/>
      <c r="S47"/>
      <c r="T47"/>
      <c r="U47"/>
      <c r="V47" s="440"/>
      <c r="W47" s="444"/>
      <c r="X47" s="450"/>
      <c r="Y47"/>
      <c r="Z47"/>
      <c r="AA47"/>
      <c r="AB47"/>
      <c r="AC47" s="440"/>
      <c r="AD47" s="444"/>
      <c r="AE47" s="440"/>
      <c r="AF47"/>
      <c r="AG47"/>
      <c r="AH47"/>
    </row>
    <row r="48" spans="2:34">
      <c r="D48" s="1541"/>
      <c r="E48" s="1542"/>
      <c r="F48" s="1542"/>
      <c r="G48" s="1542"/>
      <c r="H48" s="1542"/>
      <c r="I48" s="1542"/>
      <c r="J48" s="1543"/>
      <c r="L48"/>
      <c r="M48"/>
      <c r="N48"/>
      <c r="O48"/>
      <c r="P48"/>
      <c r="Q48"/>
      <c r="R48"/>
      <c r="S48"/>
      <c r="T48"/>
      <c r="U48"/>
      <c r="V48"/>
      <c r="W48"/>
      <c r="X48" s="440"/>
      <c r="Y48"/>
      <c r="Z48"/>
      <c r="AA48"/>
      <c r="AB48"/>
      <c r="AC48"/>
      <c r="AD48"/>
      <c r="AE48" s="440"/>
      <c r="AF48"/>
      <c r="AG48"/>
      <c r="AH48"/>
    </row>
    <row r="49" spans="12:34">
      <c r="L49"/>
      <c r="M49"/>
      <c r="N49"/>
      <c r="O49"/>
      <c r="P49"/>
      <c r="Q49"/>
      <c r="R49"/>
      <c r="S49"/>
      <c r="T49"/>
      <c r="U49"/>
      <c r="V49"/>
      <c r="W49"/>
      <c r="X49"/>
      <c r="Y49"/>
      <c r="Z49"/>
      <c r="AA49"/>
      <c r="AB49"/>
      <c r="AC49"/>
      <c r="AD49"/>
      <c r="AE49"/>
      <c r="AF49"/>
      <c r="AG49"/>
      <c r="AH49"/>
    </row>
    <row r="50" spans="12:34">
      <c r="L50"/>
      <c r="M50"/>
      <c r="N50"/>
      <c r="O50"/>
      <c r="P50"/>
      <c r="Q50"/>
      <c r="R50"/>
      <c r="S50"/>
      <c r="T50"/>
      <c r="U50"/>
      <c r="V50"/>
      <c r="W50"/>
      <c r="X50"/>
      <c r="Y50"/>
      <c r="Z50"/>
      <c r="AA50"/>
      <c r="AB50"/>
      <c r="AC50"/>
      <c r="AD50"/>
      <c r="AE50"/>
      <c r="AF50"/>
      <c r="AG50"/>
      <c r="AH50"/>
    </row>
    <row r="51" spans="12:34">
      <c r="L51"/>
      <c r="M51"/>
      <c r="N51"/>
      <c r="O51"/>
      <c r="P51"/>
      <c r="Q51"/>
      <c r="R51"/>
      <c r="S51"/>
      <c r="T51"/>
      <c r="U51"/>
      <c r="V51"/>
      <c r="W51"/>
      <c r="X51"/>
      <c r="Y51"/>
      <c r="Z51"/>
      <c r="AA51"/>
      <c r="AB51"/>
      <c r="AC51"/>
      <c r="AD51"/>
      <c r="AE51"/>
      <c r="AF51"/>
      <c r="AG51"/>
      <c r="AH51"/>
    </row>
    <row r="52" spans="12:34">
      <c r="L52"/>
      <c r="M52"/>
      <c r="N52"/>
      <c r="O52"/>
      <c r="P52"/>
      <c r="Q52"/>
      <c r="R52"/>
      <c r="S52"/>
      <c r="T52"/>
      <c r="U52"/>
      <c r="V52"/>
      <c r="W52"/>
      <c r="X52"/>
      <c r="Y52"/>
      <c r="Z52"/>
      <c r="AA52"/>
      <c r="AB52"/>
      <c r="AC52"/>
      <c r="AD52"/>
      <c r="AE52"/>
      <c r="AF52"/>
      <c r="AG52"/>
      <c r="AH52"/>
    </row>
    <row r="53" spans="12:34">
      <c r="L53"/>
      <c r="M53"/>
      <c r="N53"/>
      <c r="O53"/>
      <c r="P53"/>
      <c r="Q53"/>
      <c r="R53"/>
      <c r="S53"/>
      <c r="T53"/>
      <c r="U53"/>
      <c r="V53"/>
      <c r="W53"/>
      <c r="X53"/>
      <c r="Y53"/>
      <c r="Z53"/>
      <c r="AA53"/>
      <c r="AB53"/>
      <c r="AC53"/>
      <c r="AD53"/>
      <c r="AE53"/>
      <c r="AF53"/>
      <c r="AG53"/>
      <c r="AH53"/>
    </row>
    <row r="54" spans="12:34">
      <c r="L54"/>
      <c r="M54"/>
      <c r="N54"/>
      <c r="O54"/>
      <c r="P54"/>
      <c r="Q54"/>
      <c r="R54"/>
      <c r="S54"/>
      <c r="T54"/>
      <c r="U54"/>
      <c r="V54"/>
      <c r="W54"/>
      <c r="X54"/>
      <c r="Y54"/>
      <c r="Z54"/>
      <c r="AA54"/>
      <c r="AB54"/>
      <c r="AC54"/>
      <c r="AD54"/>
      <c r="AE54"/>
      <c r="AF54"/>
      <c r="AG54"/>
      <c r="AH54"/>
    </row>
    <row r="55" spans="12:34">
      <c r="L55"/>
      <c r="M55"/>
      <c r="N55"/>
      <c r="O55"/>
      <c r="P55"/>
      <c r="Q55"/>
      <c r="R55"/>
      <c r="S55"/>
      <c r="T55"/>
      <c r="U55"/>
      <c r="V55"/>
      <c r="W55"/>
      <c r="X55"/>
      <c r="Y55"/>
      <c r="Z55"/>
      <c r="AA55"/>
      <c r="AB55"/>
      <c r="AC55"/>
      <c r="AD55"/>
      <c r="AE55"/>
      <c r="AF55"/>
      <c r="AG55"/>
      <c r="AH55"/>
    </row>
    <row r="56" spans="12:34">
      <c r="R56"/>
      <c r="S56"/>
      <c r="T56"/>
      <c r="U56"/>
      <c r="V56"/>
      <c r="W56"/>
      <c r="X56"/>
      <c r="Y56"/>
      <c r="Z56"/>
      <c r="AA56"/>
      <c r="AB56"/>
      <c r="AC56"/>
      <c r="AD56"/>
      <c r="AE56"/>
      <c r="AF56"/>
      <c r="AG56"/>
      <c r="AH56"/>
    </row>
    <row r="58" spans="12:34">
      <c r="L58"/>
      <c r="M58"/>
      <c r="N58"/>
      <c r="O58"/>
      <c r="P58"/>
      <c r="Q58"/>
    </row>
    <row r="59" spans="12:34">
      <c r="L59"/>
      <c r="M59"/>
      <c r="N59"/>
      <c r="O59"/>
      <c r="P59"/>
      <c r="Q59"/>
      <c r="R59"/>
      <c r="S59"/>
      <c r="T59"/>
      <c r="U59"/>
    </row>
    <row r="60" spans="12:34">
      <c r="L60"/>
      <c r="M60"/>
      <c r="N60"/>
      <c r="O60"/>
      <c r="P60"/>
      <c r="Q60" s="436"/>
      <c r="R60"/>
      <c r="S60"/>
      <c r="T60"/>
      <c r="U60"/>
    </row>
    <row r="61" spans="12:34">
      <c r="L61"/>
      <c r="M61" s="451"/>
      <c r="N61" s="451"/>
      <c r="O61"/>
      <c r="P61"/>
      <c r="Q61" s="452"/>
      <c r="R61" s="436"/>
      <c r="S61" s="436"/>
      <c r="T61"/>
      <c r="U61"/>
    </row>
    <row r="62" spans="12:34">
      <c r="L62"/>
      <c r="M62" s="453"/>
      <c r="N62" s="453"/>
      <c r="O62"/>
      <c r="P62"/>
      <c r="Q62" s="452"/>
      <c r="R62" s="452"/>
      <c r="S62" s="452"/>
      <c r="T62"/>
      <c r="U62"/>
    </row>
    <row r="63" spans="12:34">
      <c r="L63"/>
      <c r="M63" s="453"/>
      <c r="N63" s="453"/>
      <c r="O63"/>
      <c r="P63"/>
      <c r="Q63" s="452"/>
      <c r="R63" s="452"/>
      <c r="S63" s="452"/>
      <c r="T63"/>
      <c r="U63"/>
    </row>
    <row r="64" spans="12:34">
      <c r="L64" s="453"/>
      <c r="M64" s="453"/>
      <c r="N64"/>
      <c r="O64"/>
      <c r="P64"/>
      <c r="Q64" s="452"/>
      <c r="R64" s="452"/>
      <c r="S64" s="452"/>
      <c r="T64"/>
      <c r="U64"/>
    </row>
    <row r="65" spans="12:21">
      <c r="L65" s="453"/>
      <c r="M65" s="453"/>
      <c r="N65" s="453"/>
      <c r="O65"/>
      <c r="P65"/>
      <c r="Q65" s="452"/>
      <c r="R65" s="452"/>
      <c r="S65" s="452"/>
      <c r="T65" s="436"/>
      <c r="U65"/>
    </row>
    <row r="66" spans="12:21">
      <c r="L66"/>
      <c r="M66" s="453"/>
      <c r="N66" s="453"/>
      <c r="O66"/>
      <c r="P66"/>
      <c r="Q66" s="452"/>
      <c r="R66" s="452"/>
      <c r="S66" s="452"/>
      <c r="T66"/>
      <c r="U66"/>
    </row>
    <row r="67" spans="12:21">
      <c r="L67" s="453"/>
      <c r="M67" s="453"/>
      <c r="N67" s="453"/>
      <c r="O67"/>
      <c r="P67"/>
      <c r="Q67" s="452"/>
      <c r="R67" s="452"/>
      <c r="S67" s="452"/>
      <c r="T67"/>
      <c r="U67"/>
    </row>
    <row r="68" spans="12:21">
      <c r="L68" s="453"/>
      <c r="M68" s="453"/>
      <c r="N68" s="453"/>
      <c r="O68"/>
      <c r="P68"/>
      <c r="Q68" s="452"/>
      <c r="R68" s="452"/>
      <c r="S68" s="452"/>
      <c r="T68"/>
      <c r="U68"/>
    </row>
    <row r="69" spans="12:21">
      <c r="R69" s="452"/>
      <c r="S69" s="452"/>
      <c r="T69" s="436"/>
      <c r="U69"/>
    </row>
  </sheetData>
  <mergeCells count="2">
    <mergeCell ref="D41:J42"/>
    <mergeCell ref="D47:J48"/>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58BD1-78C3-4413-AAD7-85C4A89640E3}">
  <sheetPr>
    <pageSetUpPr fitToPage="1"/>
  </sheetPr>
  <dimension ref="A1:AC132"/>
  <sheetViews>
    <sheetView zoomScaleNormal="100" workbookViewId="0">
      <selection activeCell="C8" sqref="C8:D9"/>
    </sheetView>
  </sheetViews>
  <sheetFormatPr defaultColWidth="8.88671875" defaultRowHeight="15.6"/>
  <cols>
    <col min="1" max="1" width="3.5546875" style="52" customWidth="1"/>
    <col min="2" max="2" width="11.109375" style="52" customWidth="1"/>
    <col min="3" max="3" width="15" style="52" customWidth="1"/>
    <col min="4" max="4" width="18.6640625" style="52" customWidth="1"/>
    <col min="5" max="5" width="34.88671875" style="52" customWidth="1"/>
    <col min="6" max="6" width="16.88671875" style="52" customWidth="1"/>
    <col min="7" max="7" width="16.44140625" style="52" customWidth="1"/>
    <col min="8" max="8" width="9.33203125" style="52" customWidth="1"/>
    <col min="9" max="9" width="4.5546875" style="52" customWidth="1"/>
    <col min="10" max="10" width="2.5546875" style="52" customWidth="1"/>
    <col min="11" max="11" width="2.5546875" style="255" customWidth="1"/>
    <col min="12" max="12" width="8.88671875" style="4"/>
    <col min="13" max="13" width="11.5546875" style="4" bestFit="1" customWidth="1"/>
    <col min="14" max="14" width="12.109375" style="4" customWidth="1"/>
    <col min="15" max="16" width="8.88671875" style="4"/>
    <col min="17" max="17" width="13.109375" style="4" customWidth="1"/>
    <col min="18" max="18" width="11.109375" style="4" customWidth="1"/>
    <col min="19" max="22" width="8.88671875" style="4"/>
    <col min="23" max="23" width="14" style="4" bestFit="1" customWidth="1"/>
    <col min="24" max="24" width="9.5546875" style="4" bestFit="1" customWidth="1"/>
    <col min="25" max="25" width="9.88671875" style="4" customWidth="1"/>
    <col min="26" max="26" width="14.6640625" style="4" bestFit="1" customWidth="1"/>
    <col min="27" max="27" width="9.5546875" style="4" customWidth="1"/>
    <col min="28" max="28" width="11.44140625" style="4" customWidth="1"/>
    <col min="29" max="29" width="10.88671875" style="4" customWidth="1"/>
    <col min="30" max="16384" width="8.88671875" style="4"/>
  </cols>
  <sheetData>
    <row r="1" spans="1:29">
      <c r="A1" s="51" t="s">
        <v>600</v>
      </c>
      <c r="B1" s="51"/>
      <c r="L1" s="4" t="str">
        <f>A1</f>
        <v>RETFRC Spring 2024</v>
      </c>
    </row>
    <row r="2" spans="1:29">
      <c r="A2" s="51" t="s">
        <v>464</v>
      </c>
      <c r="B2" s="51"/>
      <c r="L2" s="4" t="str">
        <f>A2</f>
        <v>Question 5</v>
      </c>
    </row>
    <row r="3" spans="1:29" ht="18.45" customHeight="1">
      <c r="A3" s="53"/>
    </row>
    <row r="4" spans="1:29" ht="18.45" customHeight="1">
      <c r="A4" s="51"/>
      <c r="L4" s="4" t="s">
        <v>35</v>
      </c>
    </row>
    <row r="5" spans="1:29">
      <c r="A5" s="55" t="s">
        <v>220</v>
      </c>
      <c r="C5" s="52" t="s">
        <v>601</v>
      </c>
    </row>
    <row r="6" spans="1:29">
      <c r="N6" s="106"/>
    </row>
    <row r="7" spans="1:29">
      <c r="C7" s="57" t="s">
        <v>307</v>
      </c>
    </row>
    <row r="8" spans="1:29" ht="15.6" customHeight="1">
      <c r="C8" s="1428" t="s">
        <v>602</v>
      </c>
      <c r="D8" s="1429"/>
      <c r="E8" s="1432" t="s">
        <v>603</v>
      </c>
      <c r="F8" s="1433"/>
      <c r="G8" s="1434"/>
    </row>
    <row r="9" spans="1:29" ht="15.6" customHeight="1">
      <c r="C9" s="1430"/>
      <c r="D9" s="1431"/>
      <c r="E9" s="1435"/>
      <c r="F9" s="1436"/>
      <c r="G9" s="1437"/>
      <c r="M9" s="454"/>
      <c r="N9" s="58"/>
    </row>
    <row r="10" spans="1:29">
      <c r="C10" s="1438" t="s">
        <v>224</v>
      </c>
      <c r="D10" s="1438"/>
      <c r="E10" s="1438" t="s">
        <v>42</v>
      </c>
      <c r="F10" s="1438"/>
      <c r="G10" s="1438"/>
      <c r="M10" s="454"/>
      <c r="N10" s="58"/>
    </row>
    <row r="11" spans="1:29">
      <c r="C11" s="1438" t="s">
        <v>309</v>
      </c>
      <c r="D11" s="1438"/>
      <c r="E11" s="1439" t="s">
        <v>181</v>
      </c>
      <c r="F11" s="1439"/>
      <c r="G11" s="1439"/>
      <c r="N11" s="58"/>
    </row>
    <row r="12" spans="1:29">
      <c r="C12" s="1438" t="s">
        <v>604</v>
      </c>
      <c r="D12" s="1438"/>
      <c r="E12" s="1439" t="s">
        <v>183</v>
      </c>
      <c r="F12" s="1439"/>
      <c r="G12" s="1439"/>
      <c r="M12" s="454"/>
      <c r="N12" s="58"/>
    </row>
    <row r="13" spans="1:29" ht="37.5" customHeight="1">
      <c r="C13" s="1443" t="s">
        <v>605</v>
      </c>
      <c r="D13" s="1443"/>
      <c r="E13" s="1544" t="s">
        <v>606</v>
      </c>
      <c r="F13" s="1545"/>
      <c r="G13" s="1546"/>
      <c r="M13" s="56"/>
      <c r="N13" s="455"/>
      <c r="O13" s="106"/>
    </row>
    <row r="14" spans="1:29">
      <c r="C14" s="1438" t="s">
        <v>607</v>
      </c>
      <c r="D14" s="1438"/>
      <c r="E14" s="1439" t="s">
        <v>608</v>
      </c>
      <c r="F14" s="1439"/>
      <c r="G14" s="1439"/>
      <c r="AB14" s="456"/>
      <c r="AC14" s="456"/>
    </row>
    <row r="15" spans="1:29" ht="80.25" customHeight="1">
      <c r="C15" s="1443" t="s">
        <v>228</v>
      </c>
      <c r="D15" s="1443"/>
      <c r="E15" s="1465" t="s">
        <v>609</v>
      </c>
      <c r="F15" s="1466"/>
      <c r="G15" s="1548"/>
      <c r="N15" s="106"/>
    </row>
    <row r="16" spans="1:29">
      <c r="P16" s="457"/>
      <c r="Q16" s="457"/>
      <c r="R16" s="457"/>
      <c r="Y16" s="456"/>
      <c r="Z16" s="456"/>
      <c r="AB16" s="456"/>
      <c r="AC16" s="456"/>
    </row>
    <row r="17" spans="3:29">
      <c r="C17" s="57" t="s">
        <v>230</v>
      </c>
      <c r="M17" s="458"/>
      <c r="N17" s="459"/>
      <c r="O17" s="459"/>
      <c r="P17" s="459"/>
      <c r="Q17" s="459"/>
      <c r="R17" s="459"/>
      <c r="S17" s="459"/>
      <c r="T17" s="459"/>
      <c r="U17" s="459"/>
      <c r="V17" s="459"/>
      <c r="W17" s="459"/>
      <c r="X17" s="459"/>
      <c r="Y17" s="459"/>
      <c r="Z17" s="459"/>
      <c r="AA17" s="459"/>
      <c r="AB17" s="459"/>
      <c r="AC17" s="459"/>
    </row>
    <row r="18" spans="3:29">
      <c r="C18" s="1440" t="s">
        <v>610</v>
      </c>
      <c r="D18" s="1441"/>
      <c r="E18" s="62" t="s">
        <v>232</v>
      </c>
      <c r="F18" s="1442"/>
      <c r="G18" s="1442"/>
      <c r="H18" s="1441"/>
      <c r="M18" s="460"/>
      <c r="N18" s="459"/>
      <c r="O18" s="459"/>
      <c r="P18" s="461"/>
      <c r="Q18" s="459"/>
      <c r="R18" s="459"/>
      <c r="S18" s="459"/>
      <c r="T18" s="459"/>
      <c r="U18" s="459"/>
      <c r="V18" s="459"/>
      <c r="W18" s="459"/>
      <c r="X18" s="459"/>
      <c r="AA18" s="459"/>
    </row>
    <row r="19" spans="3:29">
      <c r="C19" s="60" t="s">
        <v>233</v>
      </c>
      <c r="D19" s="61"/>
      <c r="E19" s="62" t="s">
        <v>234</v>
      </c>
      <c r="F19" s="70"/>
      <c r="G19" s="70"/>
      <c r="H19" s="61"/>
      <c r="M19" s="460"/>
      <c r="N19" s="460"/>
      <c r="O19" s="460"/>
      <c r="P19" s="461"/>
      <c r="Q19" s="461"/>
      <c r="R19" s="461"/>
      <c r="S19" s="461"/>
      <c r="T19" s="462"/>
      <c r="U19" s="462"/>
      <c r="V19" s="462"/>
      <c r="W19" s="461"/>
      <c r="X19" s="461"/>
      <c r="Y19" s="461"/>
      <c r="Z19" s="461"/>
      <c r="AA19" s="461"/>
      <c r="AB19" s="461"/>
      <c r="AC19" s="461"/>
    </row>
    <row r="20" spans="3:29">
      <c r="C20" s="60" t="s">
        <v>611</v>
      </c>
      <c r="D20" s="61"/>
      <c r="E20" s="62" t="s">
        <v>234</v>
      </c>
      <c r="F20" s="70"/>
      <c r="G20" s="70"/>
      <c r="H20" s="61"/>
      <c r="M20" s="460"/>
      <c r="N20" s="460"/>
      <c r="O20" s="460"/>
      <c r="P20" s="461"/>
      <c r="Q20" s="461"/>
      <c r="R20" s="461"/>
      <c r="S20" s="461"/>
      <c r="T20" s="462"/>
      <c r="U20" s="462"/>
      <c r="V20" s="462"/>
      <c r="W20" s="461"/>
      <c r="X20" s="461"/>
      <c r="Y20" s="461"/>
      <c r="Z20" s="461"/>
      <c r="AA20" s="461"/>
      <c r="AB20" s="461"/>
      <c r="AC20" s="461"/>
    </row>
    <row r="21" spans="3:29">
      <c r="C21" s="60" t="s">
        <v>612</v>
      </c>
      <c r="D21" s="61"/>
      <c r="E21" s="62" t="s">
        <v>61</v>
      </c>
      <c r="F21" s="70"/>
      <c r="G21" s="70"/>
      <c r="H21" s="61"/>
      <c r="M21" s="460"/>
      <c r="N21" s="460"/>
      <c r="O21" s="460"/>
      <c r="P21" s="461"/>
      <c r="Q21" s="461"/>
      <c r="R21" s="461"/>
      <c r="S21" s="461"/>
      <c r="T21" s="462"/>
      <c r="U21" s="462"/>
      <c r="V21" s="462"/>
      <c r="W21" s="461"/>
      <c r="X21" s="461"/>
      <c r="Y21" s="461"/>
      <c r="Z21" s="461"/>
      <c r="AA21" s="461"/>
      <c r="AB21" s="461"/>
      <c r="AC21" s="461"/>
    </row>
    <row r="22" spans="3:29">
      <c r="C22" s="256" t="s">
        <v>285</v>
      </c>
      <c r="D22" s="257"/>
      <c r="E22" s="1463" t="s">
        <v>613</v>
      </c>
      <c r="F22" s="1549"/>
      <c r="G22" s="1549"/>
      <c r="H22" s="1550"/>
      <c r="M22" s="460"/>
      <c r="N22" s="460"/>
      <c r="O22" s="460"/>
      <c r="P22" s="461"/>
      <c r="Q22" s="461"/>
      <c r="R22" s="461"/>
      <c r="S22" s="461"/>
      <c r="T22" s="462"/>
      <c r="U22" s="462"/>
      <c r="V22" s="462"/>
      <c r="W22" s="461"/>
      <c r="X22" s="461"/>
      <c r="Y22" s="461"/>
      <c r="Z22" s="461"/>
      <c r="AA22" s="461"/>
      <c r="AB22" s="461"/>
      <c r="AC22" s="461"/>
    </row>
    <row r="23" spans="3:29">
      <c r="C23" s="1465" t="s">
        <v>614</v>
      </c>
      <c r="D23" s="1551"/>
      <c r="E23" s="464" t="s">
        <v>129</v>
      </c>
      <c r="F23" s="66" t="s">
        <v>56</v>
      </c>
      <c r="G23" s="463"/>
      <c r="H23" s="67"/>
      <c r="M23" s="460"/>
      <c r="N23" s="460"/>
      <c r="O23" s="460"/>
      <c r="P23" s="461"/>
      <c r="Q23" s="461"/>
      <c r="R23" s="461"/>
      <c r="S23" s="461"/>
      <c r="T23" s="462"/>
      <c r="U23" s="462"/>
      <c r="V23" s="462"/>
      <c r="W23" s="461"/>
      <c r="X23" s="461"/>
      <c r="Y23" s="461"/>
      <c r="Z23" s="461"/>
      <c r="AA23" s="461"/>
      <c r="AB23" s="461"/>
      <c r="AC23" s="461"/>
    </row>
    <row r="24" spans="3:29">
      <c r="C24" s="1544"/>
      <c r="D24" s="1554"/>
      <c r="E24" s="465" t="s">
        <v>615</v>
      </c>
      <c r="F24" s="465" t="s">
        <v>616</v>
      </c>
      <c r="G24" s="466"/>
      <c r="H24" s="467"/>
      <c r="M24" s="460"/>
      <c r="N24" s="460"/>
      <c r="O24" s="460"/>
      <c r="P24" s="461"/>
      <c r="Q24" s="461"/>
      <c r="R24" s="461"/>
      <c r="S24" s="461"/>
      <c r="T24" s="462"/>
      <c r="U24" s="462"/>
      <c r="V24" s="462"/>
      <c r="W24" s="461"/>
      <c r="X24" s="461"/>
      <c r="Y24" s="461"/>
      <c r="Z24" s="461"/>
      <c r="AA24" s="461"/>
      <c r="AB24" s="461"/>
      <c r="AC24" s="461"/>
    </row>
    <row r="25" spans="3:29">
      <c r="C25" s="1555"/>
      <c r="D25" s="1556"/>
      <c r="E25" s="465" t="s">
        <v>617</v>
      </c>
      <c r="F25" s="465" t="s">
        <v>232</v>
      </c>
      <c r="G25" s="466"/>
      <c r="H25" s="467"/>
      <c r="M25" s="460"/>
      <c r="N25" s="460"/>
      <c r="O25" s="460"/>
      <c r="P25" s="461"/>
      <c r="Q25" s="461"/>
      <c r="R25" s="461"/>
      <c r="S25" s="461"/>
      <c r="T25" s="462"/>
      <c r="U25" s="462"/>
      <c r="V25" s="462"/>
      <c r="W25" s="461"/>
      <c r="X25" s="461"/>
      <c r="Y25" s="461"/>
      <c r="Z25" s="461"/>
      <c r="AA25" s="461"/>
      <c r="AB25" s="461"/>
      <c r="AC25" s="461"/>
    </row>
    <row r="26" spans="3:29">
      <c r="C26" s="1557"/>
      <c r="D26" s="1558"/>
      <c r="E26" s="468" t="s">
        <v>618</v>
      </c>
      <c r="F26" s="468" t="s">
        <v>619</v>
      </c>
      <c r="G26" s="469"/>
      <c r="H26" s="470"/>
      <c r="M26" s="460"/>
      <c r="N26" s="460"/>
      <c r="O26" s="460"/>
      <c r="P26" s="461"/>
      <c r="Q26" s="461"/>
      <c r="R26" s="461"/>
      <c r="S26" s="461"/>
      <c r="T26" s="462"/>
      <c r="U26" s="462"/>
      <c r="V26" s="462"/>
      <c r="W26" s="461"/>
      <c r="X26" s="461"/>
      <c r="Y26" s="461"/>
      <c r="Z26" s="461"/>
      <c r="AA26" s="461"/>
      <c r="AB26" s="461"/>
      <c r="AC26" s="461"/>
    </row>
    <row r="27" spans="3:29">
      <c r="C27" s="1440" t="s">
        <v>58</v>
      </c>
      <c r="D27" s="1441"/>
      <c r="E27" s="1440" t="s">
        <v>59</v>
      </c>
      <c r="F27" s="1547"/>
      <c r="G27" s="1547"/>
      <c r="H27" s="1431"/>
      <c r="M27" s="460"/>
      <c r="N27" s="460"/>
      <c r="O27" s="460"/>
      <c r="P27" s="461"/>
      <c r="Q27" s="461"/>
      <c r="R27" s="461"/>
      <c r="S27" s="461"/>
      <c r="T27" s="462"/>
      <c r="U27" s="462"/>
      <c r="V27" s="462"/>
      <c r="W27" s="461"/>
      <c r="X27" s="461"/>
      <c r="Y27" s="461"/>
      <c r="Z27" s="461"/>
      <c r="AA27" s="461"/>
      <c r="AB27" s="461"/>
      <c r="AC27" s="461"/>
    </row>
    <row r="28" spans="3:29">
      <c r="C28" s="1440" t="s">
        <v>237</v>
      </c>
      <c r="D28" s="1441"/>
      <c r="E28" s="1440" t="s">
        <v>290</v>
      </c>
      <c r="F28" s="1442"/>
      <c r="G28" s="1442"/>
      <c r="H28" s="1441"/>
      <c r="M28" s="460"/>
      <c r="N28" s="460"/>
      <c r="O28" s="460"/>
      <c r="P28" s="461"/>
      <c r="Q28" s="461"/>
      <c r="R28" s="461"/>
      <c r="S28" s="461"/>
      <c r="T28" s="462"/>
      <c r="U28" s="462"/>
      <c r="V28" s="462"/>
      <c r="W28" s="461"/>
      <c r="X28" s="461"/>
      <c r="Y28" s="461"/>
      <c r="Z28" s="461"/>
      <c r="AA28" s="461"/>
      <c r="AB28" s="461"/>
      <c r="AC28" s="461"/>
    </row>
    <row r="29" spans="3:29">
      <c r="C29" s="1440" t="s">
        <v>359</v>
      </c>
      <c r="D29" s="1441"/>
      <c r="E29" s="1440" t="s">
        <v>360</v>
      </c>
      <c r="F29" s="1442"/>
      <c r="G29" s="1442"/>
      <c r="H29" s="1441"/>
      <c r="M29" s="460"/>
      <c r="N29" s="460"/>
      <c r="O29" s="460"/>
      <c r="P29" s="461"/>
      <c r="Q29" s="461"/>
      <c r="R29" s="461"/>
      <c r="S29" s="461"/>
      <c r="T29" s="462"/>
      <c r="U29" s="462"/>
      <c r="V29" s="462"/>
      <c r="W29" s="461"/>
      <c r="X29" s="461"/>
      <c r="Y29" s="461"/>
      <c r="Z29" s="461"/>
      <c r="AA29" s="461"/>
      <c r="AB29" s="461"/>
      <c r="AC29" s="461"/>
    </row>
    <row r="30" spans="3:29">
      <c r="M30" s="460"/>
      <c r="N30" s="460"/>
      <c r="O30" s="460"/>
      <c r="P30" s="461"/>
      <c r="Q30" s="461"/>
      <c r="R30" s="461"/>
      <c r="S30" s="461"/>
      <c r="T30" s="462"/>
      <c r="U30" s="462"/>
      <c r="V30" s="462"/>
      <c r="W30" s="461"/>
      <c r="X30" s="461"/>
      <c r="Y30" s="461"/>
      <c r="Z30" s="461"/>
      <c r="AA30" s="461"/>
      <c r="AB30" s="461"/>
      <c r="AC30" s="461"/>
    </row>
    <row r="31" spans="3:29">
      <c r="C31" s="88" t="s">
        <v>322</v>
      </c>
      <c r="D31" s="80"/>
      <c r="E31" s="80"/>
      <c r="F31" s="80"/>
      <c r="M31" s="460"/>
      <c r="N31" s="460"/>
      <c r="O31" s="460"/>
      <c r="P31" s="461"/>
      <c r="Q31" s="461"/>
      <c r="R31" s="461"/>
      <c r="S31" s="461"/>
      <c r="T31" s="462"/>
      <c r="U31" s="462"/>
      <c r="V31" s="462"/>
      <c r="W31" s="461"/>
      <c r="X31" s="461"/>
      <c r="Y31" s="461"/>
      <c r="Z31" s="461"/>
      <c r="AA31" s="461"/>
      <c r="AB31" s="461"/>
      <c r="AC31" s="461"/>
    </row>
    <row r="32" spans="3:29" ht="19.8">
      <c r="C32" s="90" t="s">
        <v>77</v>
      </c>
      <c r="D32" s="91">
        <v>12.5</v>
      </c>
      <c r="E32" s="471"/>
      <c r="F32" s="80"/>
      <c r="G32" s="80"/>
      <c r="H32" s="80"/>
      <c r="M32" s="460"/>
      <c r="N32" s="460"/>
      <c r="O32" s="460"/>
      <c r="P32" s="461"/>
      <c r="Q32" s="461"/>
      <c r="R32" s="461"/>
      <c r="S32" s="461"/>
      <c r="T32" s="462"/>
      <c r="U32" s="462"/>
      <c r="V32" s="462"/>
      <c r="W32" s="461"/>
      <c r="X32" s="461"/>
      <c r="Y32" s="461"/>
      <c r="Z32" s="461"/>
      <c r="AA32" s="461"/>
      <c r="AB32" s="461"/>
      <c r="AC32" s="461"/>
    </row>
    <row r="33" spans="1:29" ht="19.8">
      <c r="C33" s="90" t="s">
        <v>620</v>
      </c>
      <c r="D33" s="91">
        <v>15.5</v>
      </c>
      <c r="E33" s="471"/>
      <c r="F33" s="80"/>
      <c r="G33" s="80"/>
      <c r="H33" s="80"/>
      <c r="M33" s="460"/>
      <c r="N33" s="460"/>
      <c r="O33" s="460"/>
      <c r="P33" s="461"/>
      <c r="Q33" s="461"/>
      <c r="R33" s="461"/>
      <c r="S33" s="461"/>
      <c r="T33" s="462"/>
      <c r="U33" s="462"/>
      <c r="V33" s="462"/>
      <c r="W33" s="461"/>
      <c r="X33" s="461"/>
      <c r="Y33" s="461"/>
      <c r="Z33" s="461"/>
      <c r="AA33" s="461"/>
      <c r="AB33" s="461"/>
      <c r="AC33" s="461"/>
    </row>
    <row r="34" spans="1:29">
      <c r="M34" s="460"/>
      <c r="N34" s="460"/>
      <c r="O34" s="460"/>
      <c r="P34" s="461"/>
      <c r="Q34" s="461"/>
      <c r="R34" s="461"/>
      <c r="S34" s="461"/>
      <c r="T34" s="462"/>
      <c r="U34" s="462"/>
      <c r="V34" s="462"/>
      <c r="W34" s="461"/>
      <c r="X34" s="461"/>
      <c r="Y34" s="461"/>
      <c r="Z34" s="461"/>
      <c r="AA34" s="461"/>
      <c r="AB34" s="461"/>
      <c r="AC34" s="461"/>
    </row>
    <row r="35" spans="1:29">
      <c r="C35" s="57" t="s">
        <v>621</v>
      </c>
      <c r="M35" s="460"/>
      <c r="N35" s="460"/>
      <c r="O35" s="460"/>
      <c r="P35" s="461"/>
      <c r="Q35" s="461"/>
      <c r="R35" s="461"/>
      <c r="S35" s="461"/>
      <c r="T35" s="462"/>
      <c r="U35" s="462"/>
      <c r="V35" s="462"/>
      <c r="W35" s="461"/>
      <c r="X35" s="461"/>
      <c r="Y35" s="461"/>
      <c r="Z35" s="461"/>
      <c r="AA35" s="461"/>
      <c r="AB35" s="461"/>
      <c r="AC35" s="461"/>
    </row>
    <row r="36" spans="1:29">
      <c r="C36" s="1552"/>
      <c r="D36" s="1553"/>
      <c r="E36" s="157" t="s">
        <v>67</v>
      </c>
      <c r="F36" s="157" t="s">
        <v>68</v>
      </c>
      <c r="G36" s="77"/>
      <c r="H36" s="77"/>
      <c r="I36" s="77"/>
      <c r="M36" s="460"/>
      <c r="N36" s="460"/>
      <c r="O36" s="460"/>
      <c r="P36" s="461"/>
      <c r="Q36" s="461"/>
      <c r="R36" s="461"/>
      <c r="S36" s="461"/>
      <c r="T36" s="462"/>
      <c r="U36" s="462"/>
      <c r="V36" s="462"/>
      <c r="W36" s="461"/>
      <c r="X36" s="461"/>
      <c r="Y36" s="461"/>
      <c r="Z36" s="461"/>
      <c r="AA36" s="461"/>
      <c r="AB36" s="461"/>
      <c r="AC36" s="461"/>
    </row>
    <row r="37" spans="1:29">
      <c r="C37" s="1552" t="s">
        <v>622</v>
      </c>
      <c r="D37" s="1553"/>
      <c r="E37" s="156">
        <v>30</v>
      </c>
      <c r="F37" s="156">
        <v>50</v>
      </c>
      <c r="G37" s="80"/>
      <c r="H37" s="80"/>
      <c r="I37" s="80"/>
      <c r="M37" s="460"/>
      <c r="N37" s="460"/>
      <c r="O37" s="460"/>
      <c r="P37" s="461"/>
      <c r="Q37" s="461"/>
      <c r="R37" s="461"/>
      <c r="S37" s="461"/>
      <c r="T37" s="462"/>
      <c r="U37" s="462"/>
      <c r="V37" s="462"/>
      <c r="W37" s="461"/>
      <c r="X37" s="461"/>
      <c r="Y37" s="461"/>
      <c r="Z37" s="461"/>
      <c r="AA37" s="461"/>
      <c r="AB37" s="461"/>
      <c r="AC37" s="461"/>
    </row>
    <row r="38" spans="1:29">
      <c r="C38" s="1552" t="s">
        <v>321</v>
      </c>
      <c r="D38" s="1553"/>
      <c r="E38" s="156">
        <v>5</v>
      </c>
      <c r="F38" s="156">
        <v>15</v>
      </c>
      <c r="G38" s="80"/>
      <c r="H38" s="80"/>
      <c r="I38" s="80"/>
      <c r="M38" s="460"/>
      <c r="N38" s="460"/>
      <c r="O38" s="460"/>
      <c r="P38" s="461"/>
      <c r="Q38" s="461"/>
      <c r="R38" s="461"/>
      <c r="S38" s="461"/>
      <c r="T38" s="462"/>
      <c r="U38" s="462"/>
      <c r="V38" s="462"/>
      <c r="W38" s="461"/>
      <c r="X38" s="461"/>
      <c r="Y38" s="461"/>
      <c r="Z38" s="461"/>
      <c r="AA38" s="461"/>
      <c r="AB38" s="461"/>
      <c r="AC38" s="461"/>
    </row>
    <row r="39" spans="1:29">
      <c r="C39" s="1552" t="s">
        <v>623</v>
      </c>
      <c r="D39" s="1553"/>
      <c r="E39" s="472">
        <v>75000</v>
      </c>
      <c r="F39" s="472">
        <v>100000</v>
      </c>
      <c r="G39" s="80"/>
      <c r="H39" s="80"/>
      <c r="I39" s="80"/>
      <c r="M39" s="460"/>
      <c r="N39" s="460"/>
      <c r="O39" s="460"/>
      <c r="P39" s="461"/>
      <c r="Q39" s="461"/>
      <c r="R39" s="461"/>
      <c r="S39" s="461"/>
      <c r="T39" s="462"/>
      <c r="U39" s="462"/>
      <c r="V39" s="462"/>
      <c r="W39" s="461"/>
      <c r="X39" s="461"/>
      <c r="Y39" s="461"/>
      <c r="Z39" s="461"/>
      <c r="AA39" s="461"/>
      <c r="AB39" s="461"/>
      <c r="AC39" s="461"/>
    </row>
    <row r="40" spans="1:29">
      <c r="C40" s="1552" t="s">
        <v>624</v>
      </c>
      <c r="D40" s="1553"/>
      <c r="E40" s="472">
        <v>32000</v>
      </c>
      <c r="F40" s="472">
        <v>190000</v>
      </c>
      <c r="G40" s="80"/>
      <c r="H40" s="80"/>
      <c r="I40" s="80"/>
      <c r="M40" s="460"/>
      <c r="N40" s="460"/>
      <c r="O40" s="460"/>
      <c r="P40" s="461"/>
      <c r="Q40" s="461"/>
      <c r="R40" s="461"/>
      <c r="S40" s="461"/>
      <c r="T40" s="462"/>
      <c r="U40" s="462"/>
      <c r="V40" s="462"/>
      <c r="W40" s="461"/>
      <c r="X40" s="461"/>
      <c r="Y40" s="461"/>
      <c r="Z40" s="461"/>
      <c r="AA40" s="461"/>
      <c r="AB40" s="461"/>
      <c r="AC40" s="461"/>
    </row>
    <row r="41" spans="1:29">
      <c r="C41" s="80"/>
      <c r="D41" s="1469"/>
      <c r="E41" s="1469"/>
      <c r="F41" s="1454"/>
      <c r="G41" s="1454"/>
      <c r="H41" s="80"/>
      <c r="M41" s="460"/>
      <c r="N41" s="460"/>
      <c r="O41" s="460"/>
      <c r="P41" s="461"/>
      <c r="Q41" s="461"/>
      <c r="R41" s="461"/>
      <c r="S41" s="461"/>
      <c r="T41" s="462"/>
      <c r="U41" s="462"/>
      <c r="V41" s="462"/>
      <c r="W41" s="461"/>
      <c r="X41" s="461"/>
      <c r="Y41" s="461"/>
      <c r="Z41" s="461"/>
      <c r="AA41" s="461"/>
      <c r="AB41" s="461"/>
      <c r="AC41" s="461"/>
    </row>
    <row r="42" spans="1:29">
      <c r="C42" s="88" t="s">
        <v>325</v>
      </c>
      <c r="D42" s="80"/>
      <c r="E42" s="80"/>
      <c r="F42" s="80"/>
      <c r="G42" s="80"/>
      <c r="H42" s="80"/>
      <c r="M42" s="460"/>
      <c r="N42" s="460"/>
      <c r="O42" s="460"/>
      <c r="P42" s="461"/>
      <c r="Q42" s="461"/>
      <c r="R42" s="461"/>
      <c r="S42" s="461"/>
      <c r="T42" s="462"/>
      <c r="U42" s="462"/>
      <c r="V42" s="462"/>
      <c r="W42" s="461"/>
      <c r="X42" s="461"/>
      <c r="Y42" s="461"/>
      <c r="Z42" s="461"/>
      <c r="AA42" s="461"/>
      <c r="AB42" s="461"/>
      <c r="AC42" s="461"/>
    </row>
    <row r="43" spans="1:29">
      <c r="C43" s="98" t="s">
        <v>625</v>
      </c>
      <c r="D43" s="99"/>
      <c r="E43" s="91"/>
      <c r="F43" s="253">
        <v>500000</v>
      </c>
      <c r="G43" s="80"/>
      <c r="H43" s="80"/>
      <c r="M43" s="460"/>
      <c r="N43" s="460"/>
      <c r="O43" s="460"/>
      <c r="P43" s="461"/>
      <c r="Q43" s="461"/>
      <c r="R43" s="461"/>
      <c r="S43" s="461"/>
      <c r="T43" s="462"/>
      <c r="U43" s="462"/>
      <c r="V43" s="462"/>
      <c r="W43" s="461"/>
      <c r="X43" s="461"/>
      <c r="Y43" s="461"/>
      <c r="Z43" s="461"/>
      <c r="AA43" s="461"/>
      <c r="AB43" s="461"/>
      <c r="AC43" s="461"/>
    </row>
    <row r="44" spans="1:29">
      <c r="C44" s="80"/>
      <c r="D44" s="80"/>
      <c r="E44" s="80"/>
      <c r="F44" s="80"/>
      <c r="G44" s="80"/>
      <c r="H44" s="80"/>
      <c r="M44" s="460"/>
      <c r="N44" s="460"/>
      <c r="O44" s="460"/>
      <c r="P44" s="461"/>
      <c r="Q44" s="461"/>
      <c r="R44" s="461"/>
      <c r="S44" s="461"/>
      <c r="T44" s="462"/>
      <c r="U44" s="462"/>
      <c r="V44" s="462"/>
      <c r="W44" s="461"/>
      <c r="X44" s="461"/>
      <c r="Y44" s="461"/>
      <c r="Z44" s="461"/>
      <c r="AA44" s="461"/>
      <c r="AB44" s="461"/>
      <c r="AC44" s="461"/>
    </row>
    <row r="45" spans="1:29">
      <c r="M45" s="460"/>
      <c r="N45" s="460"/>
      <c r="O45" s="460"/>
      <c r="P45" s="461"/>
      <c r="Q45" s="461"/>
      <c r="R45" s="461"/>
      <c r="S45" s="461"/>
      <c r="T45" s="462"/>
      <c r="U45" s="462"/>
      <c r="V45" s="462"/>
      <c r="W45" s="461"/>
      <c r="X45" s="461"/>
      <c r="Y45" s="461"/>
      <c r="Z45" s="461"/>
      <c r="AA45" s="461"/>
      <c r="AB45" s="461"/>
      <c r="AC45" s="461"/>
    </row>
    <row r="46" spans="1:29">
      <c r="A46" s="52" t="s">
        <v>246</v>
      </c>
      <c r="B46" s="55" t="s">
        <v>257</v>
      </c>
      <c r="C46" s="52" t="s">
        <v>626</v>
      </c>
      <c r="M46" s="460"/>
      <c r="N46" s="460"/>
      <c r="O46" s="460"/>
      <c r="P46" s="461"/>
      <c r="Q46" s="461"/>
      <c r="R46" s="461"/>
      <c r="S46" s="461"/>
      <c r="T46" s="462"/>
      <c r="U46" s="462"/>
      <c r="V46" s="462"/>
      <c r="W46" s="461"/>
      <c r="X46" s="461"/>
      <c r="Y46" s="461"/>
      <c r="Z46" s="461"/>
      <c r="AA46" s="461"/>
      <c r="AB46" s="461"/>
      <c r="AC46" s="461"/>
    </row>
    <row r="47" spans="1:29">
      <c r="C47" s="55"/>
      <c r="D47" s="107"/>
      <c r="M47" s="460"/>
      <c r="N47" s="460"/>
      <c r="O47" s="460"/>
      <c r="P47" s="461"/>
      <c r="Q47" s="461"/>
      <c r="R47" s="461"/>
      <c r="S47" s="461"/>
      <c r="T47" s="462"/>
      <c r="U47" s="462"/>
      <c r="V47" s="462"/>
      <c r="W47" s="461"/>
      <c r="X47" s="461"/>
      <c r="Y47" s="461"/>
      <c r="Z47" s="461"/>
      <c r="AA47" s="461"/>
      <c r="AB47" s="461"/>
      <c r="AC47" s="461"/>
    </row>
    <row r="48" spans="1:29">
      <c r="M48" s="460"/>
      <c r="N48" s="460"/>
      <c r="O48" s="460"/>
      <c r="P48" s="461"/>
      <c r="Q48" s="461"/>
      <c r="R48" s="461"/>
      <c r="S48" s="461"/>
      <c r="T48" s="462"/>
      <c r="U48" s="462"/>
      <c r="V48" s="462"/>
      <c r="W48" s="461"/>
      <c r="X48" s="461"/>
      <c r="Y48" s="461"/>
      <c r="Z48" s="461"/>
      <c r="AA48" s="461"/>
      <c r="AB48" s="461"/>
      <c r="AC48" s="461"/>
    </row>
    <row r="49" spans="1:29" ht="15.75" customHeight="1">
      <c r="C49" s="1455" t="s">
        <v>95</v>
      </c>
      <c r="D49" s="1456"/>
      <c r="E49" s="1456"/>
      <c r="F49" s="1456"/>
      <c r="G49" s="1456"/>
      <c r="H49" s="1457"/>
      <c r="I49" s="473"/>
      <c r="J49" s="473"/>
      <c r="K49" s="474"/>
      <c r="M49" s="460"/>
      <c r="N49" s="460"/>
      <c r="O49" s="460"/>
      <c r="P49" s="461"/>
      <c r="Q49" s="461"/>
      <c r="R49" s="461"/>
      <c r="S49" s="461"/>
      <c r="T49" s="462"/>
      <c r="U49" s="462"/>
      <c r="V49" s="462"/>
      <c r="W49" s="461"/>
      <c r="X49" s="461"/>
      <c r="Y49" s="461"/>
      <c r="Z49" s="461"/>
      <c r="AA49" s="461"/>
      <c r="AB49" s="461"/>
      <c r="AC49" s="461"/>
    </row>
    <row r="50" spans="1:29">
      <c r="C50" s="1458"/>
      <c r="D50" s="1459"/>
      <c r="E50" s="1459"/>
      <c r="F50" s="1459"/>
      <c r="G50" s="1459"/>
      <c r="H50" s="1460"/>
      <c r="I50" s="473"/>
      <c r="J50" s="473"/>
      <c r="K50" s="474"/>
      <c r="M50" s="460"/>
      <c r="N50" s="460"/>
      <c r="O50" s="460"/>
      <c r="P50" s="461"/>
      <c r="Q50" s="461"/>
      <c r="R50" s="461"/>
      <c r="S50" s="461"/>
      <c r="T50" s="462"/>
      <c r="U50" s="462"/>
      <c r="V50" s="462"/>
      <c r="W50" s="461"/>
      <c r="X50" s="461"/>
      <c r="Y50" s="461"/>
      <c r="Z50" s="461"/>
      <c r="AA50" s="461"/>
      <c r="AB50" s="461"/>
      <c r="AC50" s="461"/>
    </row>
    <row r="51" spans="1:29">
      <c r="M51" s="460"/>
      <c r="N51" s="460"/>
      <c r="O51" s="460"/>
      <c r="P51" s="461"/>
      <c r="Q51" s="461"/>
      <c r="R51" s="461"/>
      <c r="S51" s="461"/>
      <c r="T51" s="462"/>
      <c r="U51" s="462"/>
      <c r="V51" s="462"/>
      <c r="W51" s="461"/>
      <c r="X51" s="461"/>
      <c r="Y51" s="461"/>
      <c r="Z51" s="461"/>
      <c r="AA51" s="461"/>
      <c r="AB51" s="461"/>
      <c r="AC51" s="461"/>
    </row>
    <row r="52" spans="1:29">
      <c r="C52" s="52" t="s">
        <v>627</v>
      </c>
      <c r="M52" s="460"/>
      <c r="N52" s="460"/>
      <c r="O52" s="460"/>
      <c r="P52" s="461"/>
      <c r="Q52" s="461"/>
      <c r="R52" s="461"/>
      <c r="S52" s="461"/>
      <c r="T52" s="462"/>
      <c r="U52" s="462"/>
      <c r="V52" s="462"/>
      <c r="W52" s="461"/>
      <c r="X52" s="461"/>
      <c r="Y52" s="461"/>
      <c r="Z52" s="461"/>
      <c r="AA52" s="461"/>
      <c r="AB52" s="461"/>
      <c r="AC52" s="461"/>
    </row>
    <row r="53" spans="1:29">
      <c r="C53" s="254" t="s">
        <v>628</v>
      </c>
      <c r="M53" s="460"/>
      <c r="N53" s="460"/>
      <c r="O53" s="460"/>
      <c r="P53" s="461"/>
      <c r="Q53" s="461"/>
      <c r="R53" s="461"/>
      <c r="S53" s="461"/>
      <c r="T53" s="462"/>
      <c r="U53" s="462"/>
      <c r="V53" s="462"/>
      <c r="W53" s="461"/>
      <c r="X53" s="461"/>
      <c r="Y53" s="461"/>
      <c r="Z53" s="461"/>
      <c r="AA53" s="461"/>
      <c r="AB53" s="461"/>
      <c r="AC53" s="461"/>
    </row>
    <row r="54" spans="1:29">
      <c r="C54" s="260"/>
      <c r="D54" s="52" t="s">
        <v>629</v>
      </c>
      <c r="M54" s="460"/>
      <c r="N54" s="460"/>
      <c r="O54" s="460"/>
      <c r="P54" s="461"/>
      <c r="Q54" s="461"/>
      <c r="R54" s="461"/>
      <c r="S54" s="461"/>
      <c r="T54" s="462"/>
      <c r="U54" s="462"/>
      <c r="V54" s="462"/>
      <c r="W54" s="461"/>
      <c r="X54" s="461"/>
      <c r="Y54" s="461"/>
      <c r="Z54" s="461"/>
      <c r="AA54" s="461"/>
      <c r="AB54" s="461"/>
      <c r="AC54" s="461"/>
    </row>
    <row r="55" spans="1:29">
      <c r="C55" s="254" t="s">
        <v>630</v>
      </c>
    </row>
    <row r="56" spans="1:29">
      <c r="C56" s="254" t="s">
        <v>631</v>
      </c>
      <c r="N56" s="106"/>
    </row>
    <row r="57" spans="1:29">
      <c r="C57" s="254" t="s">
        <v>632</v>
      </c>
      <c r="P57" s="457"/>
      <c r="Q57" s="457"/>
      <c r="R57" s="457"/>
      <c r="Y57" s="456"/>
      <c r="Z57" s="456"/>
      <c r="AB57" s="456"/>
      <c r="AC57" s="456"/>
    </row>
    <row r="58" spans="1:29">
      <c r="C58" s="254" t="s">
        <v>633</v>
      </c>
      <c r="M58" s="458"/>
      <c r="N58" s="459"/>
      <c r="O58" s="459"/>
      <c r="P58" s="459"/>
      <c r="Q58" s="459"/>
      <c r="R58" s="459"/>
      <c r="S58" s="459"/>
      <c r="T58" s="459"/>
      <c r="U58" s="459"/>
      <c r="V58" s="459"/>
      <c r="W58" s="459"/>
      <c r="X58" s="459"/>
      <c r="Y58" s="459"/>
      <c r="Z58" s="459"/>
      <c r="AA58" s="459"/>
      <c r="AB58" s="459"/>
      <c r="AC58" s="459"/>
    </row>
    <row r="59" spans="1:29">
      <c r="M59" s="460"/>
      <c r="N59" s="459"/>
      <c r="O59" s="459"/>
      <c r="P59" s="461"/>
      <c r="Q59" s="459"/>
      <c r="R59" s="459"/>
      <c r="S59" s="459"/>
      <c r="T59" s="459"/>
      <c r="U59" s="459"/>
      <c r="V59" s="459"/>
      <c r="W59" s="459"/>
      <c r="X59" s="459"/>
      <c r="AA59" s="459"/>
    </row>
    <row r="60" spans="1:29">
      <c r="A60" s="52" t="s">
        <v>6</v>
      </c>
      <c r="B60" s="55" t="s">
        <v>257</v>
      </c>
      <c r="C60" s="52" t="s">
        <v>634</v>
      </c>
      <c r="M60" s="460"/>
      <c r="N60" s="460"/>
      <c r="O60" s="460"/>
      <c r="P60" s="461"/>
      <c r="Q60" s="461"/>
      <c r="R60" s="461"/>
      <c r="S60" s="461"/>
      <c r="T60" s="462"/>
      <c r="U60" s="462"/>
      <c r="V60" s="462"/>
      <c r="W60" s="461"/>
      <c r="X60" s="461"/>
      <c r="Y60" s="461"/>
      <c r="Z60" s="461"/>
      <c r="AA60" s="461"/>
      <c r="AB60" s="461"/>
      <c r="AC60" s="461"/>
    </row>
    <row r="61" spans="1:29" ht="15.75" customHeight="1">
      <c r="M61" s="460"/>
      <c r="N61" s="460"/>
      <c r="O61" s="460"/>
      <c r="P61" s="461"/>
      <c r="Q61" s="461"/>
      <c r="R61" s="461"/>
      <c r="S61" s="461"/>
      <c r="T61" s="462"/>
      <c r="U61" s="462"/>
      <c r="V61" s="462"/>
      <c r="W61" s="461"/>
      <c r="X61" s="461"/>
      <c r="Y61" s="461"/>
      <c r="Z61" s="461"/>
      <c r="AA61" s="461"/>
      <c r="AB61" s="461"/>
      <c r="AC61" s="461"/>
    </row>
    <row r="62" spans="1:29" ht="15.75" customHeight="1">
      <c r="C62" s="1455" t="s">
        <v>95</v>
      </c>
      <c r="D62" s="1456"/>
      <c r="E62" s="1456"/>
      <c r="F62" s="1456"/>
      <c r="G62" s="1456"/>
      <c r="H62" s="1457"/>
      <c r="I62" s="473"/>
      <c r="J62" s="473"/>
      <c r="K62" s="474"/>
      <c r="M62" s="460"/>
      <c r="N62" s="460"/>
      <c r="O62" s="460"/>
      <c r="P62" s="461"/>
      <c r="Q62" s="461"/>
      <c r="R62" s="461"/>
      <c r="S62" s="461"/>
      <c r="T62" s="462"/>
      <c r="U62" s="462"/>
      <c r="V62" s="462"/>
      <c r="W62" s="461"/>
      <c r="X62" s="461"/>
      <c r="Y62" s="461"/>
      <c r="Z62" s="461"/>
      <c r="AA62" s="461"/>
      <c r="AB62" s="461"/>
      <c r="AC62" s="461"/>
    </row>
    <row r="63" spans="1:29">
      <c r="C63" s="1458"/>
      <c r="D63" s="1459"/>
      <c r="E63" s="1459"/>
      <c r="F63" s="1459"/>
      <c r="G63" s="1459"/>
      <c r="H63" s="1460"/>
      <c r="I63" s="473"/>
      <c r="J63" s="473"/>
      <c r="K63" s="474"/>
      <c r="M63" s="460"/>
      <c r="N63" s="460"/>
      <c r="O63" s="460"/>
      <c r="P63" s="461"/>
      <c r="Q63" s="461"/>
      <c r="R63" s="461"/>
      <c r="S63" s="461"/>
      <c r="T63" s="462"/>
      <c r="U63" s="462"/>
      <c r="V63" s="462"/>
      <c r="W63" s="461"/>
      <c r="X63" s="461"/>
      <c r="Y63" s="461"/>
      <c r="Z63" s="461"/>
      <c r="AA63" s="461"/>
      <c r="AB63" s="461"/>
      <c r="AC63" s="461"/>
    </row>
    <row r="64" spans="1:29">
      <c r="M64" s="460"/>
      <c r="N64" s="460"/>
      <c r="O64" s="460"/>
      <c r="P64" s="461"/>
      <c r="Q64" s="461"/>
      <c r="R64" s="461"/>
      <c r="S64" s="461"/>
      <c r="T64" s="462"/>
      <c r="U64" s="462"/>
      <c r="V64" s="462"/>
      <c r="W64" s="461"/>
      <c r="X64" s="461"/>
      <c r="Y64" s="461"/>
      <c r="Z64" s="461"/>
      <c r="AA64" s="461"/>
      <c r="AB64" s="461"/>
      <c r="AC64" s="461"/>
    </row>
    <row r="65" spans="13:29">
      <c r="M65" s="460"/>
      <c r="N65" s="460"/>
      <c r="O65" s="460"/>
      <c r="P65" s="461"/>
      <c r="Q65" s="461"/>
      <c r="R65" s="461"/>
      <c r="S65" s="461"/>
      <c r="T65" s="462"/>
      <c r="U65" s="462"/>
      <c r="V65" s="462"/>
      <c r="W65" s="461"/>
      <c r="X65" s="461"/>
      <c r="Y65" s="461"/>
      <c r="Z65" s="461"/>
      <c r="AA65" s="461"/>
      <c r="AB65" s="461"/>
      <c r="AC65" s="461"/>
    </row>
    <row r="66" spans="13:29">
      <c r="M66" s="460"/>
      <c r="N66" s="460"/>
      <c r="O66" s="460"/>
      <c r="P66" s="461"/>
      <c r="Q66" s="461"/>
      <c r="R66" s="461"/>
      <c r="S66" s="461"/>
      <c r="T66" s="462"/>
      <c r="U66" s="462"/>
      <c r="V66" s="462"/>
      <c r="W66" s="461"/>
      <c r="X66" s="461"/>
      <c r="Y66" s="461"/>
      <c r="Z66" s="461"/>
      <c r="AA66" s="461"/>
      <c r="AB66" s="461"/>
      <c r="AC66" s="461"/>
    </row>
    <row r="67" spans="13:29">
      <c r="M67" s="460"/>
      <c r="N67" s="460"/>
      <c r="O67" s="460"/>
      <c r="P67" s="461"/>
      <c r="Q67" s="461"/>
      <c r="R67" s="461"/>
      <c r="S67" s="461"/>
      <c r="T67" s="462"/>
      <c r="U67" s="462"/>
      <c r="V67" s="462"/>
      <c r="W67" s="461"/>
      <c r="X67" s="461"/>
      <c r="Y67" s="461"/>
      <c r="Z67" s="461"/>
      <c r="AA67" s="461"/>
      <c r="AB67" s="461"/>
      <c r="AC67" s="461"/>
    </row>
    <row r="68" spans="13:29">
      <c r="M68" s="460"/>
      <c r="N68" s="460"/>
      <c r="O68" s="460"/>
      <c r="P68" s="461"/>
      <c r="Q68" s="461"/>
      <c r="R68" s="461"/>
      <c r="S68" s="461"/>
      <c r="T68" s="462"/>
      <c r="U68" s="462"/>
      <c r="V68" s="462"/>
      <c r="W68" s="461"/>
      <c r="X68" s="461"/>
      <c r="Y68" s="461"/>
      <c r="Z68" s="461"/>
      <c r="AA68" s="461"/>
      <c r="AB68" s="461"/>
      <c r="AC68" s="461"/>
    </row>
    <row r="69" spans="13:29">
      <c r="M69" s="460"/>
      <c r="N69" s="460"/>
      <c r="O69" s="460"/>
      <c r="P69" s="461"/>
      <c r="Q69" s="461"/>
      <c r="R69" s="461"/>
      <c r="S69" s="461"/>
      <c r="T69" s="462"/>
      <c r="U69" s="462"/>
      <c r="V69" s="462"/>
      <c r="W69" s="461"/>
      <c r="X69" s="461"/>
      <c r="Y69" s="461"/>
      <c r="Z69" s="461"/>
      <c r="AA69" s="461"/>
      <c r="AB69" s="461"/>
      <c r="AC69" s="461"/>
    </row>
    <row r="70" spans="13:29">
      <c r="M70" s="460"/>
      <c r="N70" s="460"/>
      <c r="O70" s="460"/>
      <c r="P70" s="461"/>
      <c r="Q70" s="461"/>
      <c r="R70" s="461"/>
      <c r="S70" s="461"/>
      <c r="T70" s="462"/>
      <c r="U70" s="462"/>
      <c r="V70" s="462"/>
      <c r="W70" s="461"/>
      <c r="X70" s="461"/>
      <c r="Y70" s="461"/>
      <c r="Z70" s="461"/>
      <c r="AA70" s="461"/>
      <c r="AB70" s="461"/>
      <c r="AC70" s="461"/>
    </row>
    <row r="71" spans="13:29">
      <c r="M71" s="460"/>
      <c r="N71" s="460"/>
      <c r="O71" s="460"/>
      <c r="P71" s="461"/>
      <c r="Q71" s="461"/>
      <c r="R71" s="461"/>
      <c r="S71" s="461"/>
      <c r="T71" s="462"/>
      <c r="U71" s="462"/>
      <c r="V71" s="462"/>
      <c r="W71" s="461"/>
      <c r="X71" s="461"/>
      <c r="Y71" s="461"/>
      <c r="Z71" s="461"/>
      <c r="AA71" s="461"/>
      <c r="AB71" s="461"/>
      <c r="AC71" s="461"/>
    </row>
    <row r="72" spans="13:29">
      <c r="M72" s="460"/>
      <c r="N72" s="460"/>
      <c r="O72" s="460"/>
      <c r="P72" s="461"/>
      <c r="Q72" s="461"/>
      <c r="R72" s="461"/>
      <c r="S72" s="461"/>
      <c r="T72" s="462"/>
      <c r="U72" s="462"/>
      <c r="V72" s="462"/>
      <c r="W72" s="461"/>
      <c r="X72" s="461"/>
      <c r="Y72" s="461"/>
      <c r="Z72" s="461"/>
      <c r="AA72" s="461"/>
      <c r="AB72" s="461"/>
      <c r="AC72" s="461"/>
    </row>
    <row r="73" spans="13:29">
      <c r="M73" s="460"/>
      <c r="N73" s="460"/>
      <c r="O73" s="460"/>
      <c r="P73" s="461"/>
      <c r="Q73" s="461"/>
      <c r="R73" s="461"/>
      <c r="S73" s="461"/>
      <c r="T73" s="462"/>
      <c r="U73" s="462"/>
      <c r="V73" s="462"/>
      <c r="W73" s="461"/>
      <c r="X73" s="461"/>
      <c r="Y73" s="461"/>
      <c r="Z73" s="461"/>
      <c r="AA73" s="461"/>
      <c r="AB73" s="461"/>
      <c r="AC73" s="461"/>
    </row>
    <row r="74" spans="13:29">
      <c r="M74" s="460"/>
      <c r="N74" s="460"/>
      <c r="O74" s="460"/>
      <c r="P74" s="461"/>
      <c r="Q74" s="461"/>
      <c r="R74" s="461"/>
      <c r="S74" s="461"/>
      <c r="T74" s="462"/>
      <c r="U74" s="462"/>
      <c r="V74" s="462"/>
      <c r="W74" s="461"/>
      <c r="X74" s="461"/>
      <c r="Y74" s="461"/>
      <c r="Z74" s="461"/>
      <c r="AA74" s="461"/>
      <c r="AB74" s="461"/>
      <c r="AC74" s="461"/>
    </row>
    <row r="75" spans="13:29">
      <c r="M75" s="460"/>
      <c r="N75" s="460"/>
      <c r="O75" s="460"/>
      <c r="P75" s="461"/>
      <c r="Q75" s="461"/>
      <c r="R75" s="461"/>
      <c r="S75" s="461"/>
      <c r="T75" s="462"/>
      <c r="U75" s="462"/>
      <c r="V75" s="462"/>
      <c r="W75" s="461"/>
      <c r="X75" s="461"/>
      <c r="Y75" s="461"/>
      <c r="Z75" s="461"/>
      <c r="AA75" s="461"/>
      <c r="AB75" s="461"/>
      <c r="AC75" s="461"/>
    </row>
    <row r="76" spans="13:29">
      <c r="M76" s="460"/>
      <c r="N76" s="460"/>
      <c r="O76" s="460"/>
      <c r="P76" s="461"/>
      <c r="Q76" s="461"/>
      <c r="R76" s="461"/>
      <c r="S76" s="461"/>
      <c r="T76" s="462"/>
      <c r="U76" s="462"/>
      <c r="V76" s="462"/>
      <c r="W76" s="461"/>
      <c r="X76" s="461"/>
      <c r="Y76" s="461"/>
      <c r="Z76" s="461"/>
      <c r="AA76" s="461"/>
      <c r="AB76" s="461"/>
      <c r="AC76" s="461"/>
    </row>
    <row r="77" spans="13:29">
      <c r="M77" s="460"/>
      <c r="N77" s="460"/>
      <c r="O77" s="460"/>
      <c r="P77" s="461"/>
      <c r="Q77" s="461"/>
      <c r="R77" s="461"/>
      <c r="S77" s="461"/>
      <c r="T77" s="462"/>
      <c r="U77" s="462"/>
      <c r="V77" s="462"/>
      <c r="W77" s="461"/>
      <c r="X77" s="461"/>
      <c r="Y77" s="461"/>
      <c r="Z77" s="461"/>
      <c r="AA77" s="461"/>
      <c r="AB77" s="461"/>
      <c r="AC77" s="461"/>
    </row>
    <row r="78" spans="13:29">
      <c r="O78" s="460"/>
      <c r="P78" s="461"/>
      <c r="Q78" s="461"/>
      <c r="R78" s="461"/>
      <c r="S78" s="461"/>
      <c r="T78" s="462"/>
      <c r="U78" s="462"/>
      <c r="V78" s="462"/>
      <c r="W78" s="461"/>
      <c r="X78" s="461"/>
      <c r="Y78" s="461"/>
      <c r="Z78" s="461"/>
      <c r="AA78" s="461"/>
      <c r="AB78" s="461"/>
      <c r="AC78" s="461"/>
    </row>
    <row r="79" spans="13:29">
      <c r="M79" s="460"/>
      <c r="N79" s="460"/>
      <c r="O79" s="460"/>
      <c r="P79" s="461"/>
      <c r="Q79" s="461"/>
      <c r="R79" s="461"/>
      <c r="S79" s="461"/>
      <c r="T79" s="462"/>
      <c r="U79" s="462"/>
      <c r="V79" s="462"/>
      <c r="W79" s="461"/>
      <c r="X79" s="461"/>
      <c r="Y79" s="461"/>
      <c r="Z79" s="461"/>
      <c r="AA79" s="461"/>
      <c r="AB79" s="461"/>
      <c r="AC79" s="461"/>
    </row>
    <row r="80" spans="13:29">
      <c r="N80" s="58"/>
      <c r="O80" s="460"/>
      <c r="P80" s="461"/>
      <c r="Q80" s="461"/>
      <c r="R80" s="461"/>
      <c r="S80" s="461"/>
      <c r="T80" s="462"/>
      <c r="U80" s="462"/>
      <c r="V80" s="462"/>
      <c r="W80" s="461"/>
      <c r="X80" s="461"/>
      <c r="Y80" s="461"/>
      <c r="Z80" s="461"/>
      <c r="AA80" s="461"/>
      <c r="AB80" s="461"/>
      <c r="AC80" s="461"/>
    </row>
    <row r="81" spans="13:29">
      <c r="M81" s="454"/>
      <c r="N81" s="58"/>
      <c r="O81" s="460"/>
      <c r="P81" s="461"/>
      <c r="Q81" s="461"/>
      <c r="R81" s="461"/>
      <c r="S81" s="461"/>
      <c r="T81" s="462"/>
      <c r="U81" s="462"/>
      <c r="V81" s="462"/>
      <c r="W81" s="461"/>
      <c r="X81" s="461"/>
      <c r="Y81" s="461"/>
      <c r="Z81" s="461"/>
      <c r="AA81" s="461"/>
      <c r="AB81" s="461"/>
      <c r="AC81" s="461"/>
    </row>
    <row r="82" spans="13:29">
      <c r="M82" s="454"/>
      <c r="N82" s="58"/>
      <c r="O82" s="460"/>
      <c r="P82" s="461"/>
      <c r="Q82" s="461"/>
      <c r="R82" s="461"/>
      <c r="S82" s="461"/>
      <c r="T82" s="462"/>
      <c r="U82" s="462"/>
      <c r="V82" s="462"/>
      <c r="W82" s="461"/>
      <c r="X82" s="461"/>
      <c r="Y82" s="461"/>
      <c r="Z82" s="461"/>
      <c r="AA82" s="461"/>
      <c r="AB82" s="461"/>
      <c r="AC82" s="461"/>
    </row>
    <row r="83" spans="13:29">
      <c r="M83" s="56"/>
      <c r="N83" s="455"/>
      <c r="O83" s="460"/>
      <c r="P83" s="461"/>
      <c r="Q83" s="461"/>
      <c r="R83" s="461"/>
      <c r="S83" s="461"/>
      <c r="T83" s="462"/>
      <c r="U83" s="462"/>
      <c r="V83" s="462"/>
      <c r="W83" s="461"/>
      <c r="X83" s="461"/>
      <c r="Y83" s="461"/>
      <c r="Z83" s="461"/>
      <c r="AA83" s="461"/>
      <c r="AB83" s="461"/>
      <c r="AC83" s="461"/>
    </row>
    <row r="84" spans="13:29">
      <c r="M84" s="454"/>
      <c r="N84" s="58"/>
      <c r="O84" s="475"/>
      <c r="P84" s="461"/>
      <c r="Q84" s="461"/>
      <c r="R84" s="461"/>
      <c r="S84" s="461"/>
      <c r="T84" s="462"/>
      <c r="U84" s="462"/>
      <c r="V84" s="462"/>
      <c r="W84" s="461"/>
      <c r="X84" s="461"/>
      <c r="Y84" s="461"/>
      <c r="Z84" s="461"/>
      <c r="AA84" s="461"/>
      <c r="AB84" s="461"/>
      <c r="AC84" s="461"/>
    </row>
    <row r="85" spans="13:29">
      <c r="M85" s="56"/>
      <c r="N85" s="455"/>
      <c r="O85" s="106"/>
      <c r="P85" s="461"/>
      <c r="Q85" s="461"/>
      <c r="W85" s="461"/>
      <c r="X85" s="461"/>
      <c r="Y85" s="461"/>
      <c r="Z85" s="461"/>
      <c r="AA85" s="461"/>
      <c r="AB85" s="461"/>
      <c r="AC85" s="461"/>
    </row>
    <row r="86" spans="13:29">
      <c r="O86" s="460"/>
      <c r="P86" s="461"/>
      <c r="Q86" s="461"/>
      <c r="R86" s="461"/>
      <c r="S86" s="461"/>
      <c r="T86" s="462"/>
      <c r="U86" s="462"/>
      <c r="V86" s="462"/>
      <c r="W86" s="461"/>
      <c r="X86" s="461"/>
      <c r="Y86" s="461"/>
      <c r="Z86" s="461"/>
      <c r="AA86" s="461"/>
      <c r="AB86" s="461"/>
      <c r="AC86" s="461"/>
    </row>
    <row r="87" spans="13:29">
      <c r="N87" s="106"/>
    </row>
    <row r="88" spans="13:29">
      <c r="P88" s="457"/>
      <c r="Q88" s="457"/>
      <c r="R88" s="457"/>
      <c r="Y88" s="456"/>
      <c r="Z88" s="456"/>
      <c r="AB88" s="456"/>
      <c r="AC88" s="456"/>
    </row>
    <row r="89" spans="13:29">
      <c r="M89" s="458"/>
      <c r="N89" s="459"/>
      <c r="O89" s="459"/>
      <c r="P89" s="459"/>
      <c r="Q89" s="459"/>
      <c r="R89" s="459"/>
      <c r="S89" s="459"/>
      <c r="T89" s="459"/>
      <c r="U89" s="459"/>
      <c r="V89" s="459"/>
      <c r="W89" s="459"/>
      <c r="X89" s="459"/>
      <c r="Y89" s="459"/>
      <c r="Z89" s="459"/>
      <c r="AA89" s="459"/>
      <c r="AB89" s="459"/>
      <c r="AC89" s="459"/>
    </row>
    <row r="90" spans="13:29">
      <c r="M90" s="460"/>
      <c r="N90" s="459"/>
      <c r="O90" s="459"/>
      <c r="P90" s="461"/>
      <c r="Q90" s="461"/>
      <c r="R90" s="459"/>
      <c r="S90" s="459"/>
      <c r="T90" s="459"/>
      <c r="U90" s="459"/>
      <c r="V90" s="459"/>
      <c r="W90" s="459"/>
      <c r="X90" s="459"/>
      <c r="AA90" s="459"/>
    </row>
    <row r="91" spans="13:29">
      <c r="M91" s="460"/>
      <c r="N91" s="460"/>
      <c r="O91" s="460"/>
      <c r="P91" s="461"/>
      <c r="Q91" s="461"/>
      <c r="R91" s="461"/>
      <c r="S91" s="461"/>
      <c r="T91" s="462"/>
      <c r="U91" s="462"/>
      <c r="V91" s="462"/>
      <c r="W91" s="461"/>
      <c r="X91" s="461"/>
      <c r="Y91" s="461"/>
      <c r="Z91" s="461"/>
      <c r="AA91" s="461"/>
      <c r="AB91" s="461"/>
      <c r="AC91" s="461"/>
    </row>
    <row r="92" spans="13:29">
      <c r="M92" s="460"/>
      <c r="N92" s="460"/>
      <c r="O92" s="460"/>
      <c r="P92" s="461"/>
      <c r="Q92" s="461"/>
      <c r="R92" s="461"/>
      <c r="S92" s="461"/>
      <c r="T92" s="462"/>
      <c r="U92" s="462"/>
      <c r="V92" s="462"/>
      <c r="W92" s="461"/>
      <c r="X92" s="461"/>
      <c r="Y92" s="461"/>
      <c r="Z92" s="461"/>
      <c r="AA92" s="461"/>
      <c r="AB92" s="461"/>
      <c r="AC92" s="461"/>
    </row>
    <row r="93" spans="13:29">
      <c r="M93" s="460"/>
      <c r="N93" s="460"/>
      <c r="O93" s="460"/>
      <c r="P93" s="461"/>
      <c r="Q93" s="461"/>
      <c r="R93" s="461"/>
      <c r="S93" s="461"/>
      <c r="T93" s="462"/>
      <c r="U93" s="462"/>
      <c r="V93" s="462"/>
      <c r="W93" s="461"/>
      <c r="X93" s="461"/>
      <c r="Y93" s="461"/>
      <c r="Z93" s="461"/>
      <c r="AA93" s="461"/>
      <c r="AB93" s="461"/>
      <c r="AC93" s="461"/>
    </row>
    <row r="94" spans="13:29">
      <c r="M94" s="460"/>
      <c r="N94" s="460"/>
      <c r="O94" s="460"/>
      <c r="P94" s="461"/>
      <c r="Q94" s="461"/>
      <c r="R94" s="461"/>
      <c r="S94" s="461"/>
      <c r="T94" s="462"/>
      <c r="U94" s="462"/>
      <c r="V94" s="462"/>
      <c r="W94" s="461"/>
      <c r="X94" s="461"/>
      <c r="Y94" s="461"/>
      <c r="Z94" s="461"/>
      <c r="AA94" s="461"/>
      <c r="AB94" s="461"/>
      <c r="AC94" s="461"/>
    </row>
    <row r="95" spans="13:29">
      <c r="M95" s="460"/>
      <c r="N95" s="460"/>
      <c r="O95" s="460"/>
      <c r="P95" s="461"/>
      <c r="Q95" s="461"/>
      <c r="R95" s="461"/>
      <c r="S95" s="461"/>
      <c r="T95" s="462"/>
      <c r="U95" s="462"/>
      <c r="V95" s="462"/>
      <c r="W95" s="461"/>
      <c r="X95" s="461"/>
      <c r="Y95" s="461"/>
      <c r="Z95" s="461"/>
      <c r="AA95" s="461"/>
      <c r="AB95" s="461"/>
      <c r="AC95" s="461"/>
    </row>
    <row r="96" spans="13:29">
      <c r="M96" s="460"/>
      <c r="N96" s="460"/>
      <c r="O96" s="460"/>
      <c r="P96" s="461"/>
      <c r="Q96" s="461"/>
      <c r="R96" s="461"/>
      <c r="S96" s="461"/>
      <c r="T96" s="462"/>
      <c r="U96" s="462"/>
      <c r="V96" s="462"/>
      <c r="W96" s="461"/>
      <c r="X96" s="461"/>
      <c r="Y96" s="461"/>
      <c r="Z96" s="461"/>
      <c r="AA96" s="461"/>
      <c r="AB96" s="461"/>
      <c r="AC96" s="461"/>
    </row>
    <row r="97" spans="13:29">
      <c r="M97" s="460"/>
      <c r="N97" s="460"/>
      <c r="O97" s="460"/>
      <c r="P97" s="461"/>
      <c r="Q97" s="461"/>
      <c r="R97" s="461"/>
      <c r="S97" s="461"/>
      <c r="T97" s="462"/>
      <c r="U97" s="462"/>
      <c r="V97" s="462"/>
      <c r="W97" s="461"/>
      <c r="X97" s="461"/>
      <c r="Y97" s="461"/>
      <c r="Z97" s="461"/>
      <c r="AA97" s="461"/>
      <c r="AB97" s="461"/>
      <c r="AC97" s="461"/>
    </row>
    <row r="98" spans="13:29">
      <c r="M98" s="460"/>
      <c r="N98" s="460"/>
      <c r="O98" s="460"/>
      <c r="P98" s="461"/>
      <c r="Q98" s="461"/>
      <c r="R98" s="461"/>
      <c r="S98" s="461"/>
      <c r="T98" s="462"/>
      <c r="U98" s="462"/>
      <c r="V98" s="462"/>
      <c r="W98" s="461"/>
      <c r="X98" s="461"/>
      <c r="Y98" s="461"/>
      <c r="Z98" s="461"/>
      <c r="AA98" s="461"/>
      <c r="AB98" s="461"/>
      <c r="AC98" s="461"/>
    </row>
    <row r="99" spans="13:29">
      <c r="M99" s="460"/>
      <c r="N99" s="460"/>
      <c r="O99" s="460"/>
      <c r="P99" s="461"/>
      <c r="Q99" s="461"/>
      <c r="R99" s="461"/>
      <c r="S99" s="461"/>
      <c r="T99" s="462"/>
      <c r="U99" s="462"/>
      <c r="V99" s="462"/>
      <c r="W99" s="461"/>
      <c r="X99" s="461"/>
      <c r="Y99" s="461"/>
      <c r="Z99" s="461"/>
      <c r="AA99" s="461"/>
      <c r="AB99" s="461"/>
      <c r="AC99" s="461"/>
    </row>
    <row r="100" spans="13:29">
      <c r="M100" s="460"/>
      <c r="N100" s="460"/>
      <c r="O100" s="460"/>
      <c r="P100" s="461"/>
      <c r="Q100" s="461"/>
      <c r="R100" s="461"/>
      <c r="S100" s="461"/>
      <c r="T100" s="462"/>
      <c r="U100" s="462"/>
      <c r="V100" s="462"/>
      <c r="W100" s="461"/>
      <c r="X100" s="461"/>
      <c r="Y100" s="461"/>
      <c r="Z100" s="461"/>
      <c r="AA100" s="461"/>
      <c r="AB100" s="461"/>
      <c r="AC100" s="461"/>
    </row>
    <row r="101" spans="13:29">
      <c r="M101" s="460"/>
      <c r="N101" s="460"/>
      <c r="O101" s="460"/>
      <c r="P101" s="461"/>
      <c r="Q101" s="461"/>
      <c r="R101" s="461"/>
      <c r="S101" s="461"/>
      <c r="T101" s="462"/>
      <c r="U101" s="462"/>
      <c r="V101" s="462"/>
      <c r="W101" s="461"/>
      <c r="X101" s="461"/>
      <c r="Y101" s="461"/>
      <c r="Z101" s="461"/>
      <c r="AA101" s="461"/>
      <c r="AB101" s="461"/>
      <c r="AC101" s="461"/>
    </row>
    <row r="102" spans="13:29">
      <c r="M102" s="460"/>
      <c r="N102" s="460"/>
      <c r="O102" s="460"/>
      <c r="P102" s="461"/>
      <c r="Q102" s="461"/>
      <c r="R102" s="461"/>
      <c r="S102" s="461"/>
      <c r="T102" s="462"/>
      <c r="U102" s="462"/>
      <c r="V102" s="462"/>
      <c r="W102" s="461"/>
      <c r="X102" s="461"/>
      <c r="Y102" s="461"/>
      <c r="Z102" s="461"/>
      <c r="AA102" s="461"/>
      <c r="AB102" s="461"/>
      <c r="AC102" s="461"/>
    </row>
    <row r="103" spans="13:29">
      <c r="M103" s="460"/>
      <c r="N103" s="460"/>
      <c r="O103" s="460"/>
      <c r="P103" s="461"/>
      <c r="Q103" s="461"/>
      <c r="R103" s="461"/>
      <c r="S103" s="461"/>
      <c r="T103" s="462"/>
      <c r="U103" s="462"/>
      <c r="V103" s="462"/>
      <c r="W103" s="461"/>
      <c r="X103" s="461"/>
      <c r="Y103" s="461"/>
      <c r="Z103" s="461"/>
      <c r="AA103" s="461"/>
      <c r="AB103" s="461"/>
      <c r="AC103" s="461"/>
    </row>
    <row r="104" spans="13:29">
      <c r="M104" s="460"/>
      <c r="N104" s="460"/>
      <c r="O104" s="460"/>
      <c r="P104" s="461"/>
      <c r="Q104" s="461"/>
      <c r="R104" s="461"/>
      <c r="S104" s="461"/>
      <c r="T104" s="462"/>
      <c r="U104" s="462"/>
      <c r="V104" s="462"/>
      <c r="W104" s="461"/>
      <c r="X104" s="461"/>
      <c r="Y104" s="461"/>
      <c r="Z104" s="461"/>
      <c r="AA104" s="461"/>
      <c r="AB104" s="461"/>
      <c r="AC104" s="461"/>
    </row>
    <row r="105" spans="13:29">
      <c r="M105" s="460"/>
      <c r="N105" s="460"/>
      <c r="O105" s="460"/>
      <c r="P105" s="461"/>
      <c r="Q105" s="461"/>
      <c r="R105" s="461"/>
      <c r="S105" s="461"/>
      <c r="T105" s="462"/>
      <c r="U105" s="462"/>
      <c r="V105" s="462"/>
      <c r="W105" s="461"/>
      <c r="X105" s="461"/>
      <c r="Y105" s="461"/>
      <c r="Z105" s="461"/>
      <c r="AA105" s="461"/>
      <c r="AB105" s="461"/>
      <c r="AC105" s="461"/>
    </row>
    <row r="106" spans="13:29">
      <c r="M106" s="460"/>
      <c r="N106" s="460"/>
      <c r="O106" s="460"/>
      <c r="P106" s="461"/>
      <c r="Q106" s="461"/>
      <c r="R106" s="461"/>
      <c r="S106" s="461"/>
      <c r="T106" s="462"/>
      <c r="U106" s="462"/>
      <c r="V106" s="462"/>
      <c r="W106" s="461"/>
      <c r="X106" s="461"/>
      <c r="Y106" s="461"/>
      <c r="Z106" s="461"/>
      <c r="AA106" s="461"/>
      <c r="AB106" s="461"/>
      <c r="AC106" s="461"/>
    </row>
    <row r="107" spans="13:29">
      <c r="M107" s="460"/>
      <c r="N107" s="460"/>
      <c r="O107" s="460"/>
      <c r="P107" s="461"/>
      <c r="Q107" s="461"/>
      <c r="R107" s="461"/>
      <c r="S107" s="461"/>
      <c r="T107" s="462"/>
      <c r="U107" s="462"/>
      <c r="V107" s="462"/>
      <c r="W107" s="461"/>
      <c r="X107" s="461"/>
      <c r="Y107" s="461"/>
      <c r="Z107" s="461"/>
      <c r="AA107" s="461"/>
      <c r="AB107" s="461"/>
      <c r="AC107" s="461"/>
    </row>
    <row r="108" spans="13:29">
      <c r="M108" s="460"/>
      <c r="N108" s="460"/>
      <c r="O108" s="460"/>
      <c r="P108" s="461"/>
      <c r="Q108" s="461"/>
      <c r="R108" s="461"/>
      <c r="S108" s="461"/>
      <c r="T108" s="462"/>
      <c r="U108" s="462"/>
      <c r="V108" s="462"/>
      <c r="W108" s="461"/>
      <c r="X108" s="461"/>
      <c r="Y108" s="461"/>
      <c r="Z108" s="461"/>
      <c r="AA108" s="461"/>
      <c r="AB108" s="461"/>
      <c r="AC108" s="461"/>
    </row>
    <row r="109" spans="13:29">
      <c r="M109" s="460"/>
      <c r="N109" s="460"/>
      <c r="O109" s="460"/>
      <c r="P109" s="461"/>
      <c r="Q109" s="461"/>
      <c r="R109" s="461"/>
      <c r="S109" s="461"/>
      <c r="T109" s="462"/>
      <c r="U109" s="462"/>
      <c r="V109" s="462"/>
      <c r="W109" s="461"/>
      <c r="X109" s="461"/>
      <c r="Y109" s="461"/>
      <c r="Z109" s="461"/>
      <c r="AA109" s="461"/>
      <c r="AB109" s="461"/>
      <c r="AC109" s="461"/>
    </row>
    <row r="110" spans="13:29">
      <c r="M110" s="460"/>
      <c r="N110" s="460"/>
      <c r="O110" s="460"/>
      <c r="P110" s="461"/>
      <c r="Q110" s="461"/>
      <c r="R110" s="461"/>
      <c r="S110" s="461"/>
      <c r="T110" s="462"/>
      <c r="U110" s="462"/>
      <c r="V110" s="462"/>
      <c r="W110" s="461"/>
      <c r="X110" s="461"/>
      <c r="Y110" s="461"/>
      <c r="Z110" s="461"/>
      <c r="AA110" s="461"/>
      <c r="AB110" s="461"/>
      <c r="AC110" s="461"/>
    </row>
    <row r="111" spans="13:29">
      <c r="M111" s="460"/>
      <c r="N111" s="460"/>
      <c r="O111" s="460"/>
      <c r="P111" s="461"/>
      <c r="Q111" s="461"/>
      <c r="R111" s="461"/>
      <c r="S111" s="461"/>
      <c r="T111" s="462"/>
      <c r="U111" s="462"/>
      <c r="V111" s="462"/>
      <c r="W111" s="461"/>
      <c r="X111" s="461"/>
      <c r="Y111" s="461"/>
      <c r="Z111" s="461"/>
      <c r="AA111" s="461"/>
      <c r="AB111" s="461"/>
      <c r="AC111" s="461"/>
    </row>
    <row r="112" spans="13:29">
      <c r="M112" s="460"/>
      <c r="N112" s="460"/>
      <c r="O112" s="460"/>
      <c r="P112" s="461"/>
      <c r="Q112" s="461"/>
      <c r="R112" s="461"/>
      <c r="S112" s="461"/>
      <c r="T112" s="462"/>
      <c r="U112" s="462"/>
      <c r="V112" s="462"/>
      <c r="W112" s="461"/>
      <c r="X112" s="461"/>
      <c r="Y112" s="461"/>
      <c r="Z112" s="461"/>
      <c r="AA112" s="461"/>
      <c r="AB112" s="461"/>
      <c r="AC112" s="461"/>
    </row>
    <row r="113" spans="13:29">
      <c r="M113" s="460"/>
      <c r="N113" s="460"/>
      <c r="O113" s="460"/>
      <c r="P113" s="461"/>
      <c r="Q113" s="461"/>
      <c r="R113" s="461"/>
      <c r="S113" s="461"/>
      <c r="T113" s="462"/>
      <c r="U113" s="462"/>
      <c r="V113" s="462"/>
      <c r="W113" s="461"/>
      <c r="X113" s="461"/>
      <c r="Y113" s="461"/>
      <c r="Z113" s="461"/>
      <c r="AA113" s="461"/>
      <c r="AB113" s="461"/>
      <c r="AC113" s="461"/>
    </row>
    <row r="114" spans="13:29">
      <c r="M114" s="460"/>
      <c r="N114" s="460"/>
      <c r="O114" s="460"/>
      <c r="P114" s="461"/>
      <c r="Q114" s="461"/>
      <c r="R114" s="461"/>
      <c r="S114" s="461"/>
      <c r="T114" s="462"/>
      <c r="U114" s="462"/>
      <c r="V114" s="462"/>
      <c r="W114" s="461"/>
      <c r="X114" s="461"/>
      <c r="Y114" s="461"/>
      <c r="Z114" s="461"/>
      <c r="AA114" s="461"/>
      <c r="AB114" s="461"/>
      <c r="AC114" s="461"/>
    </row>
    <row r="115" spans="13:29">
      <c r="M115" s="460"/>
      <c r="N115" s="460"/>
      <c r="O115" s="460"/>
      <c r="P115" s="461"/>
      <c r="Q115" s="461"/>
      <c r="R115" s="461"/>
      <c r="S115" s="461"/>
      <c r="T115" s="462"/>
      <c r="U115" s="462"/>
      <c r="V115" s="462"/>
      <c r="W115" s="461"/>
      <c r="X115" s="461"/>
      <c r="Y115" s="461"/>
      <c r="Z115" s="461"/>
      <c r="AA115" s="461"/>
      <c r="AB115" s="461"/>
      <c r="AC115" s="461"/>
    </row>
    <row r="116" spans="13:29">
      <c r="M116" s="460"/>
      <c r="N116" s="460"/>
      <c r="O116" s="460"/>
      <c r="P116" s="461"/>
      <c r="Q116" s="461"/>
      <c r="R116" s="461"/>
      <c r="S116" s="461"/>
      <c r="T116" s="462"/>
      <c r="U116" s="462"/>
      <c r="V116" s="462"/>
      <c r="W116" s="461"/>
      <c r="X116" s="461"/>
      <c r="Y116" s="461"/>
      <c r="Z116" s="461"/>
      <c r="AA116" s="461"/>
      <c r="AB116" s="461"/>
      <c r="AC116" s="461"/>
    </row>
    <row r="117" spans="13:29">
      <c r="M117" s="460"/>
      <c r="N117" s="460"/>
      <c r="O117" s="460"/>
      <c r="P117" s="461"/>
      <c r="Q117" s="461"/>
      <c r="R117" s="461"/>
      <c r="S117" s="461"/>
      <c r="T117" s="462"/>
      <c r="U117" s="462"/>
      <c r="V117" s="462"/>
      <c r="W117" s="461"/>
      <c r="X117" s="461"/>
      <c r="Y117" s="461"/>
      <c r="Z117" s="461"/>
      <c r="AA117" s="461"/>
      <c r="AB117" s="461"/>
      <c r="AC117" s="461"/>
    </row>
    <row r="118" spans="13:29">
      <c r="M118" s="460"/>
      <c r="N118" s="460"/>
      <c r="O118" s="460"/>
      <c r="P118" s="461"/>
      <c r="Q118" s="461"/>
      <c r="R118" s="461"/>
      <c r="S118" s="461"/>
      <c r="T118" s="462"/>
      <c r="U118" s="462"/>
      <c r="V118" s="462"/>
      <c r="W118" s="461"/>
      <c r="X118" s="461"/>
      <c r="Y118" s="461"/>
      <c r="Z118" s="461"/>
      <c r="AA118" s="461"/>
      <c r="AB118" s="461"/>
      <c r="AC118" s="461"/>
    </row>
    <row r="119" spans="13:29">
      <c r="M119" s="460"/>
      <c r="N119" s="460"/>
      <c r="O119" s="460"/>
      <c r="P119" s="461"/>
      <c r="Q119" s="461"/>
      <c r="R119" s="461"/>
      <c r="S119" s="461"/>
      <c r="T119" s="462"/>
      <c r="U119" s="462"/>
      <c r="V119" s="462"/>
      <c r="W119" s="461"/>
      <c r="X119" s="461"/>
      <c r="Y119" s="461"/>
      <c r="Z119" s="461"/>
      <c r="AA119" s="461"/>
      <c r="AB119" s="461"/>
      <c r="AC119" s="461"/>
    </row>
    <row r="120" spans="13:29">
      <c r="M120" s="460"/>
      <c r="N120" s="460"/>
      <c r="O120" s="460"/>
      <c r="P120" s="461"/>
      <c r="Q120" s="461"/>
      <c r="R120" s="461"/>
      <c r="S120" s="461"/>
      <c r="T120" s="462"/>
      <c r="U120" s="462"/>
      <c r="V120" s="462"/>
      <c r="W120" s="461"/>
      <c r="X120" s="461"/>
      <c r="Y120" s="461"/>
      <c r="Z120" s="461"/>
      <c r="AA120" s="461"/>
      <c r="AB120" s="461"/>
      <c r="AC120" s="461"/>
    </row>
    <row r="121" spans="13:29">
      <c r="M121" s="460"/>
      <c r="N121" s="460"/>
      <c r="O121" s="460"/>
      <c r="P121" s="461"/>
      <c r="Q121" s="461"/>
      <c r="R121" s="461"/>
      <c r="S121" s="461"/>
      <c r="T121" s="462"/>
      <c r="U121" s="462"/>
      <c r="V121" s="462"/>
      <c r="W121" s="461"/>
      <c r="X121" s="461"/>
      <c r="Y121" s="461"/>
      <c r="Z121" s="461"/>
      <c r="AA121" s="461"/>
      <c r="AB121" s="461"/>
      <c r="AC121" s="461"/>
    </row>
    <row r="122" spans="13:29">
      <c r="M122" s="460"/>
      <c r="N122" s="460"/>
      <c r="O122" s="460"/>
      <c r="P122" s="461"/>
      <c r="Q122" s="461"/>
      <c r="R122" s="461"/>
      <c r="S122" s="461"/>
      <c r="T122" s="462"/>
      <c r="U122" s="462"/>
      <c r="V122" s="462"/>
      <c r="W122" s="461"/>
      <c r="X122" s="461"/>
      <c r="Y122" s="461"/>
      <c r="Z122" s="461"/>
      <c r="AA122" s="461"/>
      <c r="AB122" s="461"/>
      <c r="AC122" s="461"/>
    </row>
    <row r="123" spans="13:29">
      <c r="M123" s="460"/>
      <c r="N123" s="460"/>
      <c r="O123" s="460"/>
      <c r="P123" s="461"/>
      <c r="Q123" s="461"/>
      <c r="R123" s="461"/>
      <c r="S123" s="461"/>
      <c r="T123" s="462"/>
      <c r="U123" s="462"/>
      <c r="V123" s="462"/>
      <c r="W123" s="461"/>
      <c r="X123" s="461"/>
      <c r="Y123" s="461"/>
      <c r="Z123" s="461"/>
      <c r="AA123" s="461"/>
      <c r="AB123" s="461"/>
      <c r="AC123" s="461"/>
    </row>
    <row r="124" spans="13:29">
      <c r="M124" s="460"/>
      <c r="N124" s="460"/>
      <c r="O124" s="460"/>
      <c r="P124" s="461"/>
      <c r="Q124" s="461"/>
      <c r="R124" s="461"/>
      <c r="S124" s="461"/>
      <c r="T124" s="462"/>
      <c r="U124" s="462"/>
      <c r="V124" s="462"/>
      <c r="W124" s="461"/>
      <c r="X124" s="461"/>
      <c r="Y124" s="461"/>
      <c r="Z124" s="461"/>
      <c r="AA124" s="461"/>
      <c r="AB124" s="461"/>
      <c r="AC124" s="461"/>
    </row>
    <row r="125" spans="13:29">
      <c r="M125" s="460"/>
      <c r="N125" s="460"/>
      <c r="O125" s="460"/>
      <c r="P125" s="461"/>
      <c r="Q125" s="461"/>
      <c r="R125" s="461"/>
      <c r="S125" s="461"/>
      <c r="T125" s="462"/>
      <c r="U125" s="462"/>
      <c r="V125" s="462"/>
      <c r="W125" s="461"/>
      <c r="X125" s="461"/>
      <c r="Y125" s="461"/>
      <c r="Z125" s="461"/>
      <c r="AA125" s="461"/>
      <c r="AB125" s="461"/>
      <c r="AC125" s="461"/>
    </row>
    <row r="128" spans="13:29">
      <c r="N128" s="106"/>
      <c r="O128" s="460"/>
      <c r="P128" s="461"/>
      <c r="Q128" s="461"/>
      <c r="R128" s="461"/>
      <c r="S128" s="461"/>
      <c r="T128" s="462"/>
      <c r="U128" s="462"/>
      <c r="V128" s="462"/>
      <c r="W128" s="461"/>
      <c r="X128" s="461"/>
      <c r="Y128" s="461"/>
      <c r="Z128" s="461"/>
      <c r="AA128" s="461"/>
      <c r="AB128" s="461"/>
      <c r="AC128" s="461"/>
    </row>
    <row r="129" spans="14:29">
      <c r="O129" s="460"/>
      <c r="P129" s="461"/>
      <c r="Q129" s="461"/>
      <c r="R129" s="461"/>
      <c r="S129" s="461"/>
      <c r="T129" s="462"/>
      <c r="U129" s="462"/>
      <c r="V129" s="462"/>
      <c r="W129" s="461"/>
      <c r="X129" s="461"/>
      <c r="Y129" s="461"/>
      <c r="Z129" s="461"/>
      <c r="AA129" s="461"/>
      <c r="AB129" s="461"/>
      <c r="AC129" s="461"/>
    </row>
    <row r="130" spans="14:29">
      <c r="N130" s="461"/>
    </row>
    <row r="131" spans="14:29">
      <c r="N131" s="461"/>
    </row>
    <row r="132" spans="14:29">
      <c r="N132" s="461"/>
    </row>
  </sheetData>
  <mergeCells count="36">
    <mergeCell ref="D41:E41"/>
    <mergeCell ref="F41:G41"/>
    <mergeCell ref="C49:H50"/>
    <mergeCell ref="C62:H63"/>
    <mergeCell ref="E29:H29"/>
    <mergeCell ref="C36:D36"/>
    <mergeCell ref="C37:D37"/>
    <mergeCell ref="C38:D38"/>
    <mergeCell ref="C40:D40"/>
    <mergeCell ref="C39:D39"/>
    <mergeCell ref="C24:D24"/>
    <mergeCell ref="C25:D25"/>
    <mergeCell ref="C26:D26"/>
    <mergeCell ref="C27:D27"/>
    <mergeCell ref="C29:D29"/>
    <mergeCell ref="E27:H27"/>
    <mergeCell ref="C28:D28"/>
    <mergeCell ref="E28:H28"/>
    <mergeCell ref="C15:D15"/>
    <mergeCell ref="E15:G15"/>
    <mergeCell ref="C18:D18"/>
    <mergeCell ref="F18:H18"/>
    <mergeCell ref="E22:H22"/>
    <mergeCell ref="C23:D23"/>
    <mergeCell ref="C12:D12"/>
    <mergeCell ref="E12:G12"/>
    <mergeCell ref="C13:D13"/>
    <mergeCell ref="E13:G13"/>
    <mergeCell ref="C14:D14"/>
    <mergeCell ref="E14:G14"/>
    <mergeCell ref="C8:D9"/>
    <mergeCell ref="E8:G9"/>
    <mergeCell ref="C10:D10"/>
    <mergeCell ref="E10:G10"/>
    <mergeCell ref="C11:D11"/>
    <mergeCell ref="E11:G11"/>
  </mergeCells>
  <pageMargins left="0.7" right="0.7" top="0.75" bottom="0.75" header="0.3" footer="0.3"/>
  <pageSetup scale="6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43B3-B5A6-4D25-A354-3A30FCC0380F}">
  <dimension ref="A1:AH2203"/>
  <sheetViews>
    <sheetView zoomScaleNormal="100" workbookViewId="0">
      <selection activeCell="B4" sqref="B4"/>
    </sheetView>
  </sheetViews>
  <sheetFormatPr defaultColWidth="8.6640625" defaultRowHeight="15.6"/>
  <cols>
    <col min="1" max="1" width="11.109375" style="120" customWidth="1"/>
    <col min="2" max="2" width="25" style="52" customWidth="1"/>
    <col min="3" max="3" width="22.33203125" style="52" customWidth="1"/>
    <col min="4" max="4" width="13.33203125" style="52" customWidth="1"/>
    <col min="5" max="5" width="8.6640625" style="52"/>
    <col min="6" max="6" width="9.33203125" style="52" customWidth="1"/>
    <col min="7" max="7" width="23.5546875" style="52" customWidth="1"/>
    <col min="8" max="8" width="16" style="52" customWidth="1"/>
    <col min="9" max="9" width="15.33203125" style="52" customWidth="1"/>
    <col min="10" max="10" width="2" style="120" customWidth="1"/>
    <col min="11" max="11" width="2.109375" style="121" customWidth="1"/>
    <col min="12" max="12" width="3.44140625" style="120" customWidth="1"/>
    <col min="13" max="13" width="5.44140625" style="120" customWidth="1"/>
    <col min="14" max="16384" width="8.6640625" style="120"/>
  </cols>
  <sheetData>
    <row r="1" spans="1:13">
      <c r="A1" s="51" t="s">
        <v>33</v>
      </c>
      <c r="D1" s="52" t="s">
        <v>161</v>
      </c>
      <c r="L1" s="4" t="s">
        <v>33</v>
      </c>
      <c r="M1" s="452"/>
    </row>
    <row r="2" spans="1:13">
      <c r="A2" s="51" t="s">
        <v>162</v>
      </c>
      <c r="L2" s="4" t="str">
        <f>A2</f>
        <v>Question 4</v>
      </c>
    </row>
    <row r="3" spans="1:13">
      <c r="A3" s="55"/>
      <c r="L3" s="4"/>
    </row>
    <row r="4" spans="1:13">
      <c r="A4" s="55" t="s">
        <v>164</v>
      </c>
      <c r="B4" s="52" t="s">
        <v>165</v>
      </c>
      <c r="L4" s="4" t="s">
        <v>35</v>
      </c>
    </row>
    <row r="5" spans="1:13">
      <c r="A5" s="55"/>
      <c r="B5" s="52" t="s">
        <v>166</v>
      </c>
    </row>
    <row r="6" spans="1:13">
      <c r="A6" s="55"/>
      <c r="L6" s="452"/>
    </row>
    <row r="7" spans="1:13">
      <c r="A7" s="55"/>
      <c r="B7" s="88" t="s">
        <v>177</v>
      </c>
      <c r="L7" s="476"/>
    </row>
    <row r="8" spans="1:13">
      <c r="A8" s="55"/>
      <c r="B8" s="97"/>
      <c r="L8" s="476"/>
    </row>
    <row r="9" spans="1:13">
      <c r="A9" s="55"/>
      <c r="B9" s="74" t="s">
        <v>178</v>
      </c>
      <c r="C9" s="1559" t="s">
        <v>179</v>
      </c>
      <c r="D9" s="1559"/>
      <c r="E9" s="1559"/>
      <c r="F9" s="80"/>
      <c r="L9" s="476"/>
    </row>
    <row r="10" spans="1:13">
      <c r="A10" s="55"/>
      <c r="B10" s="74" t="s">
        <v>41</v>
      </c>
      <c r="C10" s="1559" t="s">
        <v>42</v>
      </c>
      <c r="D10" s="1559"/>
      <c r="E10" s="1559"/>
      <c r="L10" s="452"/>
    </row>
    <row r="11" spans="1:13">
      <c r="A11" s="55"/>
      <c r="B11" s="74" t="s">
        <v>180</v>
      </c>
      <c r="C11" s="1559" t="s">
        <v>181</v>
      </c>
      <c r="D11" s="1559"/>
      <c r="E11" s="1559"/>
      <c r="F11" s="51"/>
      <c r="G11" s="51"/>
      <c r="H11" s="51"/>
      <c r="L11" s="476"/>
    </row>
    <row r="12" spans="1:13">
      <c r="A12" s="55"/>
      <c r="B12" s="74" t="s">
        <v>182</v>
      </c>
      <c r="C12" s="1559" t="s">
        <v>183</v>
      </c>
      <c r="D12" s="1559"/>
      <c r="E12" s="1559"/>
      <c r="L12" s="476"/>
    </row>
    <row r="13" spans="1:13">
      <c r="A13" s="55"/>
      <c r="B13" s="74" t="s">
        <v>184</v>
      </c>
      <c r="C13" s="1559" t="s">
        <v>185</v>
      </c>
      <c r="D13" s="1559"/>
      <c r="E13" s="1559"/>
      <c r="L13" s="476"/>
    </row>
    <row r="14" spans="1:13" ht="15.75" customHeight="1">
      <c r="A14" s="55"/>
      <c r="B14" s="74" t="s">
        <v>186</v>
      </c>
      <c r="C14" s="1559" t="s">
        <v>187</v>
      </c>
      <c r="D14" s="1559"/>
      <c r="E14" s="1559"/>
      <c r="L14" s="476"/>
    </row>
    <row r="15" spans="1:13">
      <c r="A15" s="55"/>
    </row>
    <row r="16" spans="1:13">
      <c r="A16" s="55"/>
      <c r="B16" s="88" t="s">
        <v>188</v>
      </c>
      <c r="L16" s="452"/>
    </row>
    <row r="17" spans="1:22">
      <c r="A17" s="55"/>
      <c r="B17" s="97"/>
      <c r="L17" s="476"/>
    </row>
    <row r="18" spans="1:22">
      <c r="A18" s="55"/>
      <c r="B18" s="74" t="s">
        <v>51</v>
      </c>
      <c r="C18" s="1559" t="s">
        <v>189</v>
      </c>
      <c r="D18" s="1559"/>
      <c r="E18" s="1559"/>
    </row>
    <row r="19" spans="1:22">
      <c r="A19" s="55"/>
      <c r="B19" s="74" t="s">
        <v>53</v>
      </c>
      <c r="C19" s="1559" t="s">
        <v>190</v>
      </c>
      <c r="D19" s="1559"/>
      <c r="E19" s="1559"/>
      <c r="L19" s="452"/>
    </row>
    <row r="20" spans="1:22">
      <c r="A20" s="55"/>
      <c r="B20" s="74" t="s">
        <v>191</v>
      </c>
      <c r="C20" s="1559" t="s">
        <v>61</v>
      </c>
      <c r="D20" s="1559"/>
      <c r="E20" s="1559"/>
      <c r="L20" s="477"/>
    </row>
    <row r="21" spans="1:22">
      <c r="A21" s="55"/>
      <c r="B21" s="74" t="s">
        <v>54</v>
      </c>
      <c r="C21" s="1559" t="s">
        <v>192</v>
      </c>
      <c r="D21" s="1559"/>
      <c r="E21" s="1559"/>
      <c r="L21" s="476"/>
    </row>
    <row r="22" spans="1:22">
      <c r="A22" s="55"/>
      <c r="B22" s="74" t="s">
        <v>57</v>
      </c>
      <c r="C22" s="1559" t="s">
        <v>193</v>
      </c>
      <c r="D22" s="1559"/>
      <c r="E22" s="1559"/>
      <c r="L22" s="476"/>
    </row>
    <row r="23" spans="1:22" ht="31.2">
      <c r="A23" s="55"/>
      <c r="B23" s="74" t="s">
        <v>58</v>
      </c>
      <c r="C23" s="1559" t="s">
        <v>59</v>
      </c>
      <c r="D23" s="1559"/>
      <c r="E23" s="1559"/>
      <c r="L23" s="478"/>
    </row>
    <row r="24" spans="1:22">
      <c r="A24" s="55"/>
      <c r="L24" s="476"/>
      <c r="M24" s="478"/>
    </row>
    <row r="25" spans="1:22">
      <c r="A25" s="55"/>
      <c r="B25" s="88" t="s">
        <v>195</v>
      </c>
      <c r="C25" s="88"/>
      <c r="D25" s="88"/>
      <c r="E25" s="151"/>
      <c r="F25" s="151"/>
      <c r="L25" s="452"/>
    </row>
    <row r="26" spans="1:22">
      <c r="A26" s="55"/>
      <c r="B26" s="155"/>
      <c r="C26" s="155"/>
      <c r="D26" s="155"/>
      <c r="E26" s="151"/>
      <c r="F26" s="151"/>
      <c r="L26" s="476"/>
    </row>
    <row r="27" spans="1:22">
      <c r="A27" s="55"/>
      <c r="B27" s="156"/>
      <c r="C27" s="157" t="s">
        <v>67</v>
      </c>
      <c r="D27" s="157" t="s">
        <v>68</v>
      </c>
      <c r="E27" s="151"/>
      <c r="F27" s="151"/>
      <c r="L27" s="476"/>
    </row>
    <row r="28" spans="1:22">
      <c r="A28" s="55"/>
      <c r="B28" s="78" t="s">
        <v>196</v>
      </c>
      <c r="C28" s="156" t="s">
        <v>635</v>
      </c>
      <c r="D28" s="156" t="s">
        <v>636</v>
      </c>
      <c r="E28" s="158"/>
      <c r="F28" s="158"/>
      <c r="L28" s="476"/>
    </row>
    <row r="29" spans="1:22">
      <c r="A29" s="55"/>
      <c r="B29" s="78" t="s">
        <v>197</v>
      </c>
      <c r="C29" s="156" t="s">
        <v>198</v>
      </c>
      <c r="D29" s="156" t="s">
        <v>199</v>
      </c>
      <c r="E29" s="158"/>
      <c r="F29" s="158"/>
      <c r="L29" s="1560"/>
      <c r="M29" s="1560"/>
      <c r="N29" s="1560"/>
      <c r="O29" s="1560"/>
      <c r="P29" s="1560"/>
      <c r="Q29" s="1560"/>
      <c r="R29" s="1560"/>
      <c r="S29" s="1560"/>
      <c r="T29" s="1560"/>
      <c r="U29" s="1560"/>
      <c r="V29" s="1560"/>
    </row>
    <row r="30" spans="1:22">
      <c r="A30" s="55"/>
      <c r="B30" s="78" t="s">
        <v>200</v>
      </c>
      <c r="C30" s="159">
        <v>75000</v>
      </c>
      <c r="D30" s="156" t="s">
        <v>201</v>
      </c>
      <c r="E30" s="158"/>
      <c r="F30" s="158"/>
    </row>
    <row r="31" spans="1:22">
      <c r="A31" s="55"/>
      <c r="E31" s="158"/>
      <c r="F31" s="158"/>
      <c r="L31" s="452"/>
    </row>
    <row r="32" spans="1:22">
      <c r="A32" s="55"/>
      <c r="B32" s="88" t="s">
        <v>202</v>
      </c>
      <c r="C32" s="88"/>
      <c r="D32" s="88"/>
      <c r="E32" s="158"/>
      <c r="F32" s="158"/>
      <c r="L32" s="452"/>
    </row>
    <row r="33" spans="1:28">
      <c r="A33" s="55"/>
      <c r="B33" s="97" t="s">
        <v>161</v>
      </c>
      <c r="C33" s="97"/>
      <c r="D33" s="97"/>
      <c r="E33" s="158"/>
      <c r="F33" s="158"/>
      <c r="L33" s="476"/>
    </row>
    <row r="34" spans="1:28">
      <c r="A34" s="55"/>
      <c r="C34" s="160">
        <v>14.5</v>
      </c>
      <c r="E34" s="158"/>
      <c r="F34" s="158"/>
      <c r="L34" s="476"/>
    </row>
    <row r="35" spans="1:28">
      <c r="A35" s="55"/>
      <c r="C35" s="160">
        <v>17</v>
      </c>
      <c r="E35" s="158"/>
      <c r="F35" s="158"/>
      <c r="L35" s="476"/>
    </row>
    <row r="36" spans="1:28">
      <c r="A36" s="55"/>
      <c r="C36" s="161"/>
      <c r="E36" s="158"/>
      <c r="F36" s="158"/>
    </row>
    <row r="37" spans="1:28">
      <c r="A37" s="55"/>
      <c r="B37" s="162" t="s">
        <v>204</v>
      </c>
      <c r="C37" s="162"/>
      <c r="D37" s="162"/>
      <c r="E37" s="162"/>
      <c r="F37" s="162"/>
      <c r="L37" s="476"/>
      <c r="M37" s="478"/>
    </row>
    <row r="38" spans="1:28">
      <c r="A38" s="55"/>
      <c r="B38" s="162"/>
      <c r="C38" s="162"/>
      <c r="D38" s="162"/>
      <c r="E38" s="162"/>
      <c r="F38" s="162"/>
      <c r="L38" s="476"/>
      <c r="M38" s="478"/>
    </row>
    <row r="39" spans="1:28">
      <c r="A39" s="55"/>
      <c r="B39" s="1455" t="s">
        <v>95</v>
      </c>
      <c r="C39" s="1456"/>
      <c r="D39" s="1456"/>
      <c r="E39" s="1456"/>
      <c r="F39" s="1457"/>
      <c r="L39" s="476"/>
    </row>
    <row r="40" spans="1:28">
      <c r="A40" s="55"/>
      <c r="B40" s="1458"/>
      <c r="C40" s="1459"/>
      <c r="D40" s="1459"/>
      <c r="E40" s="1459"/>
      <c r="F40" s="1460"/>
      <c r="K40" s="166"/>
      <c r="L40" s="476"/>
      <c r="M40" s="476"/>
      <c r="N40" s="476"/>
      <c r="O40" s="476"/>
      <c r="P40" s="476"/>
      <c r="Q40" s="476"/>
      <c r="R40" s="476"/>
      <c r="S40" s="476"/>
      <c r="T40" s="476"/>
      <c r="U40" s="476"/>
      <c r="V40" s="476"/>
      <c r="W40" s="476"/>
      <c r="X40" s="476"/>
      <c r="Y40" s="476"/>
      <c r="Z40" s="167"/>
      <c r="AA40" s="167"/>
      <c r="AB40" s="167"/>
    </row>
    <row r="41" spans="1:28">
      <c r="A41" s="55"/>
      <c r="B41" s="162"/>
      <c r="C41" s="162"/>
      <c r="D41" s="162"/>
      <c r="E41" s="162"/>
      <c r="F41" s="162"/>
      <c r="G41" s="163"/>
      <c r="H41" s="163"/>
      <c r="K41" s="166"/>
      <c r="L41" s="476"/>
      <c r="M41" s="476"/>
      <c r="N41" s="476"/>
      <c r="O41" s="476"/>
      <c r="P41" s="476"/>
      <c r="Q41" s="476"/>
      <c r="R41" s="476"/>
      <c r="S41" s="476"/>
      <c r="T41" s="476"/>
      <c r="U41" s="476"/>
      <c r="V41" s="476"/>
      <c r="W41" s="476"/>
      <c r="X41" s="476"/>
      <c r="Y41" s="476"/>
      <c r="Z41" s="167"/>
      <c r="AA41" s="167"/>
      <c r="AB41" s="167"/>
    </row>
    <row r="42" spans="1:28">
      <c r="A42" s="55"/>
      <c r="B42" s="162" t="s">
        <v>206</v>
      </c>
      <c r="C42" s="162"/>
      <c r="D42" s="162"/>
      <c r="E42" s="162"/>
      <c r="F42" s="162"/>
      <c r="G42" s="163"/>
      <c r="H42" s="163"/>
      <c r="K42" s="166"/>
      <c r="L42" s="476"/>
      <c r="M42" s="476"/>
      <c r="X42" s="167"/>
      <c r="Y42" s="167"/>
      <c r="Z42" s="167"/>
      <c r="AA42" s="167"/>
      <c r="AB42" s="167"/>
    </row>
    <row r="43" spans="1:28">
      <c r="A43" s="55"/>
      <c r="B43" s="162"/>
      <c r="C43" s="162"/>
      <c r="D43" s="162"/>
      <c r="E43" s="162"/>
      <c r="F43" s="162"/>
      <c r="G43" s="163"/>
      <c r="H43" s="163"/>
      <c r="K43" s="166"/>
      <c r="L43" s="476"/>
      <c r="M43" s="476"/>
      <c r="X43" s="167"/>
      <c r="Y43" s="167"/>
      <c r="Z43" s="167"/>
      <c r="AA43" s="167"/>
      <c r="AB43" s="167"/>
    </row>
    <row r="44" spans="1:28">
      <c r="A44" s="55"/>
      <c r="B44" s="1455" t="s">
        <v>95</v>
      </c>
      <c r="C44" s="1456"/>
      <c r="D44" s="1456"/>
      <c r="E44" s="1456"/>
      <c r="F44" s="1457"/>
      <c r="G44" s="164"/>
      <c r="H44" s="165"/>
      <c r="K44" s="166"/>
      <c r="M44" s="476"/>
      <c r="N44" s="476"/>
      <c r="O44" s="476"/>
      <c r="P44" s="476"/>
      <c r="Q44" s="476"/>
      <c r="R44" s="476"/>
      <c r="S44" s="476"/>
      <c r="T44" s="476"/>
      <c r="U44" s="476"/>
      <c r="V44" s="476"/>
      <c r="W44" s="476"/>
      <c r="X44" s="476"/>
      <c r="Y44" s="476"/>
      <c r="Z44" s="476"/>
      <c r="AA44" s="476"/>
      <c r="AB44" s="167"/>
    </row>
    <row r="45" spans="1:28">
      <c r="A45" s="55"/>
      <c r="B45" s="1458"/>
      <c r="C45" s="1459"/>
      <c r="D45" s="1459"/>
      <c r="E45" s="1459"/>
      <c r="F45" s="1460"/>
      <c r="G45" s="164"/>
      <c r="H45" s="165"/>
      <c r="L45" s="476"/>
    </row>
    <row r="46" spans="1:28">
      <c r="A46" s="55"/>
      <c r="B46" s="162"/>
      <c r="C46" s="162"/>
      <c r="D46" s="162"/>
      <c r="E46" s="162"/>
      <c r="F46" s="162"/>
      <c r="G46" s="164"/>
      <c r="H46" s="165"/>
      <c r="L46" s="476"/>
      <c r="M46" s="476"/>
    </row>
    <row r="47" spans="1:28">
      <c r="A47" s="55"/>
      <c r="B47" s="162" t="s">
        <v>210</v>
      </c>
      <c r="C47" s="162"/>
      <c r="D47" s="162"/>
      <c r="E47" s="162"/>
      <c r="F47" s="162"/>
      <c r="G47" s="164"/>
      <c r="H47" s="165"/>
      <c r="L47" s="476"/>
      <c r="M47" s="476"/>
    </row>
    <row r="48" spans="1:28">
      <c r="A48" s="55"/>
      <c r="B48" s="162"/>
      <c r="C48" s="162"/>
      <c r="D48" s="162"/>
      <c r="E48" s="162"/>
      <c r="F48" s="162"/>
      <c r="G48" s="164"/>
      <c r="H48" s="165"/>
      <c r="L48" s="476"/>
      <c r="M48" s="476"/>
    </row>
    <row r="49" spans="1:34">
      <c r="A49" s="55"/>
      <c r="B49" s="1455" t="s">
        <v>95</v>
      </c>
      <c r="C49" s="1456"/>
      <c r="D49" s="1456"/>
      <c r="E49" s="1456"/>
      <c r="F49" s="1457"/>
      <c r="G49" s="164"/>
      <c r="H49" s="165"/>
      <c r="L49" s="476"/>
    </row>
    <row r="50" spans="1:34">
      <c r="A50" s="55"/>
      <c r="B50" s="1458"/>
      <c r="C50" s="1459"/>
      <c r="D50" s="1459"/>
      <c r="E50" s="1459"/>
      <c r="F50" s="1460"/>
      <c r="G50" s="164"/>
      <c r="H50" s="165"/>
      <c r="L50" s="476"/>
      <c r="N50" s="476"/>
    </row>
    <row r="51" spans="1:34">
      <c r="A51" s="55"/>
      <c r="B51" s="158"/>
      <c r="E51" s="158"/>
      <c r="F51" s="164"/>
      <c r="G51" s="164"/>
      <c r="H51" s="165"/>
      <c r="N51" s="476"/>
    </row>
    <row r="52" spans="1:34">
      <c r="A52" s="55"/>
      <c r="L52" s="476"/>
      <c r="N52" s="476"/>
    </row>
    <row r="53" spans="1:34">
      <c r="A53" s="55"/>
      <c r="B53" s="57"/>
      <c r="X53"/>
      <c r="Y53"/>
      <c r="Z53"/>
    </row>
    <row r="54" spans="1:34">
      <c r="A54" s="55"/>
      <c r="B54" s="151"/>
      <c r="C54" s="163"/>
      <c r="D54" s="163"/>
      <c r="K54" s="167"/>
      <c r="X54"/>
      <c r="Y54"/>
      <c r="Z54"/>
      <c r="AA54"/>
      <c r="AB54"/>
      <c r="AC54"/>
      <c r="AD54"/>
      <c r="AE54"/>
      <c r="AF54"/>
      <c r="AG54"/>
      <c r="AH54"/>
    </row>
    <row r="55" spans="1:34">
      <c r="A55" s="55"/>
      <c r="B55" s="151"/>
      <c r="C55" s="163"/>
      <c r="D55" s="163"/>
      <c r="K55" s="167"/>
      <c r="X55"/>
      <c r="Y55"/>
      <c r="Z55"/>
      <c r="AA55"/>
      <c r="AB55"/>
      <c r="AC55"/>
      <c r="AD55"/>
      <c r="AE55"/>
      <c r="AF55"/>
      <c r="AG55"/>
      <c r="AH55"/>
    </row>
    <row r="56" spans="1:34">
      <c r="A56" s="55"/>
      <c r="B56" s="158"/>
      <c r="D56" s="165"/>
      <c r="K56" s="167"/>
      <c r="X56"/>
      <c r="Y56"/>
      <c r="Z56"/>
      <c r="AA56"/>
      <c r="AB56"/>
      <c r="AC56"/>
      <c r="AD56"/>
      <c r="AE56"/>
      <c r="AF56"/>
      <c r="AG56"/>
      <c r="AH56"/>
    </row>
    <row r="57" spans="1:34">
      <c r="A57" s="55"/>
      <c r="B57" s="158"/>
      <c r="D57" s="165"/>
      <c r="K57" s="167"/>
      <c r="X57" s="167"/>
      <c r="Y57" s="167"/>
      <c r="Z57"/>
      <c r="AA57"/>
      <c r="AB57"/>
      <c r="AC57"/>
      <c r="AD57"/>
      <c r="AE57"/>
      <c r="AF57"/>
      <c r="AG57"/>
      <c r="AH57"/>
    </row>
    <row r="58" spans="1:34">
      <c r="A58" s="55"/>
      <c r="K58" s="167"/>
      <c r="X58" s="167"/>
      <c r="Y58" s="167"/>
      <c r="Z58"/>
      <c r="AA58"/>
      <c r="AB58"/>
      <c r="AC58"/>
      <c r="AD58"/>
      <c r="AE58"/>
      <c r="AF58"/>
      <c r="AG58"/>
      <c r="AH58"/>
    </row>
    <row r="59" spans="1:34">
      <c r="A59" s="55"/>
      <c r="K59" s="167"/>
      <c r="X59" s="167"/>
      <c r="Y59" s="167"/>
      <c r="Z59"/>
      <c r="AA59"/>
      <c r="AB59"/>
      <c r="AC59"/>
      <c r="AD59"/>
      <c r="AE59"/>
      <c r="AF59"/>
      <c r="AG59"/>
      <c r="AH59"/>
    </row>
    <row r="60" spans="1:34">
      <c r="A60" s="55"/>
      <c r="K60" s="167"/>
      <c r="X60" s="167"/>
      <c r="Y60" s="167"/>
      <c r="Z60"/>
      <c r="AA60"/>
      <c r="AB60"/>
      <c r="AC60"/>
      <c r="AD60"/>
      <c r="AE60"/>
      <c r="AF60"/>
      <c r="AG60"/>
      <c r="AH60"/>
    </row>
    <row r="61" spans="1:34">
      <c r="A61" s="55"/>
      <c r="C61" s="55"/>
      <c r="D61" s="55"/>
      <c r="E61" s="55"/>
      <c r="F61" s="55"/>
      <c r="G61" s="55"/>
      <c r="H61" s="55"/>
      <c r="I61" s="55"/>
      <c r="K61" s="167"/>
      <c r="X61" s="167"/>
      <c r="Y61" s="167"/>
      <c r="Z61"/>
      <c r="AA61"/>
      <c r="AB61"/>
      <c r="AC61"/>
      <c r="AD61"/>
      <c r="AE61"/>
      <c r="AF61"/>
      <c r="AG61"/>
      <c r="AH61"/>
    </row>
    <row r="62" spans="1:34">
      <c r="A62" s="55"/>
      <c r="C62" s="55"/>
      <c r="D62" s="55"/>
      <c r="E62" s="55"/>
      <c r="F62" s="55"/>
      <c r="G62" s="55"/>
      <c r="H62" s="55"/>
      <c r="I62" s="55"/>
      <c r="K62" s="167"/>
      <c r="X62" s="167"/>
      <c r="Y62" s="167"/>
    </row>
    <row r="63" spans="1:34">
      <c r="A63" s="55"/>
      <c r="K63" s="167"/>
      <c r="X63" s="167"/>
      <c r="Y63" s="167"/>
    </row>
    <row r="64" spans="1:34">
      <c r="A64" s="55"/>
      <c r="K64" s="167"/>
      <c r="X64" s="167"/>
      <c r="Y64" s="167"/>
    </row>
    <row r="65" spans="1:25">
      <c r="A65" s="55"/>
      <c r="K65" s="167"/>
      <c r="X65" s="167"/>
      <c r="Y65" s="167"/>
    </row>
    <row r="66" spans="1:25">
      <c r="A66" s="55"/>
      <c r="M66" s="476"/>
    </row>
    <row r="67" spans="1:25">
      <c r="A67" s="55"/>
    </row>
    <row r="68" spans="1:25">
      <c r="A68" s="55"/>
    </row>
    <row r="69" spans="1:25">
      <c r="A69" s="55"/>
    </row>
    <row r="70" spans="1:25">
      <c r="A70" s="55"/>
      <c r="C70" s="55"/>
      <c r="D70" s="55"/>
      <c r="E70" s="55"/>
      <c r="F70" s="55"/>
      <c r="G70" s="55"/>
      <c r="H70" s="55"/>
      <c r="I70" s="55"/>
    </row>
    <row r="71" spans="1:25">
      <c r="A71" s="55"/>
    </row>
    <row r="72" spans="1:25">
      <c r="A72" s="55"/>
    </row>
    <row r="73" spans="1:25">
      <c r="A73" s="55"/>
    </row>
    <row r="74" spans="1:25">
      <c r="A74" s="55"/>
    </row>
    <row r="75" spans="1:25">
      <c r="A75" s="55"/>
    </row>
    <row r="76" spans="1:25">
      <c r="A76" s="55"/>
    </row>
    <row r="77" spans="1:25">
      <c r="A77" s="55"/>
    </row>
    <row r="78" spans="1:25">
      <c r="A78" s="55"/>
    </row>
    <row r="79" spans="1:25">
      <c r="A79" s="55"/>
    </row>
    <row r="80" spans="1:25">
      <c r="A80" s="55"/>
    </row>
    <row r="81" spans="1:1">
      <c r="A81" s="55"/>
    </row>
    <row r="82" spans="1:1">
      <c r="A82" s="55"/>
    </row>
    <row r="83" spans="1:1">
      <c r="A83" s="55"/>
    </row>
    <row r="84" spans="1:1">
      <c r="A84" s="55"/>
    </row>
    <row r="85" spans="1:1">
      <c r="A85" s="55"/>
    </row>
    <row r="86" spans="1:1">
      <c r="A86" s="55"/>
    </row>
    <row r="87" spans="1:1">
      <c r="A87" s="55"/>
    </row>
    <row r="88" spans="1:1">
      <c r="A88" s="55"/>
    </row>
    <row r="89" spans="1:1">
      <c r="A89" s="55"/>
    </row>
    <row r="90" spans="1:1">
      <c r="A90" s="55"/>
    </row>
    <row r="91" spans="1:1">
      <c r="A91" s="55"/>
    </row>
    <row r="92" spans="1:1">
      <c r="A92" s="55"/>
    </row>
    <row r="93" spans="1:1">
      <c r="A93" s="55"/>
    </row>
    <row r="94" spans="1:1">
      <c r="A94" s="55"/>
    </row>
    <row r="95" spans="1:1">
      <c r="A95" s="55"/>
    </row>
    <row r="96" spans="1:1">
      <c r="A96" s="55"/>
    </row>
    <row r="97" spans="1:1">
      <c r="A97" s="55"/>
    </row>
    <row r="98" spans="1:1">
      <c r="A98" s="55"/>
    </row>
    <row r="99" spans="1:1">
      <c r="A99" s="55"/>
    </row>
    <row r="100" spans="1:1">
      <c r="A100" s="55"/>
    </row>
    <row r="101" spans="1:1">
      <c r="A101" s="55"/>
    </row>
    <row r="102" spans="1:1">
      <c r="A102" s="55"/>
    </row>
    <row r="103" spans="1:1">
      <c r="A103" s="55"/>
    </row>
    <row r="104" spans="1:1">
      <c r="A104" s="55"/>
    </row>
    <row r="105" spans="1:1">
      <c r="A105" s="55"/>
    </row>
    <row r="106" spans="1:1">
      <c r="A106" s="55"/>
    </row>
    <row r="107" spans="1:1">
      <c r="A107" s="55"/>
    </row>
    <row r="108" spans="1:1">
      <c r="A108" s="55"/>
    </row>
    <row r="109" spans="1:1">
      <c r="A109" s="55"/>
    </row>
    <row r="110" spans="1:1">
      <c r="A110" s="55"/>
    </row>
    <row r="111" spans="1:1">
      <c r="A111" s="55"/>
    </row>
    <row r="112" spans="1:1">
      <c r="A112" s="55"/>
    </row>
    <row r="113" spans="1:1">
      <c r="A113" s="55"/>
    </row>
    <row r="114" spans="1:1">
      <c r="A114" s="55"/>
    </row>
    <row r="115" spans="1:1">
      <c r="A115" s="55"/>
    </row>
    <row r="116" spans="1:1">
      <c r="A116" s="55"/>
    </row>
    <row r="117" spans="1:1">
      <c r="A117" s="55"/>
    </row>
    <row r="118" spans="1:1">
      <c r="A118" s="55"/>
    </row>
    <row r="119" spans="1:1">
      <c r="A119" s="55"/>
    </row>
    <row r="120" spans="1:1">
      <c r="A120" s="55"/>
    </row>
    <row r="121" spans="1:1">
      <c r="A121" s="55"/>
    </row>
    <row r="122" spans="1:1">
      <c r="A122" s="55"/>
    </row>
    <row r="123" spans="1:1">
      <c r="A123" s="55"/>
    </row>
    <row r="124" spans="1:1">
      <c r="A124" s="55"/>
    </row>
    <row r="125" spans="1:1">
      <c r="A125" s="55"/>
    </row>
    <row r="126" spans="1:1">
      <c r="A126" s="55"/>
    </row>
    <row r="127" spans="1:1">
      <c r="A127" s="55"/>
    </row>
    <row r="128" spans="1:1">
      <c r="A128" s="55"/>
    </row>
    <row r="129" spans="1:1">
      <c r="A129" s="55"/>
    </row>
    <row r="130" spans="1:1">
      <c r="A130" s="55"/>
    </row>
    <row r="131" spans="1:1">
      <c r="A131" s="55"/>
    </row>
    <row r="132" spans="1:1">
      <c r="A132" s="55"/>
    </row>
    <row r="133" spans="1:1">
      <c r="A133" s="55"/>
    </row>
    <row r="134" spans="1:1">
      <c r="A134" s="55"/>
    </row>
    <row r="135" spans="1:1">
      <c r="A135" s="55"/>
    </row>
    <row r="136" spans="1:1">
      <c r="A136" s="55"/>
    </row>
    <row r="137" spans="1:1">
      <c r="A137" s="55"/>
    </row>
    <row r="138" spans="1:1">
      <c r="A138" s="55"/>
    </row>
    <row r="139" spans="1:1">
      <c r="A139" s="55"/>
    </row>
    <row r="140" spans="1:1">
      <c r="A140" s="55"/>
    </row>
    <row r="141" spans="1:1">
      <c r="A141" s="55"/>
    </row>
    <row r="142" spans="1:1">
      <c r="A142" s="55"/>
    </row>
    <row r="143" spans="1:1">
      <c r="A143" s="55"/>
    </row>
    <row r="144" spans="1:1">
      <c r="A144" s="55"/>
    </row>
    <row r="145" spans="1:1">
      <c r="A145" s="55"/>
    </row>
    <row r="146" spans="1:1">
      <c r="A146" s="55"/>
    </row>
    <row r="147" spans="1:1">
      <c r="A147" s="55"/>
    </row>
    <row r="148" spans="1:1">
      <c r="A148" s="55"/>
    </row>
    <row r="149" spans="1:1">
      <c r="A149" s="55"/>
    </row>
    <row r="150" spans="1:1">
      <c r="A150" s="55"/>
    </row>
    <row r="151" spans="1:1">
      <c r="A151" s="55"/>
    </row>
    <row r="152" spans="1:1">
      <c r="A152" s="55"/>
    </row>
    <row r="153" spans="1:1">
      <c r="A153" s="55"/>
    </row>
    <row r="154" spans="1:1">
      <c r="A154" s="55"/>
    </row>
    <row r="155" spans="1:1">
      <c r="A155" s="55"/>
    </row>
    <row r="156" spans="1:1">
      <c r="A156" s="55"/>
    </row>
    <row r="157" spans="1:1">
      <c r="A157" s="55"/>
    </row>
    <row r="158" spans="1:1">
      <c r="A158" s="55"/>
    </row>
    <row r="159" spans="1:1">
      <c r="A159" s="55"/>
    </row>
    <row r="160" spans="1:1">
      <c r="A160" s="55"/>
    </row>
    <row r="161" spans="1:1">
      <c r="A161" s="55"/>
    </row>
    <row r="162" spans="1:1">
      <c r="A162" s="55"/>
    </row>
    <row r="163" spans="1:1">
      <c r="A163" s="55"/>
    </row>
    <row r="164" spans="1:1">
      <c r="A164" s="55"/>
    </row>
    <row r="165" spans="1:1">
      <c r="A165" s="55"/>
    </row>
    <row r="166" spans="1:1">
      <c r="A166" s="55"/>
    </row>
    <row r="167" spans="1:1">
      <c r="A167" s="55"/>
    </row>
    <row r="168" spans="1:1">
      <c r="A168" s="55"/>
    </row>
    <row r="169" spans="1:1">
      <c r="A169" s="55"/>
    </row>
    <row r="170" spans="1:1">
      <c r="A170" s="55"/>
    </row>
    <row r="171" spans="1:1">
      <c r="A171" s="55"/>
    </row>
    <row r="172" spans="1:1">
      <c r="A172" s="55"/>
    </row>
    <row r="173" spans="1:1">
      <c r="A173" s="55"/>
    </row>
    <row r="174" spans="1:1">
      <c r="A174" s="55"/>
    </row>
    <row r="175" spans="1:1">
      <c r="A175" s="55"/>
    </row>
    <row r="176" spans="1:1">
      <c r="A176" s="55"/>
    </row>
    <row r="177" spans="1:1">
      <c r="A177" s="55"/>
    </row>
    <row r="178" spans="1:1">
      <c r="A178" s="55"/>
    </row>
    <row r="179" spans="1:1">
      <c r="A179" s="55"/>
    </row>
    <row r="180" spans="1:1">
      <c r="A180" s="55"/>
    </row>
    <row r="181" spans="1:1">
      <c r="A181" s="55"/>
    </row>
    <row r="182" spans="1:1">
      <c r="A182" s="55"/>
    </row>
    <row r="183" spans="1:1">
      <c r="A183" s="55"/>
    </row>
    <row r="184" spans="1:1">
      <c r="A184" s="55"/>
    </row>
    <row r="185" spans="1:1">
      <c r="A185" s="55"/>
    </row>
    <row r="186" spans="1:1">
      <c r="A186" s="55"/>
    </row>
    <row r="187" spans="1:1">
      <c r="A187" s="55"/>
    </row>
    <row r="188" spans="1:1">
      <c r="A188" s="55"/>
    </row>
    <row r="189" spans="1:1">
      <c r="A189" s="55"/>
    </row>
    <row r="190" spans="1:1">
      <c r="A190" s="55"/>
    </row>
    <row r="191" spans="1:1">
      <c r="A191" s="55"/>
    </row>
    <row r="192" spans="1:1">
      <c r="A192" s="55"/>
    </row>
    <row r="193" spans="1:1">
      <c r="A193" s="55"/>
    </row>
    <row r="194" spans="1:1">
      <c r="A194" s="55"/>
    </row>
    <row r="195" spans="1:1">
      <c r="A195" s="55"/>
    </row>
    <row r="196" spans="1:1">
      <c r="A196" s="55"/>
    </row>
    <row r="197" spans="1:1">
      <c r="A197" s="55"/>
    </row>
    <row r="198" spans="1:1">
      <c r="A198" s="55"/>
    </row>
    <row r="199" spans="1:1">
      <c r="A199" s="55"/>
    </row>
    <row r="200" spans="1:1">
      <c r="A200" s="55"/>
    </row>
    <row r="201" spans="1:1">
      <c r="A201" s="55"/>
    </row>
    <row r="202" spans="1:1">
      <c r="A202" s="55"/>
    </row>
    <row r="203" spans="1:1">
      <c r="A203" s="55"/>
    </row>
    <row r="204" spans="1:1">
      <c r="A204" s="55"/>
    </row>
    <row r="205" spans="1:1">
      <c r="A205" s="55"/>
    </row>
    <row r="206" spans="1:1">
      <c r="A206" s="55"/>
    </row>
    <row r="207" spans="1:1">
      <c r="A207" s="55"/>
    </row>
    <row r="208" spans="1:1">
      <c r="A208" s="55"/>
    </row>
    <row r="209" spans="1:1">
      <c r="A209" s="55"/>
    </row>
    <row r="210" spans="1:1">
      <c r="A210" s="55"/>
    </row>
    <row r="211" spans="1:1">
      <c r="A211" s="55"/>
    </row>
    <row r="212" spans="1:1">
      <c r="A212" s="55"/>
    </row>
    <row r="213" spans="1:1">
      <c r="A213" s="55"/>
    </row>
    <row r="214" spans="1:1">
      <c r="A214" s="55"/>
    </row>
    <row r="215" spans="1:1">
      <c r="A215" s="55"/>
    </row>
    <row r="216" spans="1:1">
      <c r="A216" s="55"/>
    </row>
    <row r="217" spans="1:1">
      <c r="A217" s="55"/>
    </row>
    <row r="218" spans="1:1">
      <c r="A218" s="55"/>
    </row>
    <row r="219" spans="1:1">
      <c r="A219" s="55"/>
    </row>
    <row r="220" spans="1:1">
      <c r="A220" s="55"/>
    </row>
    <row r="221" spans="1:1">
      <c r="A221" s="55"/>
    </row>
    <row r="222" spans="1:1">
      <c r="A222" s="55"/>
    </row>
    <row r="223" spans="1:1">
      <c r="A223" s="55"/>
    </row>
    <row r="224" spans="1:1">
      <c r="A224" s="55"/>
    </row>
    <row r="225" spans="1:1">
      <c r="A225" s="55"/>
    </row>
    <row r="226" spans="1:1">
      <c r="A226" s="55"/>
    </row>
    <row r="227" spans="1:1">
      <c r="A227" s="55"/>
    </row>
    <row r="228" spans="1:1">
      <c r="A228" s="55"/>
    </row>
    <row r="229" spans="1:1">
      <c r="A229" s="55"/>
    </row>
    <row r="230" spans="1:1">
      <c r="A230" s="55"/>
    </row>
    <row r="231" spans="1:1">
      <c r="A231" s="55"/>
    </row>
    <row r="232" spans="1:1">
      <c r="A232" s="55"/>
    </row>
    <row r="233" spans="1:1">
      <c r="A233" s="55"/>
    </row>
    <row r="234" spans="1:1">
      <c r="A234" s="55"/>
    </row>
    <row r="235" spans="1:1">
      <c r="A235" s="55"/>
    </row>
    <row r="236" spans="1:1">
      <c r="A236" s="55"/>
    </row>
    <row r="237" spans="1:1">
      <c r="A237" s="55"/>
    </row>
    <row r="238" spans="1:1">
      <c r="A238" s="55"/>
    </row>
    <row r="239" spans="1:1">
      <c r="A239" s="55"/>
    </row>
    <row r="240" spans="1:1">
      <c r="A240" s="55"/>
    </row>
    <row r="241" spans="1:1">
      <c r="A241" s="55"/>
    </row>
    <row r="242" spans="1:1">
      <c r="A242" s="55"/>
    </row>
    <row r="243" spans="1:1">
      <c r="A243" s="55"/>
    </row>
    <row r="244" spans="1:1">
      <c r="A244" s="55"/>
    </row>
    <row r="245" spans="1:1">
      <c r="A245" s="55"/>
    </row>
    <row r="246" spans="1:1">
      <c r="A246" s="55"/>
    </row>
    <row r="247" spans="1:1">
      <c r="A247" s="55"/>
    </row>
    <row r="248" spans="1:1">
      <c r="A248" s="55"/>
    </row>
    <row r="249" spans="1:1">
      <c r="A249" s="55"/>
    </row>
    <row r="250" spans="1:1">
      <c r="A250" s="55"/>
    </row>
    <row r="251" spans="1:1">
      <c r="A251" s="55"/>
    </row>
    <row r="252" spans="1:1">
      <c r="A252" s="55"/>
    </row>
    <row r="253" spans="1:1">
      <c r="A253" s="55"/>
    </row>
    <row r="254" spans="1:1">
      <c r="A254" s="55"/>
    </row>
    <row r="255" spans="1:1">
      <c r="A255" s="55"/>
    </row>
    <row r="256" spans="1:1">
      <c r="A256" s="55"/>
    </row>
    <row r="257" spans="1:1">
      <c r="A257" s="55"/>
    </row>
    <row r="258" spans="1:1">
      <c r="A258" s="55"/>
    </row>
    <row r="259" spans="1:1">
      <c r="A259" s="55"/>
    </row>
    <row r="260" spans="1:1">
      <c r="A260" s="55"/>
    </row>
    <row r="261" spans="1:1">
      <c r="A261" s="55"/>
    </row>
    <row r="262" spans="1:1">
      <c r="A262" s="55"/>
    </row>
    <row r="263" spans="1:1">
      <c r="A263" s="55"/>
    </row>
    <row r="264" spans="1:1">
      <c r="A264" s="55"/>
    </row>
    <row r="265" spans="1:1">
      <c r="A265" s="55"/>
    </row>
    <row r="266" spans="1:1">
      <c r="A266" s="55"/>
    </row>
    <row r="267" spans="1:1">
      <c r="A267" s="55"/>
    </row>
    <row r="268" spans="1:1">
      <c r="A268" s="55"/>
    </row>
    <row r="269" spans="1:1">
      <c r="A269" s="55"/>
    </row>
    <row r="270" spans="1:1">
      <c r="A270" s="55"/>
    </row>
    <row r="271" spans="1:1">
      <c r="A271" s="55"/>
    </row>
    <row r="272" spans="1:1">
      <c r="A272" s="55"/>
    </row>
    <row r="273" spans="1:1">
      <c r="A273" s="55"/>
    </row>
    <row r="274" spans="1:1">
      <c r="A274" s="55"/>
    </row>
    <row r="275" spans="1:1">
      <c r="A275" s="55"/>
    </row>
    <row r="276" spans="1:1">
      <c r="A276" s="55"/>
    </row>
    <row r="277" spans="1:1">
      <c r="A277" s="55"/>
    </row>
    <row r="278" spans="1:1">
      <c r="A278" s="55"/>
    </row>
    <row r="279" spans="1:1">
      <c r="A279" s="55"/>
    </row>
    <row r="280" spans="1:1">
      <c r="A280" s="55"/>
    </row>
    <row r="281" spans="1:1">
      <c r="A281" s="55"/>
    </row>
    <row r="282" spans="1:1">
      <c r="A282" s="55"/>
    </row>
    <row r="283" spans="1:1">
      <c r="A283" s="55"/>
    </row>
    <row r="284" spans="1:1">
      <c r="A284" s="55"/>
    </row>
    <row r="285" spans="1:1">
      <c r="A285" s="55"/>
    </row>
    <row r="286" spans="1:1">
      <c r="A286" s="55"/>
    </row>
    <row r="287" spans="1:1">
      <c r="A287" s="55"/>
    </row>
    <row r="288" spans="1:1">
      <c r="A288" s="55"/>
    </row>
    <row r="289" spans="1:1">
      <c r="A289" s="55"/>
    </row>
    <row r="290" spans="1:1">
      <c r="A290" s="55"/>
    </row>
    <row r="291" spans="1:1">
      <c r="A291" s="55"/>
    </row>
    <row r="292" spans="1:1">
      <c r="A292" s="55"/>
    </row>
    <row r="293" spans="1:1">
      <c r="A293" s="55"/>
    </row>
    <row r="294" spans="1:1">
      <c r="A294" s="55"/>
    </row>
    <row r="295" spans="1:1">
      <c r="A295" s="55"/>
    </row>
    <row r="296" spans="1:1">
      <c r="A296" s="55"/>
    </row>
    <row r="297" spans="1:1">
      <c r="A297" s="55"/>
    </row>
    <row r="298" spans="1:1">
      <c r="A298" s="55"/>
    </row>
    <row r="299" spans="1:1">
      <c r="A299" s="55"/>
    </row>
    <row r="300" spans="1:1">
      <c r="A300" s="55"/>
    </row>
    <row r="301" spans="1:1">
      <c r="A301" s="55"/>
    </row>
    <row r="302" spans="1:1">
      <c r="A302" s="55"/>
    </row>
    <row r="303" spans="1:1">
      <c r="A303" s="55"/>
    </row>
    <row r="304" spans="1:1">
      <c r="A304" s="55"/>
    </row>
    <row r="305" spans="1:1">
      <c r="A305" s="55"/>
    </row>
    <row r="306" spans="1:1">
      <c r="A306" s="55"/>
    </row>
    <row r="307" spans="1:1">
      <c r="A307" s="55"/>
    </row>
    <row r="308" spans="1:1">
      <c r="A308" s="55"/>
    </row>
    <row r="309" spans="1:1">
      <c r="A309" s="55"/>
    </row>
    <row r="310" spans="1:1">
      <c r="A310" s="55"/>
    </row>
    <row r="311" spans="1:1">
      <c r="A311" s="55"/>
    </row>
    <row r="312" spans="1:1">
      <c r="A312" s="55"/>
    </row>
    <row r="313" spans="1:1">
      <c r="A313" s="55"/>
    </row>
    <row r="314" spans="1:1">
      <c r="A314" s="55"/>
    </row>
    <row r="315" spans="1:1">
      <c r="A315" s="55"/>
    </row>
    <row r="316" spans="1:1">
      <c r="A316" s="55"/>
    </row>
    <row r="317" spans="1:1">
      <c r="A317" s="55"/>
    </row>
    <row r="318" spans="1:1">
      <c r="A318" s="55"/>
    </row>
    <row r="319" spans="1:1">
      <c r="A319" s="55"/>
    </row>
    <row r="320" spans="1:1">
      <c r="A320" s="55"/>
    </row>
    <row r="321" spans="1:1">
      <c r="A321" s="55"/>
    </row>
    <row r="322" spans="1:1">
      <c r="A322" s="55"/>
    </row>
    <row r="323" spans="1:1">
      <c r="A323" s="55"/>
    </row>
    <row r="324" spans="1:1">
      <c r="A324" s="55"/>
    </row>
    <row r="325" spans="1:1">
      <c r="A325" s="55"/>
    </row>
    <row r="326" spans="1:1">
      <c r="A326" s="55"/>
    </row>
    <row r="327" spans="1:1">
      <c r="A327" s="55"/>
    </row>
    <row r="328" spans="1:1">
      <c r="A328" s="55"/>
    </row>
    <row r="329" spans="1:1">
      <c r="A329" s="55"/>
    </row>
    <row r="330" spans="1:1">
      <c r="A330" s="55"/>
    </row>
    <row r="331" spans="1:1">
      <c r="A331" s="55"/>
    </row>
    <row r="332" spans="1:1">
      <c r="A332" s="55"/>
    </row>
    <row r="333" spans="1:1">
      <c r="A333" s="55"/>
    </row>
    <row r="334" spans="1:1">
      <c r="A334" s="55"/>
    </row>
    <row r="335" spans="1:1">
      <c r="A335" s="55"/>
    </row>
    <row r="336" spans="1:1">
      <c r="A336" s="55"/>
    </row>
    <row r="337" spans="1:1">
      <c r="A337" s="55"/>
    </row>
    <row r="338" spans="1:1">
      <c r="A338" s="55"/>
    </row>
    <row r="339" spans="1:1">
      <c r="A339" s="55"/>
    </row>
    <row r="340" spans="1:1">
      <c r="A340" s="55"/>
    </row>
    <row r="341" spans="1:1">
      <c r="A341" s="55"/>
    </row>
    <row r="342" spans="1:1">
      <c r="A342" s="55"/>
    </row>
    <row r="343" spans="1:1">
      <c r="A343" s="55"/>
    </row>
    <row r="344" spans="1:1">
      <c r="A344" s="55"/>
    </row>
    <row r="345" spans="1:1">
      <c r="A345" s="55"/>
    </row>
    <row r="346" spans="1:1">
      <c r="A346" s="55"/>
    </row>
    <row r="347" spans="1:1">
      <c r="A347" s="55"/>
    </row>
    <row r="348" spans="1:1">
      <c r="A348" s="55"/>
    </row>
    <row r="349" spans="1:1">
      <c r="A349" s="55"/>
    </row>
    <row r="350" spans="1:1">
      <c r="A350" s="55"/>
    </row>
    <row r="351" spans="1:1">
      <c r="A351" s="55"/>
    </row>
    <row r="352" spans="1:1">
      <c r="A352" s="55"/>
    </row>
    <row r="353" spans="1:1">
      <c r="A353" s="55"/>
    </row>
    <row r="354" spans="1:1">
      <c r="A354" s="55"/>
    </row>
    <row r="355" spans="1:1">
      <c r="A355" s="55"/>
    </row>
    <row r="356" spans="1:1">
      <c r="A356" s="55"/>
    </row>
    <row r="357" spans="1:1">
      <c r="A357" s="55"/>
    </row>
    <row r="358" spans="1:1">
      <c r="A358" s="55"/>
    </row>
    <row r="359" spans="1:1">
      <c r="A359" s="55"/>
    </row>
    <row r="360" spans="1:1">
      <c r="A360" s="55"/>
    </row>
    <row r="361" spans="1:1">
      <c r="A361" s="55"/>
    </row>
    <row r="362" spans="1:1">
      <c r="A362" s="55"/>
    </row>
    <row r="363" spans="1:1">
      <c r="A363" s="55"/>
    </row>
    <row r="364" spans="1:1">
      <c r="A364" s="55"/>
    </row>
    <row r="365" spans="1:1">
      <c r="A365" s="55"/>
    </row>
    <row r="366" spans="1:1">
      <c r="A366" s="55"/>
    </row>
    <row r="367" spans="1:1">
      <c r="A367" s="55"/>
    </row>
    <row r="368" spans="1:1">
      <c r="A368" s="55"/>
    </row>
    <row r="369" spans="1:1">
      <c r="A369" s="55"/>
    </row>
    <row r="370" spans="1:1">
      <c r="A370" s="55"/>
    </row>
    <row r="371" spans="1:1">
      <c r="A371" s="55"/>
    </row>
    <row r="372" spans="1:1">
      <c r="A372" s="55"/>
    </row>
    <row r="373" spans="1:1">
      <c r="A373" s="55"/>
    </row>
    <row r="374" spans="1:1">
      <c r="A374" s="55"/>
    </row>
    <row r="375" spans="1:1">
      <c r="A375" s="55"/>
    </row>
    <row r="376" spans="1:1">
      <c r="A376" s="55"/>
    </row>
    <row r="377" spans="1:1">
      <c r="A377" s="55"/>
    </row>
    <row r="378" spans="1:1">
      <c r="A378" s="55"/>
    </row>
    <row r="379" spans="1:1">
      <c r="A379" s="55"/>
    </row>
    <row r="380" spans="1:1">
      <c r="A380" s="55"/>
    </row>
    <row r="381" spans="1:1">
      <c r="A381" s="55"/>
    </row>
    <row r="382" spans="1:1">
      <c r="A382" s="55"/>
    </row>
    <row r="383" spans="1:1">
      <c r="A383" s="55"/>
    </row>
    <row r="384" spans="1:1">
      <c r="A384" s="55"/>
    </row>
    <row r="385" spans="1:1">
      <c r="A385" s="55"/>
    </row>
    <row r="386" spans="1:1">
      <c r="A386" s="55"/>
    </row>
    <row r="387" spans="1:1">
      <c r="A387" s="55"/>
    </row>
    <row r="388" spans="1:1">
      <c r="A388" s="55"/>
    </row>
    <row r="389" spans="1:1">
      <c r="A389" s="55"/>
    </row>
    <row r="390" spans="1:1">
      <c r="A390" s="55"/>
    </row>
    <row r="391" spans="1:1">
      <c r="A391" s="55"/>
    </row>
    <row r="392" spans="1:1">
      <c r="A392" s="55"/>
    </row>
    <row r="393" spans="1:1">
      <c r="A393" s="55"/>
    </row>
    <row r="394" spans="1:1">
      <c r="A394" s="55"/>
    </row>
    <row r="395" spans="1:1">
      <c r="A395" s="55"/>
    </row>
    <row r="396" spans="1:1">
      <c r="A396" s="55"/>
    </row>
    <row r="397" spans="1:1">
      <c r="A397" s="55"/>
    </row>
    <row r="398" spans="1:1">
      <c r="A398" s="55"/>
    </row>
    <row r="399" spans="1:1">
      <c r="A399" s="55"/>
    </row>
    <row r="400" spans="1:1">
      <c r="A400" s="55"/>
    </row>
    <row r="401" spans="1:1">
      <c r="A401" s="55"/>
    </row>
    <row r="402" spans="1:1">
      <c r="A402" s="55"/>
    </row>
    <row r="403" spans="1:1">
      <c r="A403" s="55"/>
    </row>
    <row r="404" spans="1:1">
      <c r="A404" s="55"/>
    </row>
    <row r="405" spans="1:1">
      <c r="A405" s="55"/>
    </row>
    <row r="406" spans="1:1">
      <c r="A406" s="55"/>
    </row>
    <row r="407" spans="1:1">
      <c r="A407" s="55"/>
    </row>
    <row r="408" spans="1:1">
      <c r="A408" s="55"/>
    </row>
    <row r="409" spans="1:1">
      <c r="A409" s="55"/>
    </row>
    <row r="410" spans="1:1">
      <c r="A410" s="55"/>
    </row>
    <row r="411" spans="1:1">
      <c r="A411" s="55"/>
    </row>
    <row r="412" spans="1:1">
      <c r="A412" s="55"/>
    </row>
    <row r="413" spans="1:1">
      <c r="A413" s="55"/>
    </row>
    <row r="414" spans="1:1">
      <c r="A414" s="55"/>
    </row>
    <row r="415" spans="1:1">
      <c r="A415" s="55"/>
    </row>
    <row r="416" spans="1:1">
      <c r="A416" s="55"/>
    </row>
    <row r="417" spans="1:1">
      <c r="A417" s="55"/>
    </row>
    <row r="418" spans="1:1">
      <c r="A418" s="55"/>
    </row>
    <row r="419" spans="1:1">
      <c r="A419" s="55"/>
    </row>
    <row r="420" spans="1:1">
      <c r="A420" s="55"/>
    </row>
    <row r="421" spans="1:1">
      <c r="A421" s="55"/>
    </row>
    <row r="422" spans="1:1">
      <c r="A422" s="55"/>
    </row>
    <row r="423" spans="1:1">
      <c r="A423" s="55"/>
    </row>
    <row r="424" spans="1:1">
      <c r="A424" s="55"/>
    </row>
    <row r="425" spans="1:1">
      <c r="A425" s="55"/>
    </row>
    <row r="426" spans="1:1">
      <c r="A426" s="55"/>
    </row>
    <row r="427" spans="1:1">
      <c r="A427" s="55"/>
    </row>
    <row r="428" spans="1:1">
      <c r="A428" s="55"/>
    </row>
    <row r="429" spans="1:1">
      <c r="A429" s="55"/>
    </row>
    <row r="430" spans="1:1">
      <c r="A430" s="55"/>
    </row>
    <row r="431" spans="1:1">
      <c r="A431" s="55"/>
    </row>
    <row r="432" spans="1:1">
      <c r="A432" s="55"/>
    </row>
    <row r="433" spans="1:1">
      <c r="A433" s="55"/>
    </row>
    <row r="434" spans="1:1">
      <c r="A434" s="55"/>
    </row>
    <row r="435" spans="1:1">
      <c r="A435" s="55"/>
    </row>
    <row r="436" spans="1:1">
      <c r="A436" s="55"/>
    </row>
    <row r="437" spans="1:1">
      <c r="A437" s="55"/>
    </row>
    <row r="438" spans="1:1">
      <c r="A438" s="55"/>
    </row>
    <row r="439" spans="1:1">
      <c r="A439" s="55"/>
    </row>
    <row r="440" spans="1:1">
      <c r="A440" s="55"/>
    </row>
    <row r="441" spans="1:1">
      <c r="A441" s="55"/>
    </row>
    <row r="442" spans="1:1">
      <c r="A442" s="55"/>
    </row>
    <row r="443" spans="1:1">
      <c r="A443" s="55"/>
    </row>
    <row r="444" spans="1:1">
      <c r="A444" s="55"/>
    </row>
    <row r="445" spans="1:1">
      <c r="A445" s="55"/>
    </row>
    <row r="446" spans="1:1">
      <c r="A446" s="55"/>
    </row>
    <row r="447" spans="1:1">
      <c r="A447" s="55"/>
    </row>
    <row r="448" spans="1:1">
      <c r="A448" s="55"/>
    </row>
    <row r="449" spans="1:1">
      <c r="A449" s="55"/>
    </row>
    <row r="450" spans="1:1">
      <c r="A450" s="55"/>
    </row>
    <row r="451" spans="1:1">
      <c r="A451" s="55"/>
    </row>
    <row r="452" spans="1:1">
      <c r="A452" s="55"/>
    </row>
    <row r="453" spans="1:1">
      <c r="A453" s="55"/>
    </row>
    <row r="454" spans="1:1">
      <c r="A454" s="55"/>
    </row>
    <row r="455" spans="1:1">
      <c r="A455" s="55"/>
    </row>
    <row r="456" spans="1:1">
      <c r="A456" s="55"/>
    </row>
    <row r="457" spans="1:1">
      <c r="A457" s="55"/>
    </row>
    <row r="458" spans="1:1">
      <c r="A458" s="55"/>
    </row>
    <row r="459" spans="1:1">
      <c r="A459" s="55"/>
    </row>
    <row r="460" spans="1:1">
      <c r="A460" s="55"/>
    </row>
    <row r="461" spans="1:1">
      <c r="A461" s="55"/>
    </row>
    <row r="462" spans="1:1">
      <c r="A462" s="55"/>
    </row>
    <row r="463" spans="1:1">
      <c r="A463" s="55"/>
    </row>
    <row r="464" spans="1:1">
      <c r="A464" s="55"/>
    </row>
    <row r="465" spans="1:1">
      <c r="A465" s="55"/>
    </row>
    <row r="466" spans="1:1">
      <c r="A466" s="55"/>
    </row>
    <row r="467" spans="1:1">
      <c r="A467" s="55"/>
    </row>
    <row r="468" spans="1:1">
      <c r="A468" s="55"/>
    </row>
    <row r="469" spans="1:1">
      <c r="A469" s="55"/>
    </row>
    <row r="470" spans="1:1">
      <c r="A470" s="55"/>
    </row>
    <row r="471" spans="1:1">
      <c r="A471" s="55"/>
    </row>
    <row r="472" spans="1:1">
      <c r="A472" s="55"/>
    </row>
    <row r="473" spans="1:1">
      <c r="A473" s="55"/>
    </row>
    <row r="474" spans="1:1">
      <c r="A474" s="55"/>
    </row>
    <row r="475" spans="1:1">
      <c r="A475" s="55"/>
    </row>
    <row r="476" spans="1:1">
      <c r="A476" s="55"/>
    </row>
    <row r="477" spans="1:1">
      <c r="A477" s="55"/>
    </row>
    <row r="478" spans="1:1">
      <c r="A478" s="55"/>
    </row>
    <row r="479" spans="1:1">
      <c r="A479" s="55"/>
    </row>
    <row r="480" spans="1:1">
      <c r="A480" s="55"/>
    </row>
    <row r="481" spans="1:1">
      <c r="A481" s="55"/>
    </row>
    <row r="482" spans="1:1">
      <c r="A482" s="55"/>
    </row>
    <row r="483" spans="1:1">
      <c r="A483" s="55"/>
    </row>
    <row r="484" spans="1:1">
      <c r="A484" s="55"/>
    </row>
    <row r="485" spans="1:1">
      <c r="A485" s="55"/>
    </row>
    <row r="486" spans="1:1">
      <c r="A486" s="55"/>
    </row>
    <row r="487" spans="1:1">
      <c r="A487" s="55"/>
    </row>
    <row r="488" spans="1:1">
      <c r="A488" s="55"/>
    </row>
    <row r="489" spans="1:1">
      <c r="A489" s="55"/>
    </row>
    <row r="490" spans="1:1">
      <c r="A490" s="55"/>
    </row>
    <row r="491" spans="1:1">
      <c r="A491" s="55"/>
    </row>
    <row r="492" spans="1:1">
      <c r="A492" s="55"/>
    </row>
    <row r="493" spans="1:1">
      <c r="A493" s="55"/>
    </row>
    <row r="494" spans="1:1">
      <c r="A494" s="55"/>
    </row>
    <row r="495" spans="1:1">
      <c r="A495" s="55"/>
    </row>
    <row r="496" spans="1:1">
      <c r="A496" s="55"/>
    </row>
    <row r="497" spans="1:1">
      <c r="A497" s="55"/>
    </row>
    <row r="498" spans="1:1">
      <c r="A498" s="55"/>
    </row>
    <row r="499" spans="1:1">
      <c r="A499" s="55"/>
    </row>
    <row r="500" spans="1:1">
      <c r="A500" s="55"/>
    </row>
    <row r="501" spans="1:1">
      <c r="A501" s="55"/>
    </row>
    <row r="502" spans="1:1">
      <c r="A502" s="55"/>
    </row>
    <row r="503" spans="1:1">
      <c r="A503" s="55"/>
    </row>
    <row r="504" spans="1:1">
      <c r="A504" s="55"/>
    </row>
    <row r="505" spans="1:1">
      <c r="A505" s="55"/>
    </row>
    <row r="506" spans="1:1">
      <c r="A506" s="55"/>
    </row>
    <row r="507" spans="1:1">
      <c r="A507" s="55"/>
    </row>
    <row r="508" spans="1:1">
      <c r="A508" s="55"/>
    </row>
    <row r="509" spans="1:1">
      <c r="A509" s="55"/>
    </row>
    <row r="510" spans="1:1">
      <c r="A510" s="55"/>
    </row>
    <row r="511" spans="1:1">
      <c r="A511" s="55"/>
    </row>
    <row r="512" spans="1:1">
      <c r="A512" s="55"/>
    </row>
    <row r="513" spans="1:1">
      <c r="A513" s="55"/>
    </row>
    <row r="514" spans="1:1">
      <c r="A514" s="55"/>
    </row>
    <row r="515" spans="1:1">
      <c r="A515" s="55"/>
    </row>
    <row r="516" spans="1:1">
      <c r="A516" s="55"/>
    </row>
    <row r="517" spans="1:1">
      <c r="A517" s="55"/>
    </row>
    <row r="518" spans="1:1">
      <c r="A518" s="55"/>
    </row>
    <row r="519" spans="1:1">
      <c r="A519" s="55"/>
    </row>
    <row r="520" spans="1:1">
      <c r="A520" s="55"/>
    </row>
    <row r="521" spans="1:1">
      <c r="A521" s="55"/>
    </row>
    <row r="522" spans="1:1">
      <c r="A522" s="55"/>
    </row>
    <row r="523" spans="1:1">
      <c r="A523" s="55"/>
    </row>
    <row r="524" spans="1:1">
      <c r="A524" s="55"/>
    </row>
    <row r="525" spans="1:1">
      <c r="A525" s="55"/>
    </row>
    <row r="526" spans="1:1">
      <c r="A526" s="55"/>
    </row>
    <row r="527" spans="1:1">
      <c r="A527" s="55"/>
    </row>
    <row r="528" spans="1:1">
      <c r="A528" s="55"/>
    </row>
    <row r="529" spans="1:1">
      <c r="A529" s="55"/>
    </row>
    <row r="530" spans="1:1">
      <c r="A530" s="55"/>
    </row>
    <row r="531" spans="1:1">
      <c r="A531" s="55"/>
    </row>
    <row r="532" spans="1:1">
      <c r="A532" s="55"/>
    </row>
    <row r="533" spans="1:1">
      <c r="A533" s="55"/>
    </row>
    <row r="534" spans="1:1">
      <c r="A534" s="55"/>
    </row>
    <row r="535" spans="1:1">
      <c r="A535" s="55"/>
    </row>
    <row r="536" spans="1:1">
      <c r="A536" s="55"/>
    </row>
    <row r="537" spans="1:1">
      <c r="A537" s="55"/>
    </row>
    <row r="538" spans="1:1">
      <c r="A538" s="55"/>
    </row>
    <row r="539" spans="1:1">
      <c r="A539" s="55"/>
    </row>
    <row r="540" spans="1:1">
      <c r="A540" s="55"/>
    </row>
    <row r="541" spans="1:1">
      <c r="A541" s="55"/>
    </row>
    <row r="542" spans="1:1">
      <c r="A542" s="55"/>
    </row>
    <row r="543" spans="1:1">
      <c r="A543" s="55"/>
    </row>
    <row r="544" spans="1:1">
      <c r="A544" s="55"/>
    </row>
    <row r="545" spans="1:1">
      <c r="A545" s="55"/>
    </row>
    <row r="546" spans="1:1">
      <c r="A546" s="55"/>
    </row>
    <row r="547" spans="1:1">
      <c r="A547" s="55"/>
    </row>
    <row r="548" spans="1:1">
      <c r="A548" s="55"/>
    </row>
    <row r="549" spans="1:1">
      <c r="A549" s="55"/>
    </row>
    <row r="550" spans="1:1">
      <c r="A550" s="55"/>
    </row>
    <row r="551" spans="1:1">
      <c r="A551" s="55"/>
    </row>
    <row r="552" spans="1:1">
      <c r="A552" s="55"/>
    </row>
    <row r="553" spans="1:1">
      <c r="A553" s="55"/>
    </row>
    <row r="554" spans="1:1">
      <c r="A554" s="55"/>
    </row>
    <row r="555" spans="1:1">
      <c r="A555" s="55"/>
    </row>
    <row r="556" spans="1:1">
      <c r="A556" s="55"/>
    </row>
    <row r="557" spans="1:1">
      <c r="A557" s="55"/>
    </row>
    <row r="558" spans="1:1">
      <c r="A558" s="55"/>
    </row>
    <row r="559" spans="1:1">
      <c r="A559" s="55"/>
    </row>
    <row r="560" spans="1:1">
      <c r="A560" s="55"/>
    </row>
    <row r="561" spans="1:1">
      <c r="A561" s="55"/>
    </row>
    <row r="562" spans="1:1">
      <c r="A562" s="55"/>
    </row>
    <row r="563" spans="1:1">
      <c r="A563" s="55"/>
    </row>
    <row r="564" spans="1:1">
      <c r="A564" s="55"/>
    </row>
    <row r="565" spans="1:1">
      <c r="A565" s="55"/>
    </row>
    <row r="566" spans="1:1">
      <c r="A566" s="55"/>
    </row>
    <row r="567" spans="1:1">
      <c r="A567" s="55"/>
    </row>
    <row r="568" spans="1:1">
      <c r="A568" s="55"/>
    </row>
    <row r="569" spans="1:1">
      <c r="A569" s="55"/>
    </row>
    <row r="570" spans="1:1">
      <c r="A570" s="55"/>
    </row>
    <row r="571" spans="1:1">
      <c r="A571" s="55"/>
    </row>
    <row r="572" spans="1:1">
      <c r="A572" s="55"/>
    </row>
    <row r="573" spans="1:1">
      <c r="A573" s="55"/>
    </row>
    <row r="574" spans="1:1">
      <c r="A574" s="55"/>
    </row>
    <row r="575" spans="1:1">
      <c r="A575" s="55"/>
    </row>
    <row r="576" spans="1:1">
      <c r="A576" s="55"/>
    </row>
    <row r="577" spans="1:1">
      <c r="A577" s="55"/>
    </row>
    <row r="578" spans="1:1">
      <c r="A578" s="55"/>
    </row>
    <row r="579" spans="1:1">
      <c r="A579" s="55"/>
    </row>
    <row r="580" spans="1:1">
      <c r="A580" s="55"/>
    </row>
    <row r="581" spans="1:1">
      <c r="A581" s="55"/>
    </row>
    <row r="582" spans="1:1">
      <c r="A582" s="55"/>
    </row>
    <row r="583" spans="1:1">
      <c r="A583" s="55"/>
    </row>
    <row r="584" spans="1:1">
      <c r="A584" s="55"/>
    </row>
    <row r="585" spans="1:1">
      <c r="A585" s="55"/>
    </row>
    <row r="586" spans="1:1">
      <c r="A586" s="55"/>
    </row>
    <row r="587" spans="1:1">
      <c r="A587" s="55"/>
    </row>
    <row r="588" spans="1:1">
      <c r="A588" s="55"/>
    </row>
    <row r="589" spans="1:1">
      <c r="A589" s="55"/>
    </row>
    <row r="590" spans="1:1">
      <c r="A590" s="55"/>
    </row>
    <row r="591" spans="1:1">
      <c r="A591" s="55"/>
    </row>
    <row r="592" spans="1:1">
      <c r="A592" s="55"/>
    </row>
    <row r="593" spans="1:1">
      <c r="A593" s="55"/>
    </row>
    <row r="594" spans="1:1">
      <c r="A594" s="55"/>
    </row>
    <row r="595" spans="1:1">
      <c r="A595" s="55"/>
    </row>
    <row r="596" spans="1:1">
      <c r="A596" s="55"/>
    </row>
    <row r="597" spans="1:1">
      <c r="A597" s="55"/>
    </row>
    <row r="598" spans="1:1">
      <c r="A598" s="55"/>
    </row>
    <row r="599" spans="1:1">
      <c r="A599" s="55"/>
    </row>
    <row r="600" spans="1:1">
      <c r="A600" s="55"/>
    </row>
    <row r="601" spans="1:1">
      <c r="A601" s="55"/>
    </row>
    <row r="602" spans="1:1">
      <c r="A602" s="55"/>
    </row>
    <row r="603" spans="1:1">
      <c r="A603" s="55"/>
    </row>
    <row r="604" spans="1:1">
      <c r="A604" s="55"/>
    </row>
    <row r="605" spans="1:1">
      <c r="A605" s="55"/>
    </row>
    <row r="606" spans="1:1">
      <c r="A606" s="55"/>
    </row>
    <row r="607" spans="1:1">
      <c r="A607" s="55"/>
    </row>
    <row r="608" spans="1:1">
      <c r="A608" s="55"/>
    </row>
    <row r="609" spans="1:1">
      <c r="A609" s="55"/>
    </row>
    <row r="610" spans="1:1">
      <c r="A610" s="55"/>
    </row>
    <row r="611" spans="1:1">
      <c r="A611" s="55"/>
    </row>
    <row r="612" spans="1:1">
      <c r="A612" s="55"/>
    </row>
    <row r="613" spans="1:1">
      <c r="A613" s="55"/>
    </row>
    <row r="614" spans="1:1">
      <c r="A614" s="55"/>
    </row>
    <row r="615" spans="1:1">
      <c r="A615" s="55"/>
    </row>
    <row r="616" spans="1:1">
      <c r="A616" s="55"/>
    </row>
    <row r="617" spans="1:1">
      <c r="A617" s="55"/>
    </row>
    <row r="618" spans="1:1">
      <c r="A618" s="55"/>
    </row>
    <row r="619" spans="1:1">
      <c r="A619" s="55"/>
    </row>
    <row r="620" spans="1:1">
      <c r="A620" s="55"/>
    </row>
    <row r="621" spans="1:1">
      <c r="A621" s="55"/>
    </row>
    <row r="622" spans="1:1">
      <c r="A622" s="55"/>
    </row>
    <row r="623" spans="1:1">
      <c r="A623" s="55"/>
    </row>
    <row r="624" spans="1:1">
      <c r="A624" s="55"/>
    </row>
    <row r="625" spans="1:1">
      <c r="A625" s="55"/>
    </row>
    <row r="626" spans="1:1">
      <c r="A626" s="55"/>
    </row>
    <row r="627" spans="1:1">
      <c r="A627" s="55"/>
    </row>
    <row r="628" spans="1:1">
      <c r="A628" s="55"/>
    </row>
    <row r="629" spans="1:1">
      <c r="A629" s="55"/>
    </row>
    <row r="630" spans="1:1">
      <c r="A630" s="55"/>
    </row>
    <row r="631" spans="1:1">
      <c r="A631" s="55"/>
    </row>
    <row r="632" spans="1:1">
      <c r="A632" s="55"/>
    </row>
    <row r="633" spans="1:1">
      <c r="A633" s="55"/>
    </row>
    <row r="634" spans="1:1">
      <c r="A634" s="55"/>
    </row>
    <row r="635" spans="1:1">
      <c r="A635" s="55"/>
    </row>
    <row r="636" spans="1:1">
      <c r="A636" s="55"/>
    </row>
    <row r="637" spans="1:1">
      <c r="A637" s="55"/>
    </row>
    <row r="638" spans="1:1">
      <c r="A638" s="55"/>
    </row>
    <row r="639" spans="1:1">
      <c r="A639" s="55"/>
    </row>
    <row r="640" spans="1:1">
      <c r="A640" s="55"/>
    </row>
    <row r="641" spans="1:1">
      <c r="A641" s="55"/>
    </row>
    <row r="642" spans="1:1">
      <c r="A642" s="55"/>
    </row>
    <row r="643" spans="1:1">
      <c r="A643" s="55"/>
    </row>
    <row r="644" spans="1:1">
      <c r="A644" s="55"/>
    </row>
    <row r="645" spans="1:1">
      <c r="A645" s="55"/>
    </row>
    <row r="646" spans="1:1">
      <c r="A646" s="55"/>
    </row>
    <row r="647" spans="1:1">
      <c r="A647" s="55"/>
    </row>
    <row r="648" spans="1:1">
      <c r="A648" s="55"/>
    </row>
    <row r="649" spans="1:1">
      <c r="A649" s="55"/>
    </row>
    <row r="650" spans="1:1">
      <c r="A650" s="55"/>
    </row>
    <row r="651" spans="1:1">
      <c r="A651" s="55"/>
    </row>
    <row r="652" spans="1:1">
      <c r="A652" s="55"/>
    </row>
    <row r="653" spans="1:1">
      <c r="A653" s="55"/>
    </row>
    <row r="654" spans="1:1">
      <c r="A654" s="55"/>
    </row>
    <row r="655" spans="1:1">
      <c r="A655" s="55"/>
    </row>
    <row r="656" spans="1:1">
      <c r="A656" s="55"/>
    </row>
    <row r="657" spans="1:1">
      <c r="A657" s="55"/>
    </row>
    <row r="658" spans="1:1">
      <c r="A658" s="55"/>
    </row>
    <row r="659" spans="1:1">
      <c r="A659" s="55"/>
    </row>
    <row r="660" spans="1:1">
      <c r="A660" s="55"/>
    </row>
    <row r="661" spans="1:1">
      <c r="A661" s="55"/>
    </row>
    <row r="662" spans="1:1">
      <c r="A662" s="55"/>
    </row>
    <row r="663" spans="1:1">
      <c r="A663" s="55"/>
    </row>
    <row r="664" spans="1:1">
      <c r="A664" s="55"/>
    </row>
    <row r="665" spans="1:1">
      <c r="A665" s="55"/>
    </row>
    <row r="666" spans="1:1">
      <c r="A666" s="55"/>
    </row>
    <row r="667" spans="1:1">
      <c r="A667" s="55"/>
    </row>
    <row r="668" spans="1:1">
      <c r="A668" s="55"/>
    </row>
    <row r="669" spans="1:1">
      <c r="A669" s="55"/>
    </row>
    <row r="670" spans="1:1">
      <c r="A670" s="55"/>
    </row>
    <row r="671" spans="1:1">
      <c r="A671" s="55"/>
    </row>
    <row r="672" spans="1:1">
      <c r="A672" s="55"/>
    </row>
    <row r="673" spans="1:1">
      <c r="A673" s="55"/>
    </row>
    <row r="674" spans="1:1">
      <c r="A674" s="55"/>
    </row>
    <row r="675" spans="1:1">
      <c r="A675" s="55"/>
    </row>
    <row r="676" spans="1:1">
      <c r="A676" s="55"/>
    </row>
    <row r="677" spans="1:1">
      <c r="A677" s="55"/>
    </row>
    <row r="678" spans="1:1">
      <c r="A678" s="55"/>
    </row>
    <row r="679" spans="1:1">
      <c r="A679" s="55"/>
    </row>
    <row r="680" spans="1:1">
      <c r="A680" s="55"/>
    </row>
    <row r="681" spans="1:1">
      <c r="A681" s="55"/>
    </row>
    <row r="682" spans="1:1">
      <c r="A682" s="55"/>
    </row>
    <row r="683" spans="1:1">
      <c r="A683" s="55"/>
    </row>
    <row r="684" spans="1:1">
      <c r="A684" s="55"/>
    </row>
    <row r="685" spans="1:1">
      <c r="A685" s="55"/>
    </row>
    <row r="686" spans="1:1">
      <c r="A686" s="55"/>
    </row>
    <row r="687" spans="1:1">
      <c r="A687" s="55"/>
    </row>
    <row r="688" spans="1:1">
      <c r="A688" s="55"/>
    </row>
    <row r="689" spans="1:1">
      <c r="A689" s="55"/>
    </row>
    <row r="690" spans="1:1">
      <c r="A690" s="55"/>
    </row>
    <row r="691" spans="1:1">
      <c r="A691" s="55"/>
    </row>
    <row r="692" spans="1:1">
      <c r="A692" s="55"/>
    </row>
    <row r="693" spans="1:1">
      <c r="A693" s="55"/>
    </row>
    <row r="694" spans="1:1">
      <c r="A694" s="55"/>
    </row>
    <row r="695" spans="1:1">
      <c r="A695" s="55"/>
    </row>
    <row r="696" spans="1:1">
      <c r="A696" s="55"/>
    </row>
    <row r="697" spans="1:1">
      <c r="A697" s="55"/>
    </row>
    <row r="698" spans="1:1">
      <c r="A698" s="55"/>
    </row>
    <row r="699" spans="1:1">
      <c r="A699" s="55"/>
    </row>
    <row r="700" spans="1:1">
      <c r="A700" s="55"/>
    </row>
    <row r="701" spans="1:1">
      <c r="A701" s="55"/>
    </row>
    <row r="702" spans="1:1">
      <c r="A702" s="55"/>
    </row>
    <row r="703" spans="1:1">
      <c r="A703" s="55"/>
    </row>
    <row r="704" spans="1:1">
      <c r="A704" s="55"/>
    </row>
    <row r="705" spans="1:1">
      <c r="A705" s="55"/>
    </row>
    <row r="706" spans="1:1">
      <c r="A706" s="55"/>
    </row>
    <row r="707" spans="1:1">
      <c r="A707" s="55"/>
    </row>
    <row r="708" spans="1:1">
      <c r="A708" s="55"/>
    </row>
    <row r="709" spans="1:1">
      <c r="A709" s="55"/>
    </row>
    <row r="710" spans="1:1">
      <c r="A710" s="55"/>
    </row>
    <row r="711" spans="1:1">
      <c r="A711" s="55"/>
    </row>
    <row r="712" spans="1:1">
      <c r="A712" s="55"/>
    </row>
    <row r="713" spans="1:1">
      <c r="A713" s="55"/>
    </row>
    <row r="714" spans="1:1">
      <c r="A714" s="55"/>
    </row>
    <row r="715" spans="1:1">
      <c r="A715" s="55"/>
    </row>
    <row r="716" spans="1:1">
      <c r="A716" s="55"/>
    </row>
    <row r="717" spans="1:1">
      <c r="A717" s="55"/>
    </row>
    <row r="718" spans="1:1">
      <c r="A718" s="55"/>
    </row>
    <row r="719" spans="1:1">
      <c r="A719" s="55"/>
    </row>
    <row r="720" spans="1:1">
      <c r="A720" s="55"/>
    </row>
    <row r="721" spans="1:1">
      <c r="A721" s="55"/>
    </row>
    <row r="722" spans="1:1">
      <c r="A722" s="55"/>
    </row>
    <row r="723" spans="1:1">
      <c r="A723" s="55"/>
    </row>
    <row r="724" spans="1:1">
      <c r="A724" s="55"/>
    </row>
    <row r="725" spans="1:1">
      <c r="A725" s="55"/>
    </row>
    <row r="726" spans="1:1">
      <c r="A726" s="55"/>
    </row>
    <row r="727" spans="1:1">
      <c r="A727" s="55"/>
    </row>
    <row r="728" spans="1:1">
      <c r="A728" s="55"/>
    </row>
    <row r="729" spans="1:1">
      <c r="A729" s="55"/>
    </row>
    <row r="730" spans="1:1">
      <c r="A730" s="55"/>
    </row>
    <row r="731" spans="1:1">
      <c r="A731" s="55"/>
    </row>
    <row r="732" spans="1:1">
      <c r="A732" s="55"/>
    </row>
    <row r="733" spans="1:1">
      <c r="A733" s="55"/>
    </row>
    <row r="734" spans="1:1">
      <c r="A734" s="55"/>
    </row>
    <row r="735" spans="1:1">
      <c r="A735" s="55"/>
    </row>
    <row r="736" spans="1:1">
      <c r="A736" s="55"/>
    </row>
    <row r="737" spans="1:1">
      <c r="A737" s="55"/>
    </row>
    <row r="738" spans="1:1">
      <c r="A738" s="55"/>
    </row>
    <row r="739" spans="1:1">
      <c r="A739" s="55"/>
    </row>
    <row r="740" spans="1:1">
      <c r="A740" s="55"/>
    </row>
    <row r="741" spans="1:1">
      <c r="A741" s="55"/>
    </row>
    <row r="742" spans="1:1">
      <c r="A742" s="55"/>
    </row>
    <row r="743" spans="1:1">
      <c r="A743" s="55"/>
    </row>
    <row r="744" spans="1:1">
      <c r="A744" s="55"/>
    </row>
    <row r="745" spans="1:1">
      <c r="A745" s="55"/>
    </row>
    <row r="746" spans="1:1">
      <c r="A746" s="55"/>
    </row>
    <row r="747" spans="1:1">
      <c r="A747" s="55"/>
    </row>
    <row r="748" spans="1:1">
      <c r="A748" s="55"/>
    </row>
    <row r="749" spans="1:1">
      <c r="A749" s="55"/>
    </row>
    <row r="750" spans="1:1">
      <c r="A750" s="55"/>
    </row>
    <row r="751" spans="1:1">
      <c r="A751" s="55"/>
    </row>
    <row r="752" spans="1:1">
      <c r="A752" s="55"/>
    </row>
    <row r="753" spans="1:1">
      <c r="A753" s="55"/>
    </row>
    <row r="754" spans="1:1">
      <c r="A754" s="55"/>
    </row>
    <row r="755" spans="1:1">
      <c r="A755" s="55"/>
    </row>
    <row r="756" spans="1:1">
      <c r="A756" s="55"/>
    </row>
    <row r="757" spans="1:1">
      <c r="A757" s="55"/>
    </row>
    <row r="758" spans="1:1">
      <c r="A758" s="55"/>
    </row>
    <row r="759" spans="1:1">
      <c r="A759" s="55"/>
    </row>
    <row r="760" spans="1:1">
      <c r="A760" s="55"/>
    </row>
    <row r="761" spans="1:1">
      <c r="A761" s="55"/>
    </row>
    <row r="762" spans="1:1">
      <c r="A762" s="55"/>
    </row>
    <row r="763" spans="1:1">
      <c r="A763" s="55"/>
    </row>
    <row r="764" spans="1:1">
      <c r="A764" s="55"/>
    </row>
    <row r="765" spans="1:1">
      <c r="A765" s="55"/>
    </row>
    <row r="766" spans="1:1">
      <c r="A766" s="55"/>
    </row>
    <row r="767" spans="1:1">
      <c r="A767" s="55"/>
    </row>
    <row r="768" spans="1:1">
      <c r="A768" s="55"/>
    </row>
    <row r="769" spans="1:1">
      <c r="A769" s="55"/>
    </row>
    <row r="770" spans="1:1">
      <c r="A770" s="55"/>
    </row>
    <row r="771" spans="1:1">
      <c r="A771" s="55"/>
    </row>
    <row r="772" spans="1:1">
      <c r="A772" s="55"/>
    </row>
    <row r="773" spans="1:1">
      <c r="A773" s="55"/>
    </row>
    <row r="774" spans="1:1">
      <c r="A774" s="55"/>
    </row>
    <row r="775" spans="1:1">
      <c r="A775" s="55"/>
    </row>
    <row r="776" spans="1:1">
      <c r="A776" s="55"/>
    </row>
    <row r="777" spans="1:1">
      <c r="A777" s="55"/>
    </row>
    <row r="778" spans="1:1">
      <c r="A778" s="55"/>
    </row>
    <row r="779" spans="1:1">
      <c r="A779" s="55"/>
    </row>
    <row r="780" spans="1:1">
      <c r="A780" s="55"/>
    </row>
    <row r="781" spans="1:1">
      <c r="A781" s="55"/>
    </row>
    <row r="782" spans="1:1">
      <c r="A782" s="55"/>
    </row>
    <row r="783" spans="1:1">
      <c r="A783" s="55"/>
    </row>
    <row r="784" spans="1:1">
      <c r="A784" s="55"/>
    </row>
    <row r="785" spans="1:1">
      <c r="A785" s="55"/>
    </row>
    <row r="786" spans="1:1">
      <c r="A786" s="55"/>
    </row>
    <row r="787" spans="1:1">
      <c r="A787" s="55"/>
    </row>
    <row r="788" spans="1:1">
      <c r="A788" s="55"/>
    </row>
    <row r="789" spans="1:1">
      <c r="A789" s="55"/>
    </row>
    <row r="790" spans="1:1">
      <c r="A790" s="55"/>
    </row>
    <row r="791" spans="1:1">
      <c r="A791" s="55"/>
    </row>
    <row r="792" spans="1:1">
      <c r="A792" s="55"/>
    </row>
    <row r="793" spans="1:1">
      <c r="A793" s="55"/>
    </row>
    <row r="794" spans="1:1">
      <c r="A794" s="55"/>
    </row>
    <row r="795" spans="1:1">
      <c r="A795" s="55"/>
    </row>
    <row r="796" spans="1:1">
      <c r="A796" s="55"/>
    </row>
    <row r="797" spans="1:1">
      <c r="A797" s="55"/>
    </row>
    <row r="798" spans="1:1">
      <c r="A798" s="55"/>
    </row>
    <row r="799" spans="1:1">
      <c r="A799" s="55"/>
    </row>
    <row r="800" spans="1:1">
      <c r="A800" s="55"/>
    </row>
    <row r="801" spans="1:1">
      <c r="A801" s="55"/>
    </row>
    <row r="802" spans="1:1">
      <c r="A802" s="55"/>
    </row>
    <row r="803" spans="1:1">
      <c r="A803" s="55"/>
    </row>
    <row r="804" spans="1:1">
      <c r="A804" s="55"/>
    </row>
    <row r="805" spans="1:1">
      <c r="A805" s="55"/>
    </row>
    <row r="806" spans="1:1">
      <c r="A806" s="55"/>
    </row>
    <row r="807" spans="1:1">
      <c r="A807" s="55"/>
    </row>
    <row r="808" spans="1:1">
      <c r="A808" s="55"/>
    </row>
    <row r="809" spans="1:1">
      <c r="A809" s="55"/>
    </row>
    <row r="810" spans="1:1">
      <c r="A810" s="55"/>
    </row>
    <row r="811" spans="1:1">
      <c r="A811" s="55"/>
    </row>
    <row r="812" spans="1:1">
      <c r="A812" s="55"/>
    </row>
    <row r="813" spans="1:1">
      <c r="A813" s="55"/>
    </row>
    <row r="814" spans="1:1">
      <c r="A814" s="55"/>
    </row>
    <row r="815" spans="1:1">
      <c r="A815" s="55"/>
    </row>
    <row r="816" spans="1:1">
      <c r="A816" s="55"/>
    </row>
    <row r="817" spans="1:1">
      <c r="A817" s="55"/>
    </row>
    <row r="818" spans="1:1">
      <c r="A818" s="55"/>
    </row>
    <row r="819" spans="1:1">
      <c r="A819" s="55"/>
    </row>
    <row r="820" spans="1:1">
      <c r="A820" s="55"/>
    </row>
    <row r="821" spans="1:1">
      <c r="A821" s="55"/>
    </row>
    <row r="822" spans="1:1">
      <c r="A822" s="55"/>
    </row>
    <row r="823" spans="1:1">
      <c r="A823" s="55"/>
    </row>
    <row r="824" spans="1:1">
      <c r="A824" s="55"/>
    </row>
    <row r="825" spans="1:1">
      <c r="A825" s="55"/>
    </row>
    <row r="826" spans="1:1">
      <c r="A826" s="55"/>
    </row>
    <row r="827" spans="1:1">
      <c r="A827" s="55"/>
    </row>
    <row r="828" spans="1:1">
      <c r="A828" s="55"/>
    </row>
    <row r="829" spans="1:1">
      <c r="A829" s="55"/>
    </row>
    <row r="830" spans="1:1">
      <c r="A830" s="55"/>
    </row>
    <row r="831" spans="1:1">
      <c r="A831" s="55"/>
    </row>
    <row r="832" spans="1:1">
      <c r="A832" s="55"/>
    </row>
    <row r="833" spans="1:1">
      <c r="A833" s="55"/>
    </row>
    <row r="834" spans="1:1">
      <c r="A834" s="55"/>
    </row>
    <row r="835" spans="1:1">
      <c r="A835" s="55"/>
    </row>
    <row r="836" spans="1:1">
      <c r="A836" s="55"/>
    </row>
    <row r="837" spans="1:1">
      <c r="A837" s="55"/>
    </row>
    <row r="838" spans="1:1">
      <c r="A838" s="55"/>
    </row>
    <row r="839" spans="1:1">
      <c r="A839" s="55"/>
    </row>
    <row r="840" spans="1:1">
      <c r="A840" s="55"/>
    </row>
    <row r="841" spans="1:1">
      <c r="A841" s="55"/>
    </row>
    <row r="842" spans="1:1">
      <c r="A842" s="55"/>
    </row>
    <row r="843" spans="1:1">
      <c r="A843" s="55"/>
    </row>
    <row r="844" spans="1:1">
      <c r="A844" s="55"/>
    </row>
    <row r="845" spans="1:1">
      <c r="A845" s="55"/>
    </row>
    <row r="846" spans="1:1">
      <c r="A846" s="55"/>
    </row>
    <row r="847" spans="1:1">
      <c r="A847" s="55"/>
    </row>
    <row r="848" spans="1:1">
      <c r="A848" s="55"/>
    </row>
    <row r="849" spans="1:1">
      <c r="A849" s="55"/>
    </row>
    <row r="850" spans="1:1">
      <c r="A850" s="55"/>
    </row>
    <row r="851" spans="1:1">
      <c r="A851" s="55"/>
    </row>
    <row r="852" spans="1:1">
      <c r="A852" s="55"/>
    </row>
    <row r="853" spans="1:1">
      <c r="A853" s="55"/>
    </row>
    <row r="854" spans="1:1">
      <c r="A854" s="55"/>
    </row>
    <row r="855" spans="1:1">
      <c r="A855" s="55"/>
    </row>
    <row r="856" spans="1:1">
      <c r="A856" s="55"/>
    </row>
    <row r="857" spans="1:1">
      <c r="A857" s="55"/>
    </row>
    <row r="858" spans="1:1">
      <c r="A858" s="55"/>
    </row>
    <row r="859" spans="1:1">
      <c r="A859" s="55"/>
    </row>
    <row r="860" spans="1:1">
      <c r="A860" s="55"/>
    </row>
    <row r="861" spans="1:1">
      <c r="A861" s="55"/>
    </row>
    <row r="862" spans="1:1">
      <c r="A862" s="55"/>
    </row>
    <row r="863" spans="1:1">
      <c r="A863" s="55"/>
    </row>
    <row r="864" spans="1:1">
      <c r="A864" s="55"/>
    </row>
    <row r="865" spans="1:1">
      <c r="A865" s="55"/>
    </row>
    <row r="866" spans="1:1">
      <c r="A866" s="55"/>
    </row>
    <row r="867" spans="1:1">
      <c r="A867" s="55"/>
    </row>
    <row r="868" spans="1:1">
      <c r="A868" s="55"/>
    </row>
    <row r="869" spans="1:1">
      <c r="A869" s="55"/>
    </row>
    <row r="870" spans="1:1">
      <c r="A870" s="55"/>
    </row>
    <row r="871" spans="1:1">
      <c r="A871" s="55"/>
    </row>
    <row r="872" spans="1:1">
      <c r="A872" s="55"/>
    </row>
    <row r="873" spans="1:1">
      <c r="A873" s="55"/>
    </row>
    <row r="874" spans="1:1">
      <c r="A874" s="55"/>
    </row>
    <row r="875" spans="1:1">
      <c r="A875" s="55"/>
    </row>
    <row r="876" spans="1:1">
      <c r="A876" s="55"/>
    </row>
    <row r="877" spans="1:1">
      <c r="A877" s="55"/>
    </row>
    <row r="878" spans="1:1">
      <c r="A878" s="55"/>
    </row>
    <row r="879" spans="1:1">
      <c r="A879" s="55"/>
    </row>
    <row r="880" spans="1:1">
      <c r="A880" s="55"/>
    </row>
    <row r="881" spans="1:1">
      <c r="A881" s="55"/>
    </row>
    <row r="882" spans="1:1">
      <c r="A882" s="55"/>
    </row>
    <row r="883" spans="1:1">
      <c r="A883" s="55"/>
    </row>
    <row r="884" spans="1:1">
      <c r="A884" s="55"/>
    </row>
    <row r="885" spans="1:1">
      <c r="A885" s="55"/>
    </row>
    <row r="886" spans="1:1">
      <c r="A886" s="55"/>
    </row>
    <row r="887" spans="1:1">
      <c r="A887" s="55"/>
    </row>
    <row r="888" spans="1:1">
      <c r="A888" s="55"/>
    </row>
    <row r="889" spans="1:1">
      <c r="A889" s="55"/>
    </row>
    <row r="890" spans="1:1">
      <c r="A890" s="55"/>
    </row>
    <row r="891" spans="1:1">
      <c r="A891" s="55"/>
    </row>
    <row r="892" spans="1:1">
      <c r="A892" s="55"/>
    </row>
    <row r="893" spans="1:1">
      <c r="A893" s="55"/>
    </row>
    <row r="894" spans="1:1">
      <c r="A894" s="55"/>
    </row>
    <row r="895" spans="1:1">
      <c r="A895" s="55"/>
    </row>
    <row r="896" spans="1:1">
      <c r="A896" s="55"/>
    </row>
    <row r="897" spans="1:1">
      <c r="A897" s="55"/>
    </row>
    <row r="898" spans="1:1">
      <c r="A898" s="55"/>
    </row>
    <row r="899" spans="1:1">
      <c r="A899" s="55"/>
    </row>
    <row r="900" spans="1:1">
      <c r="A900" s="55"/>
    </row>
    <row r="901" spans="1:1">
      <c r="A901" s="55"/>
    </row>
    <row r="902" spans="1:1">
      <c r="A902" s="55"/>
    </row>
    <row r="903" spans="1:1">
      <c r="A903" s="55"/>
    </row>
    <row r="904" spans="1:1">
      <c r="A904" s="55"/>
    </row>
    <row r="905" spans="1:1">
      <c r="A905" s="55"/>
    </row>
    <row r="906" spans="1:1">
      <c r="A906" s="55"/>
    </row>
    <row r="907" spans="1:1">
      <c r="A907" s="55"/>
    </row>
    <row r="908" spans="1:1">
      <c r="A908" s="55"/>
    </row>
    <row r="909" spans="1:1">
      <c r="A909" s="55"/>
    </row>
    <row r="910" spans="1:1">
      <c r="A910" s="55"/>
    </row>
    <row r="911" spans="1:1">
      <c r="A911" s="55"/>
    </row>
    <row r="912" spans="1:1">
      <c r="A912" s="55"/>
    </row>
    <row r="913" spans="1:1">
      <c r="A913" s="55"/>
    </row>
    <row r="914" spans="1:1">
      <c r="A914" s="55"/>
    </row>
    <row r="915" spans="1:1">
      <c r="A915" s="55"/>
    </row>
    <row r="916" spans="1:1">
      <c r="A916" s="55"/>
    </row>
    <row r="917" spans="1:1">
      <c r="A917" s="55"/>
    </row>
    <row r="918" spans="1:1">
      <c r="A918" s="55"/>
    </row>
    <row r="919" spans="1:1">
      <c r="A919" s="55"/>
    </row>
    <row r="920" spans="1:1">
      <c r="A920" s="55"/>
    </row>
    <row r="921" spans="1:1">
      <c r="A921" s="55"/>
    </row>
    <row r="922" spans="1:1">
      <c r="A922" s="55"/>
    </row>
    <row r="923" spans="1:1">
      <c r="A923" s="55"/>
    </row>
    <row r="924" spans="1:1">
      <c r="A924" s="55"/>
    </row>
    <row r="925" spans="1:1">
      <c r="A925" s="55"/>
    </row>
    <row r="926" spans="1:1">
      <c r="A926" s="55"/>
    </row>
    <row r="927" spans="1:1">
      <c r="A927" s="55"/>
    </row>
    <row r="928" spans="1:1">
      <c r="A928" s="55"/>
    </row>
    <row r="929" spans="1:1">
      <c r="A929" s="55"/>
    </row>
    <row r="930" spans="1:1">
      <c r="A930" s="55"/>
    </row>
    <row r="931" spans="1:1">
      <c r="A931" s="55"/>
    </row>
    <row r="932" spans="1:1">
      <c r="A932" s="55"/>
    </row>
    <row r="933" spans="1:1">
      <c r="A933" s="55"/>
    </row>
    <row r="934" spans="1:1">
      <c r="A934" s="55"/>
    </row>
    <row r="935" spans="1:1">
      <c r="A935" s="55"/>
    </row>
    <row r="936" spans="1:1">
      <c r="A936" s="55"/>
    </row>
    <row r="937" spans="1:1">
      <c r="A937" s="55"/>
    </row>
    <row r="938" spans="1:1">
      <c r="A938" s="55"/>
    </row>
    <row r="939" spans="1:1">
      <c r="A939" s="55"/>
    </row>
    <row r="940" spans="1:1">
      <c r="A940" s="55"/>
    </row>
    <row r="941" spans="1:1">
      <c r="A941" s="55"/>
    </row>
    <row r="942" spans="1:1">
      <c r="A942" s="55"/>
    </row>
    <row r="943" spans="1:1">
      <c r="A943" s="55"/>
    </row>
    <row r="944" spans="1:1">
      <c r="A944" s="55"/>
    </row>
    <row r="945" spans="1:1">
      <c r="A945" s="55"/>
    </row>
    <row r="946" spans="1:1">
      <c r="A946" s="55"/>
    </row>
    <row r="947" spans="1:1">
      <c r="A947" s="55"/>
    </row>
    <row r="948" spans="1:1">
      <c r="A948" s="55"/>
    </row>
    <row r="949" spans="1:1">
      <c r="A949" s="55"/>
    </row>
    <row r="950" spans="1:1">
      <c r="A950" s="55"/>
    </row>
    <row r="951" spans="1:1">
      <c r="A951" s="55"/>
    </row>
    <row r="952" spans="1:1">
      <c r="A952" s="55"/>
    </row>
    <row r="953" spans="1:1">
      <c r="A953" s="55"/>
    </row>
    <row r="954" spans="1:1">
      <c r="A954" s="55"/>
    </row>
    <row r="955" spans="1:1">
      <c r="A955" s="55"/>
    </row>
    <row r="956" spans="1:1">
      <c r="A956" s="55"/>
    </row>
    <row r="957" spans="1:1">
      <c r="A957" s="55"/>
    </row>
    <row r="958" spans="1:1">
      <c r="A958" s="55"/>
    </row>
    <row r="959" spans="1:1">
      <c r="A959" s="55"/>
    </row>
    <row r="960" spans="1:1">
      <c r="A960" s="55"/>
    </row>
    <row r="961" spans="1:1">
      <c r="A961" s="55"/>
    </row>
    <row r="962" spans="1:1">
      <c r="A962" s="55"/>
    </row>
    <row r="963" spans="1:1">
      <c r="A963" s="55"/>
    </row>
    <row r="964" spans="1:1">
      <c r="A964" s="55"/>
    </row>
    <row r="965" spans="1:1">
      <c r="A965" s="55"/>
    </row>
    <row r="966" spans="1:1">
      <c r="A966" s="55"/>
    </row>
    <row r="967" spans="1:1">
      <c r="A967" s="55"/>
    </row>
    <row r="968" spans="1:1">
      <c r="A968" s="55"/>
    </row>
    <row r="969" spans="1:1">
      <c r="A969" s="55"/>
    </row>
    <row r="970" spans="1:1">
      <c r="A970" s="55"/>
    </row>
    <row r="971" spans="1:1">
      <c r="A971" s="55"/>
    </row>
    <row r="972" spans="1:1">
      <c r="A972" s="55"/>
    </row>
    <row r="973" spans="1:1">
      <c r="A973" s="55"/>
    </row>
    <row r="974" spans="1:1">
      <c r="A974" s="55"/>
    </row>
    <row r="975" spans="1:1">
      <c r="A975" s="55"/>
    </row>
    <row r="976" spans="1:1">
      <c r="A976" s="55"/>
    </row>
    <row r="977" spans="1:1">
      <c r="A977" s="55"/>
    </row>
    <row r="978" spans="1:1">
      <c r="A978" s="55"/>
    </row>
    <row r="979" spans="1:1">
      <c r="A979" s="55"/>
    </row>
    <row r="980" spans="1:1">
      <c r="A980" s="55"/>
    </row>
    <row r="981" spans="1:1">
      <c r="A981" s="55"/>
    </row>
    <row r="982" spans="1:1">
      <c r="A982" s="55"/>
    </row>
    <row r="983" spans="1:1">
      <c r="A983" s="55"/>
    </row>
    <row r="984" spans="1:1">
      <c r="A984" s="55"/>
    </row>
    <row r="985" spans="1:1">
      <c r="A985" s="55"/>
    </row>
    <row r="986" spans="1:1">
      <c r="A986" s="55"/>
    </row>
    <row r="987" spans="1:1">
      <c r="A987" s="55"/>
    </row>
    <row r="988" spans="1:1">
      <c r="A988" s="55"/>
    </row>
    <row r="989" spans="1:1">
      <c r="A989" s="55"/>
    </row>
    <row r="990" spans="1:1">
      <c r="A990" s="55"/>
    </row>
    <row r="991" spans="1:1">
      <c r="A991" s="55"/>
    </row>
    <row r="992" spans="1:1">
      <c r="A992" s="55"/>
    </row>
    <row r="993" spans="1:1">
      <c r="A993" s="55"/>
    </row>
    <row r="994" spans="1:1">
      <c r="A994" s="55"/>
    </row>
    <row r="995" spans="1:1">
      <c r="A995" s="55"/>
    </row>
    <row r="996" spans="1:1">
      <c r="A996" s="55"/>
    </row>
    <row r="997" spans="1:1">
      <c r="A997" s="55"/>
    </row>
    <row r="998" spans="1:1">
      <c r="A998" s="55"/>
    </row>
    <row r="999" spans="1:1">
      <c r="A999" s="55"/>
    </row>
    <row r="1000" spans="1:1">
      <c r="A1000" s="55"/>
    </row>
    <row r="1001" spans="1:1">
      <c r="A1001" s="55"/>
    </row>
    <row r="1002" spans="1:1">
      <c r="A1002" s="55"/>
    </row>
    <row r="1003" spans="1:1">
      <c r="A1003" s="55"/>
    </row>
    <row r="1004" spans="1:1">
      <c r="A1004" s="55"/>
    </row>
    <row r="1005" spans="1:1">
      <c r="A1005" s="55"/>
    </row>
    <row r="1006" spans="1:1">
      <c r="A1006" s="55"/>
    </row>
    <row r="1007" spans="1:1">
      <c r="A1007" s="55"/>
    </row>
    <row r="1008" spans="1:1">
      <c r="A1008" s="55"/>
    </row>
    <row r="1009" spans="1:1">
      <c r="A1009" s="55"/>
    </row>
    <row r="1010" spans="1:1">
      <c r="A1010" s="55"/>
    </row>
    <row r="1011" spans="1:1">
      <c r="A1011" s="55"/>
    </row>
    <row r="1012" spans="1:1">
      <c r="A1012" s="55"/>
    </row>
    <row r="1013" spans="1:1">
      <c r="A1013" s="55"/>
    </row>
    <row r="1014" spans="1:1">
      <c r="A1014" s="55"/>
    </row>
    <row r="1015" spans="1:1">
      <c r="A1015" s="55"/>
    </row>
    <row r="1016" spans="1:1">
      <c r="A1016" s="55"/>
    </row>
    <row r="1017" spans="1:1">
      <c r="A1017" s="55"/>
    </row>
    <row r="1018" spans="1:1">
      <c r="A1018" s="55"/>
    </row>
    <row r="1019" spans="1:1">
      <c r="A1019" s="55"/>
    </row>
    <row r="1020" spans="1:1">
      <c r="A1020" s="55"/>
    </row>
    <row r="1021" spans="1:1">
      <c r="A1021" s="55"/>
    </row>
    <row r="1022" spans="1:1">
      <c r="A1022" s="55"/>
    </row>
    <row r="1023" spans="1:1">
      <c r="A1023" s="55"/>
    </row>
    <row r="1024" spans="1:1">
      <c r="A1024" s="55"/>
    </row>
    <row r="1025" spans="1:1">
      <c r="A1025" s="55"/>
    </row>
    <row r="1026" spans="1:1">
      <c r="A1026" s="55"/>
    </row>
    <row r="1027" spans="1:1">
      <c r="A1027" s="55"/>
    </row>
    <row r="1028" spans="1:1">
      <c r="A1028" s="55"/>
    </row>
    <row r="1029" spans="1:1">
      <c r="A1029" s="55"/>
    </row>
    <row r="1030" spans="1:1">
      <c r="A1030" s="55"/>
    </row>
    <row r="1031" spans="1:1">
      <c r="A1031" s="55"/>
    </row>
    <row r="1032" spans="1:1">
      <c r="A1032" s="55"/>
    </row>
    <row r="1033" spans="1:1">
      <c r="A1033" s="55"/>
    </row>
    <row r="1034" spans="1:1">
      <c r="A1034" s="55"/>
    </row>
    <row r="1035" spans="1:1">
      <c r="A1035" s="55"/>
    </row>
    <row r="1036" spans="1:1">
      <c r="A1036" s="55"/>
    </row>
    <row r="1037" spans="1:1">
      <c r="A1037" s="55"/>
    </row>
    <row r="1038" spans="1:1">
      <c r="A1038" s="55"/>
    </row>
    <row r="1039" spans="1:1">
      <c r="A1039" s="55"/>
    </row>
    <row r="1040" spans="1:1">
      <c r="A1040" s="55"/>
    </row>
    <row r="1041" spans="1:1">
      <c r="A1041" s="55"/>
    </row>
    <row r="1042" spans="1:1">
      <c r="A1042" s="55"/>
    </row>
    <row r="1043" spans="1:1">
      <c r="A1043" s="55"/>
    </row>
    <row r="1044" spans="1:1">
      <c r="A1044" s="55"/>
    </row>
    <row r="1045" spans="1:1">
      <c r="A1045" s="55"/>
    </row>
    <row r="1046" spans="1:1">
      <c r="A1046" s="55"/>
    </row>
    <row r="1047" spans="1:1">
      <c r="A1047" s="55"/>
    </row>
    <row r="1048" spans="1:1">
      <c r="A1048" s="55"/>
    </row>
    <row r="1049" spans="1:1">
      <c r="A1049" s="55"/>
    </row>
    <row r="1050" spans="1:1">
      <c r="A1050" s="55"/>
    </row>
    <row r="1051" spans="1:1">
      <c r="A1051" s="55"/>
    </row>
    <row r="1052" spans="1:1">
      <c r="A1052" s="55"/>
    </row>
    <row r="1053" spans="1:1">
      <c r="A1053" s="55"/>
    </row>
    <row r="1054" spans="1:1">
      <c r="A1054" s="55"/>
    </row>
    <row r="1055" spans="1:1">
      <c r="A1055" s="55"/>
    </row>
    <row r="1056" spans="1:1">
      <c r="A1056" s="55"/>
    </row>
    <row r="1057" spans="1:1">
      <c r="A1057" s="55"/>
    </row>
    <row r="1058" spans="1:1">
      <c r="A1058" s="55"/>
    </row>
    <row r="1059" spans="1:1">
      <c r="A1059" s="55"/>
    </row>
    <row r="1060" spans="1:1">
      <c r="A1060" s="55"/>
    </row>
    <row r="1061" spans="1:1">
      <c r="A1061" s="55"/>
    </row>
    <row r="1062" spans="1:1">
      <c r="A1062" s="55"/>
    </row>
    <row r="1063" spans="1:1">
      <c r="A1063" s="55"/>
    </row>
    <row r="1064" spans="1:1">
      <c r="A1064" s="55"/>
    </row>
    <row r="1065" spans="1:1">
      <c r="A1065" s="55"/>
    </row>
    <row r="1066" spans="1:1">
      <c r="A1066" s="55"/>
    </row>
    <row r="1067" spans="1:1">
      <c r="A1067" s="55"/>
    </row>
    <row r="1068" spans="1:1">
      <c r="A1068" s="55"/>
    </row>
    <row r="1069" spans="1:1">
      <c r="A1069" s="55"/>
    </row>
    <row r="1070" spans="1:1">
      <c r="A1070" s="55"/>
    </row>
    <row r="1071" spans="1:1">
      <c r="A1071" s="55"/>
    </row>
    <row r="1072" spans="1:1">
      <c r="A1072" s="55"/>
    </row>
    <row r="1073" spans="1:1">
      <c r="A1073" s="55"/>
    </row>
    <row r="1074" spans="1:1">
      <c r="A1074" s="55"/>
    </row>
    <row r="1075" spans="1:1">
      <c r="A1075" s="55"/>
    </row>
    <row r="1076" spans="1:1">
      <c r="A1076" s="55"/>
    </row>
    <row r="1077" spans="1:1">
      <c r="A1077" s="55"/>
    </row>
    <row r="1078" spans="1:1">
      <c r="A1078" s="55"/>
    </row>
    <row r="1079" spans="1:1">
      <c r="A1079" s="55"/>
    </row>
    <row r="1080" spans="1:1">
      <c r="A1080" s="55"/>
    </row>
    <row r="1081" spans="1:1">
      <c r="A1081" s="55"/>
    </row>
    <row r="1082" spans="1:1">
      <c r="A1082" s="55"/>
    </row>
    <row r="1083" spans="1:1">
      <c r="A1083" s="55"/>
    </row>
    <row r="1084" spans="1:1">
      <c r="A1084" s="55"/>
    </row>
    <row r="1085" spans="1:1">
      <c r="A1085" s="55"/>
    </row>
    <row r="1086" spans="1:1">
      <c r="A1086" s="55"/>
    </row>
    <row r="1087" spans="1:1">
      <c r="A1087" s="55"/>
    </row>
    <row r="1088" spans="1:1">
      <c r="A1088" s="55"/>
    </row>
    <row r="1089" spans="1:1">
      <c r="A1089" s="55"/>
    </row>
    <row r="1090" spans="1:1">
      <c r="A1090" s="55"/>
    </row>
    <row r="1091" spans="1:1">
      <c r="A1091" s="55"/>
    </row>
    <row r="1092" spans="1:1">
      <c r="A1092" s="55"/>
    </row>
    <row r="1093" spans="1:1">
      <c r="A1093" s="55"/>
    </row>
    <row r="1094" spans="1:1">
      <c r="A1094" s="55"/>
    </row>
    <row r="1095" spans="1:1">
      <c r="A1095" s="55"/>
    </row>
    <row r="1096" spans="1:1">
      <c r="A1096" s="55"/>
    </row>
    <row r="1097" spans="1:1">
      <c r="A1097" s="55"/>
    </row>
    <row r="1098" spans="1:1">
      <c r="A1098" s="55"/>
    </row>
    <row r="1099" spans="1:1">
      <c r="A1099" s="55"/>
    </row>
    <row r="1100" spans="1:1">
      <c r="A1100" s="55"/>
    </row>
    <row r="1101" spans="1:1">
      <c r="A1101" s="55"/>
    </row>
    <row r="1102" spans="1:1">
      <c r="A1102" s="55"/>
    </row>
    <row r="1103" spans="1:1">
      <c r="A1103" s="55"/>
    </row>
    <row r="1104" spans="1:1">
      <c r="A1104" s="55"/>
    </row>
    <row r="1105" spans="1:1">
      <c r="A1105" s="55"/>
    </row>
    <row r="1106" spans="1:1">
      <c r="A1106" s="55"/>
    </row>
    <row r="1107" spans="1:1">
      <c r="A1107" s="55"/>
    </row>
    <row r="1108" spans="1:1">
      <c r="A1108" s="55"/>
    </row>
    <row r="1109" spans="1:1">
      <c r="A1109" s="55"/>
    </row>
    <row r="1110" spans="1:1">
      <c r="A1110" s="55"/>
    </row>
    <row r="1111" spans="1:1">
      <c r="A1111" s="55"/>
    </row>
    <row r="1112" spans="1:1">
      <c r="A1112" s="55"/>
    </row>
    <row r="1113" spans="1:1">
      <c r="A1113" s="55"/>
    </row>
    <row r="1114" spans="1:1">
      <c r="A1114" s="55"/>
    </row>
    <row r="1115" spans="1:1">
      <c r="A1115" s="55"/>
    </row>
    <row r="1116" spans="1:1">
      <c r="A1116" s="55"/>
    </row>
    <row r="1117" spans="1:1">
      <c r="A1117" s="55"/>
    </row>
    <row r="1118" spans="1:1">
      <c r="A1118" s="55"/>
    </row>
    <row r="1119" spans="1:1">
      <c r="A1119" s="55"/>
    </row>
    <row r="1120" spans="1:1">
      <c r="A1120" s="55"/>
    </row>
    <row r="1121" spans="1:1">
      <c r="A1121" s="55"/>
    </row>
    <row r="1122" spans="1:1">
      <c r="A1122" s="55"/>
    </row>
    <row r="1123" spans="1:1">
      <c r="A1123" s="55"/>
    </row>
    <row r="1124" spans="1:1">
      <c r="A1124" s="55"/>
    </row>
    <row r="1125" spans="1:1">
      <c r="A1125" s="55"/>
    </row>
    <row r="1126" spans="1:1">
      <c r="A1126" s="55"/>
    </row>
    <row r="1127" spans="1:1">
      <c r="A1127" s="55"/>
    </row>
    <row r="1128" spans="1:1">
      <c r="A1128" s="55"/>
    </row>
    <row r="1129" spans="1:1">
      <c r="A1129" s="55"/>
    </row>
    <row r="1130" spans="1:1">
      <c r="A1130" s="55"/>
    </row>
    <row r="1131" spans="1:1">
      <c r="A1131" s="55"/>
    </row>
    <row r="1132" spans="1:1">
      <c r="A1132" s="55"/>
    </row>
    <row r="1133" spans="1:1">
      <c r="A1133" s="55"/>
    </row>
    <row r="1134" spans="1:1">
      <c r="A1134" s="55"/>
    </row>
    <row r="1135" spans="1:1">
      <c r="A1135" s="55"/>
    </row>
    <row r="1136" spans="1:1">
      <c r="A1136" s="55"/>
    </row>
    <row r="1137" spans="1:1">
      <c r="A1137" s="55"/>
    </row>
    <row r="1138" spans="1:1">
      <c r="A1138" s="55"/>
    </row>
    <row r="1139" spans="1:1">
      <c r="A1139" s="55"/>
    </row>
    <row r="1140" spans="1:1">
      <c r="A1140" s="55"/>
    </row>
    <row r="1141" spans="1:1">
      <c r="A1141" s="55"/>
    </row>
    <row r="1142" spans="1:1">
      <c r="A1142" s="55"/>
    </row>
    <row r="1143" spans="1:1">
      <c r="A1143" s="55"/>
    </row>
    <row r="1144" spans="1:1">
      <c r="A1144" s="55"/>
    </row>
    <row r="1145" spans="1:1">
      <c r="A1145" s="55"/>
    </row>
    <row r="1146" spans="1:1">
      <c r="A1146" s="55"/>
    </row>
    <row r="1147" spans="1:1">
      <c r="A1147" s="55"/>
    </row>
    <row r="1148" spans="1:1">
      <c r="A1148" s="55"/>
    </row>
    <row r="1149" spans="1:1">
      <c r="A1149" s="55"/>
    </row>
    <row r="1150" spans="1:1">
      <c r="A1150" s="55"/>
    </row>
    <row r="1151" spans="1:1">
      <c r="A1151" s="55"/>
    </row>
    <row r="1152" spans="1:1">
      <c r="A1152" s="55"/>
    </row>
    <row r="1153" spans="1:1">
      <c r="A1153" s="55"/>
    </row>
    <row r="1154" spans="1:1">
      <c r="A1154" s="55"/>
    </row>
    <row r="1155" spans="1:1">
      <c r="A1155" s="55"/>
    </row>
    <row r="1156" spans="1:1">
      <c r="A1156" s="55"/>
    </row>
    <row r="1157" spans="1:1">
      <c r="A1157" s="55"/>
    </row>
    <row r="1158" spans="1:1">
      <c r="A1158" s="55"/>
    </row>
    <row r="1159" spans="1:1">
      <c r="A1159" s="55"/>
    </row>
    <row r="1160" spans="1:1">
      <c r="A1160" s="55"/>
    </row>
    <row r="1161" spans="1:1">
      <c r="A1161" s="55"/>
    </row>
    <row r="1162" spans="1:1">
      <c r="A1162" s="55"/>
    </row>
    <row r="1163" spans="1:1">
      <c r="A1163" s="55"/>
    </row>
    <row r="1164" spans="1:1">
      <c r="A1164" s="55"/>
    </row>
    <row r="1165" spans="1:1">
      <c r="A1165" s="55"/>
    </row>
    <row r="1166" spans="1:1">
      <c r="A1166" s="55"/>
    </row>
    <row r="1167" spans="1:1">
      <c r="A1167" s="55"/>
    </row>
    <row r="1168" spans="1:1">
      <c r="A1168" s="55"/>
    </row>
    <row r="1169" spans="1:1">
      <c r="A1169" s="55"/>
    </row>
    <row r="1170" spans="1:1">
      <c r="A1170" s="55"/>
    </row>
    <row r="1171" spans="1:1">
      <c r="A1171" s="55"/>
    </row>
    <row r="1172" spans="1:1">
      <c r="A1172" s="55"/>
    </row>
    <row r="1173" spans="1:1">
      <c r="A1173" s="55"/>
    </row>
    <row r="1174" spans="1:1">
      <c r="A1174" s="55"/>
    </row>
    <row r="1175" spans="1:1">
      <c r="A1175" s="55"/>
    </row>
    <row r="1176" spans="1:1">
      <c r="A1176" s="55"/>
    </row>
    <row r="1177" spans="1:1">
      <c r="A1177" s="55"/>
    </row>
    <row r="1178" spans="1:1">
      <c r="A1178" s="55"/>
    </row>
    <row r="1179" spans="1:1">
      <c r="A1179" s="55"/>
    </row>
    <row r="1180" spans="1:1">
      <c r="A1180" s="55"/>
    </row>
    <row r="1181" spans="1:1">
      <c r="A1181" s="55"/>
    </row>
    <row r="1182" spans="1:1">
      <c r="A1182" s="55"/>
    </row>
    <row r="1183" spans="1:1">
      <c r="A1183" s="55"/>
    </row>
    <row r="1184" spans="1:1">
      <c r="A1184" s="55"/>
    </row>
    <row r="1185" spans="1:1">
      <c r="A1185" s="55"/>
    </row>
    <row r="1186" spans="1:1">
      <c r="A1186" s="55"/>
    </row>
    <row r="1187" spans="1:1">
      <c r="A1187" s="55"/>
    </row>
    <row r="1188" spans="1:1">
      <c r="A1188" s="55"/>
    </row>
    <row r="1189" spans="1:1">
      <c r="A1189" s="55"/>
    </row>
    <row r="1190" spans="1:1">
      <c r="A1190" s="55"/>
    </row>
    <row r="1191" spans="1:1">
      <c r="A1191" s="55"/>
    </row>
    <row r="1192" spans="1:1">
      <c r="A1192" s="55"/>
    </row>
    <row r="1193" spans="1:1">
      <c r="A1193" s="55"/>
    </row>
    <row r="1194" spans="1:1">
      <c r="A1194" s="55"/>
    </row>
    <row r="1195" spans="1:1">
      <c r="A1195" s="55"/>
    </row>
    <row r="1196" spans="1:1">
      <c r="A1196" s="55"/>
    </row>
    <row r="1197" spans="1:1">
      <c r="A1197" s="55"/>
    </row>
    <row r="1198" spans="1:1">
      <c r="A1198" s="55"/>
    </row>
    <row r="1199" spans="1:1">
      <c r="A1199" s="55"/>
    </row>
    <row r="1200" spans="1:1">
      <c r="A1200" s="55"/>
    </row>
    <row r="1201" spans="1:1">
      <c r="A1201" s="55"/>
    </row>
    <row r="1202" spans="1:1">
      <c r="A1202" s="55"/>
    </row>
    <row r="1203" spans="1:1">
      <c r="A1203" s="55"/>
    </row>
    <row r="1204" spans="1:1">
      <c r="A1204" s="55"/>
    </row>
    <row r="1205" spans="1:1">
      <c r="A1205" s="55"/>
    </row>
    <row r="1206" spans="1:1">
      <c r="A1206" s="55"/>
    </row>
    <row r="1207" spans="1:1">
      <c r="A1207" s="55"/>
    </row>
    <row r="1208" spans="1:1">
      <c r="A1208" s="55"/>
    </row>
    <row r="1209" spans="1:1">
      <c r="A1209" s="55"/>
    </row>
    <row r="1210" spans="1:1">
      <c r="A1210" s="55"/>
    </row>
    <row r="1211" spans="1:1">
      <c r="A1211" s="55"/>
    </row>
    <row r="1212" spans="1:1">
      <c r="A1212" s="55"/>
    </row>
    <row r="1213" spans="1:1">
      <c r="A1213" s="55"/>
    </row>
    <row r="1214" spans="1:1">
      <c r="A1214" s="55"/>
    </row>
    <row r="1215" spans="1:1">
      <c r="A1215" s="55"/>
    </row>
    <row r="1216" spans="1:1">
      <c r="A1216" s="55"/>
    </row>
    <row r="1217" spans="1:1">
      <c r="A1217" s="55"/>
    </row>
    <row r="1218" spans="1:1">
      <c r="A1218" s="55"/>
    </row>
    <row r="1219" spans="1:1">
      <c r="A1219" s="55"/>
    </row>
    <row r="1220" spans="1:1">
      <c r="A1220" s="55"/>
    </row>
    <row r="1221" spans="1:1">
      <c r="A1221" s="55"/>
    </row>
    <row r="1222" spans="1:1">
      <c r="A1222" s="55"/>
    </row>
    <row r="1223" spans="1:1">
      <c r="A1223" s="55"/>
    </row>
    <row r="1224" spans="1:1">
      <c r="A1224" s="55"/>
    </row>
    <row r="1225" spans="1:1">
      <c r="A1225" s="55"/>
    </row>
    <row r="1226" spans="1:1">
      <c r="A1226" s="55"/>
    </row>
    <row r="1227" spans="1:1">
      <c r="A1227" s="55"/>
    </row>
    <row r="1228" spans="1:1">
      <c r="A1228" s="55"/>
    </row>
    <row r="1229" spans="1:1">
      <c r="A1229" s="55"/>
    </row>
    <row r="1230" spans="1:1">
      <c r="A1230" s="55"/>
    </row>
    <row r="1231" spans="1:1">
      <c r="A1231" s="55"/>
    </row>
    <row r="1232" spans="1:1">
      <c r="A1232" s="55"/>
    </row>
    <row r="1233" spans="1:1">
      <c r="A1233" s="55"/>
    </row>
    <row r="1234" spans="1:1">
      <c r="A1234" s="55"/>
    </row>
    <row r="1235" spans="1:1">
      <c r="A1235" s="55"/>
    </row>
    <row r="1236" spans="1:1">
      <c r="A1236" s="55"/>
    </row>
    <row r="1237" spans="1:1">
      <c r="A1237" s="55"/>
    </row>
    <row r="1238" spans="1:1">
      <c r="A1238" s="55"/>
    </row>
    <row r="1239" spans="1:1">
      <c r="A1239" s="55"/>
    </row>
    <row r="1240" spans="1:1">
      <c r="A1240" s="55"/>
    </row>
    <row r="1241" spans="1:1">
      <c r="A1241" s="55"/>
    </row>
    <row r="1242" spans="1:1">
      <c r="A1242" s="55"/>
    </row>
    <row r="1243" spans="1:1">
      <c r="A1243" s="55"/>
    </row>
    <row r="1244" spans="1:1">
      <c r="A1244" s="55"/>
    </row>
    <row r="1245" spans="1:1">
      <c r="A1245" s="55"/>
    </row>
    <row r="1246" spans="1:1">
      <c r="A1246" s="55"/>
    </row>
    <row r="1247" spans="1:1">
      <c r="A1247" s="55"/>
    </row>
    <row r="1248" spans="1:1">
      <c r="A1248" s="55"/>
    </row>
    <row r="1249" spans="1:1">
      <c r="A1249" s="55"/>
    </row>
    <row r="1250" spans="1:1">
      <c r="A1250" s="55"/>
    </row>
    <row r="1251" spans="1:1">
      <c r="A1251" s="55"/>
    </row>
    <row r="1252" spans="1:1">
      <c r="A1252" s="55"/>
    </row>
    <row r="1253" spans="1:1">
      <c r="A1253" s="55"/>
    </row>
    <row r="1254" spans="1:1">
      <c r="A1254" s="55"/>
    </row>
    <row r="1255" spans="1:1">
      <c r="A1255" s="55"/>
    </row>
    <row r="1256" spans="1:1">
      <c r="A1256" s="55"/>
    </row>
    <row r="1257" spans="1:1">
      <c r="A1257" s="55"/>
    </row>
    <row r="1258" spans="1:1">
      <c r="A1258" s="55"/>
    </row>
    <row r="1259" spans="1:1">
      <c r="A1259" s="55"/>
    </row>
    <row r="1260" spans="1:1">
      <c r="A1260" s="55"/>
    </row>
    <row r="1261" spans="1:1">
      <c r="A1261" s="55"/>
    </row>
    <row r="1262" spans="1:1">
      <c r="A1262" s="55"/>
    </row>
    <row r="1263" spans="1:1">
      <c r="A1263" s="55"/>
    </row>
    <row r="1264" spans="1:1">
      <c r="A1264" s="55"/>
    </row>
    <row r="1265" spans="1:1">
      <c r="A1265" s="55"/>
    </row>
    <row r="1266" spans="1:1">
      <c r="A1266" s="55"/>
    </row>
    <row r="1267" spans="1:1">
      <c r="A1267" s="55"/>
    </row>
    <row r="1268" spans="1:1">
      <c r="A1268" s="55"/>
    </row>
    <row r="1269" spans="1:1">
      <c r="A1269" s="55"/>
    </row>
    <row r="1270" spans="1:1">
      <c r="A1270" s="55"/>
    </row>
    <row r="1271" spans="1:1">
      <c r="A1271" s="55"/>
    </row>
    <row r="1272" spans="1:1">
      <c r="A1272" s="55"/>
    </row>
    <row r="1273" spans="1:1">
      <c r="A1273" s="55"/>
    </row>
    <row r="1274" spans="1:1">
      <c r="A1274" s="55"/>
    </row>
    <row r="1275" spans="1:1">
      <c r="A1275" s="55"/>
    </row>
    <row r="1276" spans="1:1">
      <c r="A1276" s="55"/>
    </row>
    <row r="1277" spans="1:1">
      <c r="A1277" s="55"/>
    </row>
    <row r="1278" spans="1:1">
      <c r="A1278" s="55"/>
    </row>
    <row r="1279" spans="1:1">
      <c r="A1279" s="55"/>
    </row>
    <row r="1280" spans="1:1">
      <c r="A1280" s="55"/>
    </row>
    <row r="1281" spans="1:1">
      <c r="A1281" s="55"/>
    </row>
    <row r="1282" spans="1:1">
      <c r="A1282" s="55"/>
    </row>
    <row r="1283" spans="1:1">
      <c r="A1283" s="55"/>
    </row>
    <row r="1284" spans="1:1">
      <c r="A1284" s="55"/>
    </row>
    <row r="1285" spans="1:1">
      <c r="A1285" s="55"/>
    </row>
    <row r="1286" spans="1:1">
      <c r="A1286" s="55"/>
    </row>
    <row r="1287" spans="1:1">
      <c r="A1287" s="55"/>
    </row>
    <row r="1288" spans="1:1">
      <c r="A1288" s="55"/>
    </row>
    <row r="1289" spans="1:1">
      <c r="A1289" s="55"/>
    </row>
    <row r="1290" spans="1:1">
      <c r="A1290" s="55"/>
    </row>
    <row r="1291" spans="1:1">
      <c r="A1291" s="55"/>
    </row>
    <row r="1292" spans="1:1">
      <c r="A1292" s="55"/>
    </row>
    <row r="1293" spans="1:1">
      <c r="A1293" s="55"/>
    </row>
    <row r="1294" spans="1:1">
      <c r="A1294" s="55"/>
    </row>
    <row r="1295" spans="1:1">
      <c r="A1295" s="55"/>
    </row>
    <row r="1296" spans="1:1">
      <c r="A1296" s="55"/>
    </row>
    <row r="1297" spans="1:1">
      <c r="A1297" s="55"/>
    </row>
    <row r="1298" spans="1:1">
      <c r="A1298" s="55"/>
    </row>
    <row r="1299" spans="1:1">
      <c r="A1299" s="55"/>
    </row>
    <row r="1300" spans="1:1">
      <c r="A1300" s="55"/>
    </row>
    <row r="1301" spans="1:1">
      <c r="A1301" s="55"/>
    </row>
    <row r="1302" spans="1:1">
      <c r="A1302" s="55"/>
    </row>
    <row r="1303" spans="1:1">
      <c r="A1303" s="55"/>
    </row>
    <row r="1304" spans="1:1">
      <c r="A1304" s="55"/>
    </row>
    <row r="1305" spans="1:1">
      <c r="A1305" s="55"/>
    </row>
    <row r="1306" spans="1:1">
      <c r="A1306" s="55"/>
    </row>
    <row r="1307" spans="1:1">
      <c r="A1307" s="55"/>
    </row>
    <row r="1308" spans="1:1">
      <c r="A1308" s="55"/>
    </row>
    <row r="1309" spans="1:1">
      <c r="A1309" s="55"/>
    </row>
    <row r="1310" spans="1:1">
      <c r="A1310" s="55"/>
    </row>
    <row r="1311" spans="1:1">
      <c r="A1311" s="55"/>
    </row>
    <row r="1312" spans="1:1">
      <c r="A1312" s="55"/>
    </row>
    <row r="1313" spans="1:1">
      <c r="A1313" s="55"/>
    </row>
    <row r="1314" spans="1:1">
      <c r="A1314" s="55"/>
    </row>
    <row r="1315" spans="1:1">
      <c r="A1315" s="55"/>
    </row>
    <row r="1316" spans="1:1">
      <c r="A1316" s="55"/>
    </row>
    <row r="1317" spans="1:1">
      <c r="A1317" s="55"/>
    </row>
    <row r="1318" spans="1:1">
      <c r="A1318" s="55"/>
    </row>
    <row r="1319" spans="1:1">
      <c r="A1319" s="55"/>
    </row>
    <row r="1320" spans="1:1">
      <c r="A1320" s="55"/>
    </row>
    <row r="1321" spans="1:1">
      <c r="A1321" s="55"/>
    </row>
    <row r="1322" spans="1:1">
      <c r="A1322" s="55"/>
    </row>
    <row r="1323" spans="1:1">
      <c r="A1323" s="55"/>
    </row>
    <row r="1324" spans="1:1">
      <c r="A1324" s="55"/>
    </row>
    <row r="1325" spans="1:1">
      <c r="A1325" s="55"/>
    </row>
    <row r="1326" spans="1:1">
      <c r="A1326" s="55"/>
    </row>
    <row r="1327" spans="1:1">
      <c r="A1327" s="55"/>
    </row>
    <row r="1328" spans="1:1">
      <c r="A1328" s="55"/>
    </row>
    <row r="1329" spans="1:1">
      <c r="A1329" s="55"/>
    </row>
    <row r="1330" spans="1:1">
      <c r="A1330" s="55"/>
    </row>
    <row r="1331" spans="1:1">
      <c r="A1331" s="55"/>
    </row>
    <row r="1332" spans="1:1">
      <c r="A1332" s="55"/>
    </row>
    <row r="1333" spans="1:1">
      <c r="A1333" s="55"/>
    </row>
    <row r="1334" spans="1:1">
      <c r="A1334" s="55"/>
    </row>
    <row r="1335" spans="1:1">
      <c r="A1335" s="55"/>
    </row>
    <row r="1336" spans="1:1">
      <c r="A1336" s="55"/>
    </row>
    <row r="1337" spans="1:1">
      <c r="A1337" s="55"/>
    </row>
    <row r="1338" spans="1:1">
      <c r="A1338" s="55"/>
    </row>
    <row r="1339" spans="1:1">
      <c r="A1339" s="55"/>
    </row>
    <row r="1340" spans="1:1">
      <c r="A1340" s="55"/>
    </row>
    <row r="1341" spans="1:1">
      <c r="A1341" s="55"/>
    </row>
    <row r="1342" spans="1:1">
      <c r="A1342" s="55"/>
    </row>
    <row r="1343" spans="1:1">
      <c r="A1343" s="55"/>
    </row>
    <row r="1344" spans="1:1">
      <c r="A1344" s="55"/>
    </row>
    <row r="1345" spans="1:1">
      <c r="A1345" s="55"/>
    </row>
    <row r="1346" spans="1:1">
      <c r="A1346" s="55"/>
    </row>
    <row r="1347" spans="1:1">
      <c r="A1347" s="55"/>
    </row>
    <row r="1348" spans="1:1">
      <c r="A1348" s="55"/>
    </row>
    <row r="1349" spans="1:1">
      <c r="A1349" s="55"/>
    </row>
    <row r="1350" spans="1:1">
      <c r="A1350" s="55"/>
    </row>
    <row r="1351" spans="1:1">
      <c r="A1351" s="55"/>
    </row>
    <row r="1352" spans="1:1">
      <c r="A1352" s="55"/>
    </row>
    <row r="1353" spans="1:1">
      <c r="A1353" s="55"/>
    </row>
    <row r="1354" spans="1:1">
      <c r="A1354" s="55"/>
    </row>
    <row r="1355" spans="1:1">
      <c r="A1355" s="55"/>
    </row>
    <row r="1356" spans="1:1">
      <c r="A1356" s="55"/>
    </row>
    <row r="1357" spans="1:1">
      <c r="A1357" s="55"/>
    </row>
    <row r="1358" spans="1:1">
      <c r="A1358" s="55"/>
    </row>
    <row r="1359" spans="1:1">
      <c r="A1359" s="55"/>
    </row>
    <row r="1360" spans="1:1">
      <c r="A1360" s="55"/>
    </row>
    <row r="1361" spans="1:1">
      <c r="A1361" s="55"/>
    </row>
    <row r="1362" spans="1:1">
      <c r="A1362" s="55"/>
    </row>
    <row r="1363" spans="1:1">
      <c r="A1363" s="55"/>
    </row>
    <row r="1364" spans="1:1">
      <c r="A1364" s="55"/>
    </row>
    <row r="1365" spans="1:1">
      <c r="A1365" s="55"/>
    </row>
    <row r="1366" spans="1:1">
      <c r="A1366" s="55"/>
    </row>
    <row r="1367" spans="1:1">
      <c r="A1367" s="55"/>
    </row>
    <row r="1368" spans="1:1">
      <c r="A1368" s="55"/>
    </row>
    <row r="1369" spans="1:1">
      <c r="A1369" s="55"/>
    </row>
    <row r="1370" spans="1:1">
      <c r="A1370" s="55"/>
    </row>
    <row r="1371" spans="1:1">
      <c r="A1371" s="55"/>
    </row>
    <row r="1372" spans="1:1">
      <c r="A1372" s="55"/>
    </row>
    <row r="1373" spans="1:1">
      <c r="A1373" s="55"/>
    </row>
    <row r="1374" spans="1:1">
      <c r="A1374" s="55"/>
    </row>
    <row r="1375" spans="1:1">
      <c r="A1375" s="55"/>
    </row>
    <row r="1376" spans="1:1">
      <c r="A1376" s="55"/>
    </row>
    <row r="1377" spans="1:1">
      <c r="A1377" s="55"/>
    </row>
    <row r="1378" spans="1:1">
      <c r="A1378" s="55"/>
    </row>
    <row r="1379" spans="1:1">
      <c r="A1379" s="55"/>
    </row>
    <row r="1380" spans="1:1">
      <c r="A1380" s="55"/>
    </row>
    <row r="1381" spans="1:1">
      <c r="A1381" s="55"/>
    </row>
    <row r="1382" spans="1:1">
      <c r="A1382" s="55"/>
    </row>
    <row r="1383" spans="1:1">
      <c r="A1383" s="55"/>
    </row>
    <row r="1384" spans="1:1">
      <c r="A1384" s="55"/>
    </row>
    <row r="1385" spans="1:1">
      <c r="A1385" s="55"/>
    </row>
    <row r="1386" spans="1:1">
      <c r="A1386" s="55"/>
    </row>
    <row r="1387" spans="1:1">
      <c r="A1387" s="55"/>
    </row>
    <row r="1388" spans="1:1">
      <c r="A1388" s="55"/>
    </row>
    <row r="1389" spans="1:1">
      <c r="A1389" s="55"/>
    </row>
    <row r="1390" spans="1:1">
      <c r="A1390" s="55"/>
    </row>
    <row r="1391" spans="1:1">
      <c r="A1391" s="55"/>
    </row>
    <row r="1392" spans="1:1">
      <c r="A1392" s="55"/>
    </row>
    <row r="1393" spans="1:1">
      <c r="A1393" s="55"/>
    </row>
    <row r="1394" spans="1:1">
      <c r="A1394" s="55"/>
    </row>
    <row r="1395" spans="1:1">
      <c r="A1395" s="55"/>
    </row>
    <row r="1396" spans="1:1">
      <c r="A1396" s="55"/>
    </row>
    <row r="1397" spans="1:1">
      <c r="A1397" s="55"/>
    </row>
    <row r="1398" spans="1:1">
      <c r="A1398" s="55"/>
    </row>
    <row r="1399" spans="1:1">
      <c r="A1399" s="55"/>
    </row>
    <row r="1400" spans="1:1">
      <c r="A1400" s="55"/>
    </row>
    <row r="1401" spans="1:1">
      <c r="A1401" s="55"/>
    </row>
    <row r="1402" spans="1:1">
      <c r="A1402" s="55"/>
    </row>
    <row r="1403" spans="1:1">
      <c r="A1403" s="55"/>
    </row>
    <row r="1404" spans="1:1">
      <c r="A1404" s="55"/>
    </row>
    <row r="1405" spans="1:1">
      <c r="A1405" s="55"/>
    </row>
    <row r="1406" spans="1:1">
      <c r="A1406" s="55"/>
    </row>
    <row r="1407" spans="1:1">
      <c r="A1407" s="55"/>
    </row>
    <row r="1408" spans="1:1">
      <c r="A1408" s="55"/>
    </row>
    <row r="1409" spans="1:1">
      <c r="A1409" s="55"/>
    </row>
    <row r="1410" spans="1:1">
      <c r="A1410" s="55"/>
    </row>
    <row r="1411" spans="1:1">
      <c r="A1411" s="55"/>
    </row>
    <row r="1412" spans="1:1">
      <c r="A1412" s="55"/>
    </row>
    <row r="1413" spans="1:1">
      <c r="A1413" s="55"/>
    </row>
    <row r="1414" spans="1:1">
      <c r="A1414" s="55"/>
    </row>
    <row r="1415" spans="1:1">
      <c r="A1415" s="55"/>
    </row>
    <row r="1416" spans="1:1">
      <c r="A1416" s="55"/>
    </row>
    <row r="1417" spans="1:1">
      <c r="A1417" s="55"/>
    </row>
    <row r="1418" spans="1:1">
      <c r="A1418" s="55"/>
    </row>
    <row r="1419" spans="1:1">
      <c r="A1419" s="55"/>
    </row>
    <row r="1420" spans="1:1">
      <c r="A1420" s="55"/>
    </row>
    <row r="1421" spans="1:1">
      <c r="A1421" s="55"/>
    </row>
    <row r="1422" spans="1:1">
      <c r="A1422" s="55"/>
    </row>
    <row r="1423" spans="1:1">
      <c r="A1423" s="55"/>
    </row>
    <row r="1424" spans="1:1">
      <c r="A1424" s="55"/>
    </row>
    <row r="1425" spans="1:1">
      <c r="A1425" s="55"/>
    </row>
    <row r="1426" spans="1:1">
      <c r="A1426" s="55"/>
    </row>
    <row r="1427" spans="1:1">
      <c r="A1427" s="55"/>
    </row>
    <row r="1428" spans="1:1">
      <c r="A1428" s="55"/>
    </row>
    <row r="1429" spans="1:1">
      <c r="A1429" s="55"/>
    </row>
    <row r="1430" spans="1:1">
      <c r="A1430" s="55"/>
    </row>
    <row r="1431" spans="1:1">
      <c r="A1431" s="55"/>
    </row>
    <row r="1432" spans="1:1">
      <c r="A1432" s="55"/>
    </row>
    <row r="1433" spans="1:1">
      <c r="A1433" s="55"/>
    </row>
    <row r="1434" spans="1:1">
      <c r="A1434" s="55"/>
    </row>
    <row r="1435" spans="1:1">
      <c r="A1435" s="55"/>
    </row>
    <row r="1436" spans="1:1">
      <c r="A1436" s="55"/>
    </row>
    <row r="1437" spans="1:1">
      <c r="A1437" s="55"/>
    </row>
    <row r="1438" spans="1:1">
      <c r="A1438" s="55"/>
    </row>
    <row r="1439" spans="1:1">
      <c r="A1439" s="55"/>
    </row>
    <row r="1440" spans="1:1">
      <c r="A1440" s="55"/>
    </row>
    <row r="1441" spans="1:1">
      <c r="A1441" s="55"/>
    </row>
    <row r="1442" spans="1:1">
      <c r="A1442" s="55"/>
    </row>
    <row r="1443" spans="1:1">
      <c r="A1443" s="55"/>
    </row>
    <row r="1444" spans="1:1">
      <c r="A1444" s="55"/>
    </row>
    <row r="1445" spans="1:1">
      <c r="A1445" s="55"/>
    </row>
    <row r="1446" spans="1:1">
      <c r="A1446" s="55"/>
    </row>
    <row r="1447" spans="1:1">
      <c r="A1447" s="55"/>
    </row>
    <row r="1448" spans="1:1">
      <c r="A1448" s="55"/>
    </row>
    <row r="1449" spans="1:1">
      <c r="A1449" s="55"/>
    </row>
    <row r="1450" spans="1:1">
      <c r="A1450" s="55"/>
    </row>
    <row r="1451" spans="1:1">
      <c r="A1451" s="55"/>
    </row>
    <row r="1452" spans="1:1">
      <c r="A1452" s="55"/>
    </row>
    <row r="1453" spans="1:1">
      <c r="A1453" s="55"/>
    </row>
    <row r="1454" spans="1:1">
      <c r="A1454" s="55"/>
    </row>
    <row r="1455" spans="1:1">
      <c r="A1455" s="55"/>
    </row>
    <row r="1456" spans="1:1">
      <c r="A1456" s="55"/>
    </row>
    <row r="1457" spans="1:1">
      <c r="A1457" s="55"/>
    </row>
    <row r="1458" spans="1:1">
      <c r="A1458" s="55"/>
    </row>
    <row r="1459" spans="1:1">
      <c r="A1459" s="55"/>
    </row>
    <row r="1460" spans="1:1">
      <c r="A1460" s="55"/>
    </row>
    <row r="1461" spans="1:1">
      <c r="A1461" s="55"/>
    </row>
    <row r="1462" spans="1:1">
      <c r="A1462" s="55"/>
    </row>
    <row r="1463" spans="1:1">
      <c r="A1463" s="55"/>
    </row>
    <row r="1464" spans="1:1">
      <c r="A1464" s="55"/>
    </row>
    <row r="1465" spans="1:1">
      <c r="A1465" s="55"/>
    </row>
    <row r="1466" spans="1:1">
      <c r="A1466" s="55"/>
    </row>
    <row r="1467" spans="1:1">
      <c r="A1467" s="55"/>
    </row>
    <row r="1468" spans="1:1">
      <c r="A1468" s="55"/>
    </row>
    <row r="1469" spans="1:1">
      <c r="A1469" s="55"/>
    </row>
    <row r="1470" spans="1:1">
      <c r="A1470" s="55"/>
    </row>
    <row r="1471" spans="1:1">
      <c r="A1471" s="55"/>
    </row>
    <row r="1472" spans="1:1">
      <c r="A1472" s="55"/>
    </row>
    <row r="1473" spans="1:1">
      <c r="A1473" s="55"/>
    </row>
    <row r="1474" spans="1:1">
      <c r="A1474" s="55"/>
    </row>
    <row r="1475" spans="1:1">
      <c r="A1475" s="55"/>
    </row>
    <row r="1476" spans="1:1">
      <c r="A1476" s="55"/>
    </row>
    <row r="1477" spans="1:1">
      <c r="A1477" s="55"/>
    </row>
    <row r="1478" spans="1:1">
      <c r="A1478" s="55"/>
    </row>
    <row r="1479" spans="1:1">
      <c r="A1479" s="55"/>
    </row>
    <row r="1480" spans="1:1">
      <c r="A1480" s="55"/>
    </row>
    <row r="1481" spans="1:1">
      <c r="A1481" s="55"/>
    </row>
    <row r="1482" spans="1:1">
      <c r="A1482" s="55"/>
    </row>
    <row r="1483" spans="1:1">
      <c r="A1483" s="55"/>
    </row>
    <row r="1484" spans="1:1">
      <c r="A1484" s="55"/>
    </row>
    <row r="1485" spans="1:1">
      <c r="A1485" s="55"/>
    </row>
    <row r="1486" spans="1:1">
      <c r="A1486" s="55"/>
    </row>
    <row r="1487" spans="1:1">
      <c r="A1487" s="55"/>
    </row>
    <row r="1488" spans="1:1">
      <c r="A1488" s="55"/>
    </row>
    <row r="1489" spans="1:1">
      <c r="A1489" s="55"/>
    </row>
    <row r="1490" spans="1:1">
      <c r="A1490" s="55"/>
    </row>
    <row r="1491" spans="1:1">
      <c r="A1491" s="55"/>
    </row>
    <row r="1492" spans="1:1">
      <c r="A1492" s="55"/>
    </row>
    <row r="1493" spans="1:1">
      <c r="A1493" s="55"/>
    </row>
    <row r="1494" spans="1:1">
      <c r="A1494" s="55"/>
    </row>
    <row r="1495" spans="1:1">
      <c r="A1495" s="55"/>
    </row>
    <row r="1496" spans="1:1">
      <c r="A1496" s="55"/>
    </row>
    <row r="1497" spans="1:1">
      <c r="A1497" s="55"/>
    </row>
    <row r="1498" spans="1:1">
      <c r="A1498" s="55"/>
    </row>
    <row r="1499" spans="1:1">
      <c r="A1499" s="55"/>
    </row>
    <row r="1500" spans="1:1">
      <c r="A1500" s="55"/>
    </row>
    <row r="1501" spans="1:1">
      <c r="A1501" s="55"/>
    </row>
    <row r="1502" spans="1:1">
      <c r="A1502" s="55"/>
    </row>
    <row r="1503" spans="1:1">
      <c r="A1503" s="55"/>
    </row>
    <row r="1504" spans="1:1">
      <c r="A1504" s="55"/>
    </row>
    <row r="1505" spans="1:1">
      <c r="A1505" s="55"/>
    </row>
    <row r="1506" spans="1:1">
      <c r="A1506" s="55"/>
    </row>
    <row r="1507" spans="1:1">
      <c r="A1507" s="55"/>
    </row>
    <row r="1508" spans="1:1">
      <c r="A1508" s="55"/>
    </row>
    <row r="1509" spans="1:1">
      <c r="A1509" s="55"/>
    </row>
    <row r="1510" spans="1:1">
      <c r="A1510" s="55"/>
    </row>
    <row r="1511" spans="1:1">
      <c r="A1511" s="55"/>
    </row>
    <row r="1512" spans="1:1">
      <c r="A1512" s="55"/>
    </row>
    <row r="1513" spans="1:1">
      <c r="A1513" s="55"/>
    </row>
    <row r="1514" spans="1:1">
      <c r="A1514" s="55"/>
    </row>
    <row r="1515" spans="1:1">
      <c r="A1515" s="55"/>
    </row>
    <row r="1516" spans="1:1">
      <c r="A1516" s="55"/>
    </row>
    <row r="1517" spans="1:1">
      <c r="A1517" s="55"/>
    </row>
    <row r="1518" spans="1:1">
      <c r="A1518" s="55"/>
    </row>
    <row r="1519" spans="1:1">
      <c r="A1519" s="55"/>
    </row>
    <row r="1520" spans="1:1">
      <c r="A1520" s="55"/>
    </row>
    <row r="1521" spans="1:1">
      <c r="A1521" s="55"/>
    </row>
    <row r="1522" spans="1:1">
      <c r="A1522" s="55"/>
    </row>
    <row r="1523" spans="1:1">
      <c r="A1523" s="55"/>
    </row>
    <row r="1524" spans="1:1">
      <c r="A1524" s="55"/>
    </row>
    <row r="1525" spans="1:1">
      <c r="A1525" s="55"/>
    </row>
    <row r="1526" spans="1:1">
      <c r="A1526" s="55"/>
    </row>
    <row r="1527" spans="1:1">
      <c r="A1527" s="55"/>
    </row>
    <row r="1528" spans="1:1">
      <c r="A1528" s="55"/>
    </row>
    <row r="1529" spans="1:1">
      <c r="A1529" s="55"/>
    </row>
    <row r="1530" spans="1:1">
      <c r="A1530" s="55"/>
    </row>
    <row r="1531" spans="1:1">
      <c r="A1531" s="55"/>
    </row>
    <row r="1532" spans="1:1">
      <c r="A1532" s="55"/>
    </row>
    <row r="1533" spans="1:1">
      <c r="A1533" s="55"/>
    </row>
    <row r="1534" spans="1:1">
      <c r="A1534" s="55"/>
    </row>
    <row r="1535" spans="1:1">
      <c r="A1535" s="55"/>
    </row>
    <row r="1536" spans="1:1">
      <c r="A1536" s="55"/>
    </row>
    <row r="1537" spans="1:1">
      <c r="A1537" s="55"/>
    </row>
    <row r="1538" spans="1:1">
      <c r="A1538" s="55"/>
    </row>
    <row r="1539" spans="1:1">
      <c r="A1539" s="55"/>
    </row>
    <row r="1540" spans="1:1">
      <c r="A1540" s="55"/>
    </row>
    <row r="1541" spans="1:1">
      <c r="A1541" s="55"/>
    </row>
    <row r="1542" spans="1:1">
      <c r="A1542" s="55"/>
    </row>
    <row r="1543" spans="1:1">
      <c r="A1543" s="55"/>
    </row>
    <row r="1544" spans="1:1">
      <c r="A1544" s="55"/>
    </row>
    <row r="1545" spans="1:1">
      <c r="A1545" s="55"/>
    </row>
    <row r="1546" spans="1:1">
      <c r="A1546" s="55"/>
    </row>
    <row r="1547" spans="1:1">
      <c r="A1547" s="55"/>
    </row>
    <row r="1548" spans="1:1">
      <c r="A1548" s="55"/>
    </row>
    <row r="1549" spans="1:1">
      <c r="A1549" s="55"/>
    </row>
    <row r="1550" spans="1:1">
      <c r="A1550" s="55"/>
    </row>
    <row r="1551" spans="1:1">
      <c r="A1551" s="55"/>
    </row>
    <row r="1552" spans="1:1">
      <c r="A1552" s="55"/>
    </row>
    <row r="1553" spans="1:1">
      <c r="A1553" s="55"/>
    </row>
    <row r="1554" spans="1:1">
      <c r="A1554" s="55"/>
    </row>
    <row r="1555" spans="1:1">
      <c r="A1555" s="55"/>
    </row>
    <row r="1556" spans="1:1">
      <c r="A1556" s="55"/>
    </row>
    <row r="1557" spans="1:1">
      <c r="A1557" s="55"/>
    </row>
    <row r="1558" spans="1:1">
      <c r="A1558" s="55"/>
    </row>
    <row r="1559" spans="1:1">
      <c r="A1559" s="55"/>
    </row>
    <row r="1560" spans="1:1">
      <c r="A1560" s="55"/>
    </row>
    <row r="1561" spans="1:1">
      <c r="A1561" s="55"/>
    </row>
    <row r="1562" spans="1:1">
      <c r="A1562" s="55"/>
    </row>
    <row r="1563" spans="1:1">
      <c r="A1563" s="55"/>
    </row>
    <row r="1564" spans="1:1">
      <c r="A1564" s="55"/>
    </row>
    <row r="1565" spans="1:1">
      <c r="A1565" s="55"/>
    </row>
    <row r="1566" spans="1:1">
      <c r="A1566" s="55"/>
    </row>
    <row r="1567" spans="1:1">
      <c r="A1567" s="55"/>
    </row>
    <row r="1568" spans="1:1">
      <c r="A1568" s="55"/>
    </row>
    <row r="1569" spans="1:1">
      <c r="A1569" s="55"/>
    </row>
    <row r="1570" spans="1:1">
      <c r="A1570" s="55"/>
    </row>
    <row r="1571" spans="1:1">
      <c r="A1571" s="55"/>
    </row>
    <row r="1572" spans="1:1">
      <c r="A1572" s="55"/>
    </row>
    <row r="1573" spans="1:1">
      <c r="A1573" s="55"/>
    </row>
    <row r="1574" spans="1:1">
      <c r="A1574" s="55"/>
    </row>
    <row r="1575" spans="1:1">
      <c r="A1575" s="55"/>
    </row>
    <row r="1576" spans="1:1">
      <c r="A1576" s="55"/>
    </row>
    <row r="1577" spans="1:1">
      <c r="A1577" s="55"/>
    </row>
    <row r="1578" spans="1:1">
      <c r="A1578" s="55"/>
    </row>
    <row r="1579" spans="1:1">
      <c r="A1579" s="55"/>
    </row>
    <row r="1580" spans="1:1">
      <c r="A1580" s="55"/>
    </row>
    <row r="1581" spans="1:1">
      <c r="A1581" s="55"/>
    </row>
    <row r="1582" spans="1:1">
      <c r="A1582" s="55"/>
    </row>
    <row r="1583" spans="1:1">
      <c r="A1583" s="55"/>
    </row>
    <row r="1584" spans="1:1">
      <c r="A1584" s="55"/>
    </row>
    <row r="1585" spans="1:1">
      <c r="A1585" s="55"/>
    </row>
    <row r="1586" spans="1:1">
      <c r="A1586" s="55"/>
    </row>
    <row r="1587" spans="1:1">
      <c r="A1587" s="55"/>
    </row>
    <row r="1588" spans="1:1">
      <c r="A1588" s="55"/>
    </row>
    <row r="1589" spans="1:1">
      <c r="A1589" s="55"/>
    </row>
    <row r="1590" spans="1:1">
      <c r="A1590" s="55"/>
    </row>
    <row r="1591" spans="1:1">
      <c r="A1591" s="55"/>
    </row>
    <row r="1592" spans="1:1">
      <c r="A1592" s="55"/>
    </row>
    <row r="1593" spans="1:1">
      <c r="A1593" s="55"/>
    </row>
    <row r="1594" spans="1:1">
      <c r="A1594" s="55"/>
    </row>
    <row r="1595" spans="1:1">
      <c r="A1595" s="55"/>
    </row>
    <row r="1596" spans="1:1">
      <c r="A1596" s="55"/>
    </row>
    <row r="1597" spans="1:1">
      <c r="A1597" s="55"/>
    </row>
    <row r="1598" spans="1:1">
      <c r="A1598" s="55"/>
    </row>
    <row r="1599" spans="1:1">
      <c r="A1599" s="55"/>
    </row>
    <row r="1600" spans="1:1">
      <c r="A1600" s="55"/>
    </row>
    <row r="1601" spans="1:1">
      <c r="A1601" s="55"/>
    </row>
    <row r="1602" spans="1:1">
      <c r="A1602" s="55"/>
    </row>
    <row r="1603" spans="1:1">
      <c r="A1603" s="55"/>
    </row>
    <row r="1604" spans="1:1">
      <c r="A1604" s="55"/>
    </row>
    <row r="1605" spans="1:1">
      <c r="A1605" s="55"/>
    </row>
    <row r="1606" spans="1:1">
      <c r="A1606" s="55"/>
    </row>
    <row r="1607" spans="1:1">
      <c r="A1607" s="55"/>
    </row>
    <row r="1608" spans="1:1">
      <c r="A1608" s="55"/>
    </row>
    <row r="1609" spans="1:1">
      <c r="A1609" s="55"/>
    </row>
    <row r="1610" spans="1:1">
      <c r="A1610" s="55"/>
    </row>
    <row r="1611" spans="1:1">
      <c r="A1611" s="55"/>
    </row>
    <row r="1612" spans="1:1">
      <c r="A1612" s="55"/>
    </row>
    <row r="1613" spans="1:1">
      <c r="A1613" s="55"/>
    </row>
    <row r="1614" spans="1:1">
      <c r="A1614" s="55"/>
    </row>
    <row r="1615" spans="1:1">
      <c r="A1615" s="55"/>
    </row>
    <row r="1616" spans="1:1">
      <c r="A1616" s="55"/>
    </row>
    <row r="1617" spans="1:1">
      <c r="A1617" s="55"/>
    </row>
    <row r="1618" spans="1:1">
      <c r="A1618" s="55"/>
    </row>
    <row r="1619" spans="1:1">
      <c r="A1619" s="55"/>
    </row>
    <row r="1620" spans="1:1">
      <c r="A1620" s="55"/>
    </row>
    <row r="1621" spans="1:1">
      <c r="A1621" s="55"/>
    </row>
    <row r="1622" spans="1:1">
      <c r="A1622" s="55"/>
    </row>
    <row r="1623" spans="1:1">
      <c r="A1623" s="55"/>
    </row>
    <row r="1624" spans="1:1">
      <c r="A1624" s="55"/>
    </row>
    <row r="1625" spans="1:1">
      <c r="A1625" s="55"/>
    </row>
    <row r="1626" spans="1:1">
      <c r="A1626" s="55"/>
    </row>
    <row r="1627" spans="1:1">
      <c r="A1627" s="55"/>
    </row>
    <row r="1628" spans="1:1">
      <c r="A1628" s="55"/>
    </row>
    <row r="1629" spans="1:1">
      <c r="A1629" s="55"/>
    </row>
    <row r="1630" spans="1:1">
      <c r="A1630" s="55"/>
    </row>
    <row r="1631" spans="1:1">
      <c r="A1631" s="55"/>
    </row>
    <row r="1632" spans="1:1">
      <c r="A1632" s="55"/>
    </row>
    <row r="1633" spans="1:1">
      <c r="A1633" s="55"/>
    </row>
    <row r="1634" spans="1:1">
      <c r="A1634" s="55"/>
    </row>
    <row r="1635" spans="1:1">
      <c r="A1635" s="55"/>
    </row>
    <row r="1636" spans="1:1">
      <c r="A1636" s="55"/>
    </row>
    <row r="1637" spans="1:1">
      <c r="A1637" s="55"/>
    </row>
    <row r="1638" spans="1:1">
      <c r="A1638" s="55"/>
    </row>
    <row r="1639" spans="1:1">
      <c r="A1639" s="55"/>
    </row>
    <row r="1640" spans="1:1">
      <c r="A1640" s="55"/>
    </row>
    <row r="1641" spans="1:1">
      <c r="A1641" s="55"/>
    </row>
    <row r="1642" spans="1:1">
      <c r="A1642" s="55"/>
    </row>
    <row r="1643" spans="1:1">
      <c r="A1643" s="55"/>
    </row>
    <row r="1644" spans="1:1">
      <c r="A1644" s="55"/>
    </row>
    <row r="1645" spans="1:1">
      <c r="A1645" s="55"/>
    </row>
    <row r="1646" spans="1:1">
      <c r="A1646" s="55"/>
    </row>
    <row r="1647" spans="1:1">
      <c r="A1647" s="55"/>
    </row>
    <row r="1648" spans="1:1">
      <c r="A1648" s="55"/>
    </row>
    <row r="1649" spans="1:1">
      <c r="A1649" s="55"/>
    </row>
    <row r="1650" spans="1:1">
      <c r="A1650" s="55"/>
    </row>
    <row r="1651" spans="1:1">
      <c r="A1651" s="55"/>
    </row>
    <row r="1652" spans="1:1">
      <c r="A1652" s="55"/>
    </row>
    <row r="1653" spans="1:1">
      <c r="A1653" s="55"/>
    </row>
    <row r="1654" spans="1:1">
      <c r="A1654" s="55"/>
    </row>
    <row r="1655" spans="1:1">
      <c r="A1655" s="55"/>
    </row>
    <row r="1656" spans="1:1">
      <c r="A1656" s="55"/>
    </row>
    <row r="1657" spans="1:1">
      <c r="A1657" s="55"/>
    </row>
    <row r="1658" spans="1:1">
      <c r="A1658" s="55"/>
    </row>
    <row r="1659" spans="1:1">
      <c r="A1659" s="55"/>
    </row>
    <row r="1660" spans="1:1">
      <c r="A1660" s="55"/>
    </row>
    <row r="1661" spans="1:1">
      <c r="A1661" s="55"/>
    </row>
    <row r="1662" spans="1:1">
      <c r="A1662" s="55"/>
    </row>
    <row r="1663" spans="1:1">
      <c r="A1663" s="55"/>
    </row>
    <row r="1664" spans="1:1">
      <c r="A1664" s="55"/>
    </row>
    <row r="1665" spans="1:1">
      <c r="A1665" s="55"/>
    </row>
    <row r="1666" spans="1:1">
      <c r="A1666" s="55"/>
    </row>
    <row r="1667" spans="1:1">
      <c r="A1667" s="55"/>
    </row>
    <row r="1668" spans="1:1">
      <c r="A1668" s="55"/>
    </row>
    <row r="1669" spans="1:1">
      <c r="A1669" s="55"/>
    </row>
    <row r="1670" spans="1:1">
      <c r="A1670" s="55"/>
    </row>
    <row r="1671" spans="1:1">
      <c r="A1671" s="55"/>
    </row>
    <row r="1672" spans="1:1">
      <c r="A1672" s="55"/>
    </row>
    <row r="1673" spans="1:1">
      <c r="A1673" s="55"/>
    </row>
    <row r="1674" spans="1:1">
      <c r="A1674" s="55"/>
    </row>
    <row r="1675" spans="1:1">
      <c r="A1675" s="55"/>
    </row>
    <row r="1676" spans="1:1">
      <c r="A1676" s="55"/>
    </row>
    <row r="1677" spans="1:1">
      <c r="A1677" s="55"/>
    </row>
    <row r="1678" spans="1:1">
      <c r="A1678" s="55"/>
    </row>
    <row r="1679" spans="1:1">
      <c r="A1679" s="55"/>
    </row>
    <row r="1680" spans="1:1">
      <c r="A1680" s="55"/>
    </row>
    <row r="1681" spans="1:1">
      <c r="A1681" s="55"/>
    </row>
    <row r="1682" spans="1:1">
      <c r="A1682" s="55"/>
    </row>
    <row r="1683" spans="1:1">
      <c r="A1683" s="55"/>
    </row>
    <row r="1684" spans="1:1">
      <c r="A1684" s="55"/>
    </row>
    <row r="1685" spans="1:1">
      <c r="A1685" s="55"/>
    </row>
    <row r="1686" spans="1:1">
      <c r="A1686" s="55"/>
    </row>
    <row r="1687" spans="1:1">
      <c r="A1687" s="55"/>
    </row>
    <row r="1688" spans="1:1">
      <c r="A1688" s="55"/>
    </row>
    <row r="1689" spans="1:1">
      <c r="A1689" s="55"/>
    </row>
    <row r="1690" spans="1:1">
      <c r="A1690" s="55"/>
    </row>
    <row r="1691" spans="1:1">
      <c r="A1691" s="55"/>
    </row>
    <row r="1692" spans="1:1">
      <c r="A1692" s="55"/>
    </row>
    <row r="1693" spans="1:1">
      <c r="A1693" s="55"/>
    </row>
    <row r="1694" spans="1:1">
      <c r="A1694" s="55"/>
    </row>
    <row r="1695" spans="1:1">
      <c r="A1695" s="55"/>
    </row>
    <row r="1696" spans="1:1">
      <c r="A1696" s="55"/>
    </row>
    <row r="1697" spans="1:1">
      <c r="A1697" s="55"/>
    </row>
    <row r="1698" spans="1:1">
      <c r="A1698" s="55"/>
    </row>
    <row r="1699" spans="1:1">
      <c r="A1699" s="55"/>
    </row>
    <row r="1700" spans="1:1">
      <c r="A1700" s="55"/>
    </row>
    <row r="1701" spans="1:1">
      <c r="A1701" s="55"/>
    </row>
    <row r="1702" spans="1:1">
      <c r="A1702" s="55"/>
    </row>
    <row r="1703" spans="1:1">
      <c r="A1703" s="55"/>
    </row>
    <row r="1704" spans="1:1">
      <c r="A1704" s="55"/>
    </row>
    <row r="1705" spans="1:1">
      <c r="A1705" s="55"/>
    </row>
    <row r="1706" spans="1:1">
      <c r="A1706" s="55"/>
    </row>
    <row r="1707" spans="1:1">
      <c r="A1707" s="55"/>
    </row>
    <row r="1708" spans="1:1">
      <c r="A1708" s="55"/>
    </row>
    <row r="1709" spans="1:1">
      <c r="A1709" s="55"/>
    </row>
    <row r="1710" spans="1:1">
      <c r="A1710" s="55"/>
    </row>
    <row r="1711" spans="1:1">
      <c r="A1711" s="55"/>
    </row>
    <row r="1712" spans="1:1">
      <c r="A1712" s="55"/>
    </row>
    <row r="1713" spans="1:1">
      <c r="A1713" s="55"/>
    </row>
    <row r="1714" spans="1:1">
      <c r="A1714" s="55"/>
    </row>
    <row r="1715" spans="1:1">
      <c r="A1715" s="55"/>
    </row>
    <row r="1716" spans="1:1">
      <c r="A1716" s="55"/>
    </row>
    <row r="1717" spans="1:1">
      <c r="A1717" s="55"/>
    </row>
    <row r="1718" spans="1:1">
      <c r="A1718" s="55"/>
    </row>
    <row r="1719" spans="1:1">
      <c r="A1719" s="55"/>
    </row>
    <row r="1720" spans="1:1">
      <c r="A1720" s="55"/>
    </row>
    <row r="1721" spans="1:1">
      <c r="A1721" s="55"/>
    </row>
    <row r="1722" spans="1:1">
      <c r="A1722" s="55"/>
    </row>
    <row r="1723" spans="1:1">
      <c r="A1723" s="55"/>
    </row>
    <row r="1724" spans="1:1">
      <c r="A1724" s="55"/>
    </row>
    <row r="1725" spans="1:1">
      <c r="A1725" s="55"/>
    </row>
    <row r="1726" spans="1:1">
      <c r="A1726" s="55"/>
    </row>
    <row r="1727" spans="1:1">
      <c r="A1727" s="55"/>
    </row>
    <row r="1728" spans="1:1">
      <c r="A1728" s="55"/>
    </row>
    <row r="1729" spans="1:1">
      <c r="A1729" s="55"/>
    </row>
    <row r="1730" spans="1:1">
      <c r="A1730" s="55"/>
    </row>
    <row r="1731" spans="1:1">
      <c r="A1731" s="55"/>
    </row>
    <row r="1732" spans="1:1">
      <c r="A1732" s="55"/>
    </row>
    <row r="1733" spans="1:1">
      <c r="A1733" s="55"/>
    </row>
    <row r="1734" spans="1:1">
      <c r="A1734" s="55"/>
    </row>
    <row r="1735" spans="1:1">
      <c r="A1735" s="55"/>
    </row>
    <row r="1736" spans="1:1">
      <c r="A1736" s="55"/>
    </row>
    <row r="1737" spans="1:1">
      <c r="A1737" s="55"/>
    </row>
    <row r="1738" spans="1:1">
      <c r="A1738" s="55"/>
    </row>
    <row r="1739" spans="1:1">
      <c r="A1739" s="55"/>
    </row>
    <row r="1740" spans="1:1">
      <c r="A1740" s="55"/>
    </row>
    <row r="1741" spans="1:1">
      <c r="A1741" s="55"/>
    </row>
    <row r="1742" spans="1:1">
      <c r="A1742" s="55"/>
    </row>
    <row r="1743" spans="1:1">
      <c r="A1743" s="55"/>
    </row>
    <row r="1744" spans="1:1">
      <c r="A1744" s="55"/>
    </row>
    <row r="1745" spans="1:1">
      <c r="A1745" s="55"/>
    </row>
    <row r="1746" spans="1:1">
      <c r="A1746" s="55"/>
    </row>
    <row r="1747" spans="1:1">
      <c r="A1747" s="55"/>
    </row>
    <row r="1748" spans="1:1">
      <c r="A1748" s="55"/>
    </row>
    <row r="1749" spans="1:1">
      <c r="A1749" s="55"/>
    </row>
    <row r="1750" spans="1:1">
      <c r="A1750" s="55"/>
    </row>
    <row r="1751" spans="1:1">
      <c r="A1751" s="55"/>
    </row>
    <row r="1752" spans="1:1">
      <c r="A1752" s="55"/>
    </row>
    <row r="1753" spans="1:1">
      <c r="A1753" s="55"/>
    </row>
    <row r="1754" spans="1:1">
      <c r="A1754" s="55"/>
    </row>
    <row r="1755" spans="1:1">
      <c r="A1755" s="55"/>
    </row>
    <row r="1756" spans="1:1">
      <c r="A1756" s="55"/>
    </row>
    <row r="1757" spans="1:1">
      <c r="A1757" s="55"/>
    </row>
    <row r="1758" spans="1:1">
      <c r="A1758" s="55"/>
    </row>
    <row r="1759" spans="1:1">
      <c r="A1759" s="55"/>
    </row>
    <row r="1760" spans="1:1">
      <c r="A1760" s="55"/>
    </row>
    <row r="1761" spans="1:1">
      <c r="A1761" s="55"/>
    </row>
    <row r="1762" spans="1:1">
      <c r="A1762" s="55"/>
    </row>
    <row r="1763" spans="1:1">
      <c r="A1763" s="55"/>
    </row>
    <row r="1764" spans="1:1">
      <c r="A1764" s="55"/>
    </row>
    <row r="1765" spans="1:1">
      <c r="A1765" s="55"/>
    </row>
    <row r="1766" spans="1:1">
      <c r="A1766" s="55"/>
    </row>
    <row r="1767" spans="1:1">
      <c r="A1767" s="55"/>
    </row>
    <row r="1768" spans="1:1">
      <c r="A1768" s="55"/>
    </row>
    <row r="1769" spans="1:1">
      <c r="A1769" s="55"/>
    </row>
    <row r="1770" spans="1:1">
      <c r="A1770" s="55"/>
    </row>
    <row r="1771" spans="1:1">
      <c r="A1771" s="55"/>
    </row>
    <row r="1772" spans="1:1">
      <c r="A1772" s="55"/>
    </row>
    <row r="1773" spans="1:1">
      <c r="A1773" s="55"/>
    </row>
    <row r="1774" spans="1:1">
      <c r="A1774" s="55"/>
    </row>
    <row r="1775" spans="1:1">
      <c r="A1775" s="55"/>
    </row>
    <row r="1776" spans="1:1">
      <c r="A1776" s="55"/>
    </row>
    <row r="1777" spans="1:1">
      <c r="A1777" s="55"/>
    </row>
    <row r="1778" spans="1:1">
      <c r="A1778" s="55"/>
    </row>
    <row r="1779" spans="1:1">
      <c r="A1779" s="55"/>
    </row>
    <row r="1780" spans="1:1">
      <c r="A1780" s="55"/>
    </row>
    <row r="1781" spans="1:1">
      <c r="A1781" s="55"/>
    </row>
    <row r="1782" spans="1:1">
      <c r="A1782" s="55"/>
    </row>
    <row r="1783" spans="1:1">
      <c r="A1783" s="55"/>
    </row>
    <row r="1784" spans="1:1">
      <c r="A1784" s="55"/>
    </row>
    <row r="1785" spans="1:1">
      <c r="A1785" s="55"/>
    </row>
    <row r="1786" spans="1:1">
      <c r="A1786" s="55"/>
    </row>
    <row r="1787" spans="1:1">
      <c r="A1787" s="55"/>
    </row>
    <row r="1788" spans="1:1">
      <c r="A1788" s="55"/>
    </row>
    <row r="1789" spans="1:1">
      <c r="A1789" s="55"/>
    </row>
    <row r="1790" spans="1:1">
      <c r="A1790" s="55"/>
    </row>
    <row r="1791" spans="1:1">
      <c r="A1791" s="55"/>
    </row>
    <row r="1792" spans="1:1">
      <c r="A1792" s="55"/>
    </row>
    <row r="1793" spans="1:1">
      <c r="A1793" s="55"/>
    </row>
    <row r="1794" spans="1:1">
      <c r="A1794" s="55"/>
    </row>
    <row r="1795" spans="1:1">
      <c r="A1795" s="55"/>
    </row>
    <row r="1796" spans="1:1">
      <c r="A1796" s="55"/>
    </row>
    <row r="1797" spans="1:1">
      <c r="A1797" s="55"/>
    </row>
    <row r="1798" spans="1:1">
      <c r="A1798" s="55"/>
    </row>
    <row r="1799" spans="1:1">
      <c r="A1799" s="55"/>
    </row>
    <row r="1800" spans="1:1">
      <c r="A1800" s="55"/>
    </row>
    <row r="1801" spans="1:1">
      <c r="A1801" s="55"/>
    </row>
    <row r="1802" spans="1:1">
      <c r="A1802" s="55"/>
    </row>
    <row r="1803" spans="1:1">
      <c r="A1803" s="55"/>
    </row>
    <row r="1804" spans="1:1">
      <c r="A1804" s="55"/>
    </row>
    <row r="1805" spans="1:1">
      <c r="A1805" s="55"/>
    </row>
    <row r="1806" spans="1:1">
      <c r="A1806" s="55"/>
    </row>
    <row r="1807" spans="1:1">
      <c r="A1807" s="55"/>
    </row>
    <row r="1808" spans="1:1">
      <c r="A1808" s="55"/>
    </row>
    <row r="1809" spans="1:1">
      <c r="A1809" s="55"/>
    </row>
    <row r="1810" spans="1:1">
      <c r="A1810" s="55"/>
    </row>
    <row r="1811" spans="1:1">
      <c r="A1811" s="55"/>
    </row>
    <row r="1812" spans="1:1">
      <c r="A1812" s="55"/>
    </row>
    <row r="1813" spans="1:1">
      <c r="A1813" s="55"/>
    </row>
    <row r="1814" spans="1:1">
      <c r="A1814" s="55"/>
    </row>
    <row r="1815" spans="1:1">
      <c r="A1815" s="55"/>
    </row>
    <row r="1816" spans="1:1">
      <c r="A1816" s="55"/>
    </row>
    <row r="1817" spans="1:1">
      <c r="A1817" s="55"/>
    </row>
    <row r="1818" spans="1:1">
      <c r="A1818" s="55"/>
    </row>
    <row r="1819" spans="1:1">
      <c r="A1819" s="55"/>
    </row>
    <row r="1820" spans="1:1">
      <c r="A1820" s="55"/>
    </row>
    <row r="1821" spans="1:1">
      <c r="A1821" s="55"/>
    </row>
    <row r="1822" spans="1:1">
      <c r="A1822" s="55"/>
    </row>
    <row r="1823" spans="1:1">
      <c r="A1823" s="55"/>
    </row>
    <row r="1824" spans="1:1">
      <c r="A1824" s="55"/>
    </row>
    <row r="1825" spans="1:1">
      <c r="A1825" s="55"/>
    </row>
    <row r="1826" spans="1:1">
      <c r="A1826" s="55"/>
    </row>
    <row r="1827" spans="1:1">
      <c r="A1827" s="55"/>
    </row>
    <row r="1828" spans="1:1">
      <c r="A1828" s="55"/>
    </row>
    <row r="1829" spans="1:1">
      <c r="A1829" s="55"/>
    </row>
    <row r="1830" spans="1:1">
      <c r="A1830" s="55"/>
    </row>
    <row r="1831" spans="1:1">
      <c r="A1831" s="55"/>
    </row>
    <row r="1832" spans="1:1">
      <c r="A1832" s="55"/>
    </row>
    <row r="1833" spans="1:1">
      <c r="A1833" s="55"/>
    </row>
    <row r="1834" spans="1:1">
      <c r="A1834" s="55"/>
    </row>
    <row r="1835" spans="1:1">
      <c r="A1835" s="55"/>
    </row>
    <row r="1836" spans="1:1">
      <c r="A1836" s="55"/>
    </row>
    <row r="1837" spans="1:1">
      <c r="A1837" s="55"/>
    </row>
    <row r="1838" spans="1:1">
      <c r="A1838" s="55"/>
    </row>
    <row r="1839" spans="1:1">
      <c r="A1839" s="55"/>
    </row>
    <row r="1840" spans="1:1">
      <c r="A1840" s="55"/>
    </row>
    <row r="1841" spans="1:1">
      <c r="A1841" s="55"/>
    </row>
    <row r="1842" spans="1:1">
      <c r="A1842" s="55"/>
    </row>
    <row r="1843" spans="1:1">
      <c r="A1843" s="55"/>
    </row>
    <row r="1844" spans="1:1">
      <c r="A1844" s="55"/>
    </row>
    <row r="1845" spans="1:1">
      <c r="A1845" s="55"/>
    </row>
    <row r="1846" spans="1:1">
      <c r="A1846" s="55"/>
    </row>
    <row r="1847" spans="1:1">
      <c r="A1847" s="55"/>
    </row>
    <row r="1848" spans="1:1">
      <c r="A1848" s="55"/>
    </row>
    <row r="1849" spans="1:1">
      <c r="A1849" s="55"/>
    </row>
    <row r="1850" spans="1:1">
      <c r="A1850" s="55"/>
    </row>
    <row r="1851" spans="1:1">
      <c r="A1851" s="55"/>
    </row>
    <row r="1852" spans="1:1">
      <c r="A1852" s="55"/>
    </row>
    <row r="1853" spans="1:1">
      <c r="A1853" s="55"/>
    </row>
    <row r="1854" spans="1:1">
      <c r="A1854" s="55"/>
    </row>
    <row r="1855" spans="1:1">
      <c r="A1855" s="55"/>
    </row>
    <row r="1856" spans="1:1">
      <c r="A1856" s="55"/>
    </row>
    <row r="1857" spans="1:1">
      <c r="A1857" s="55"/>
    </row>
    <row r="1858" spans="1:1">
      <c r="A1858" s="55"/>
    </row>
    <row r="1859" spans="1:1">
      <c r="A1859" s="55"/>
    </row>
    <row r="1860" spans="1:1">
      <c r="A1860" s="55"/>
    </row>
    <row r="1861" spans="1:1">
      <c r="A1861" s="55"/>
    </row>
    <row r="1862" spans="1:1">
      <c r="A1862" s="55"/>
    </row>
    <row r="1863" spans="1:1">
      <c r="A1863" s="55"/>
    </row>
    <row r="1864" spans="1:1">
      <c r="A1864" s="55"/>
    </row>
    <row r="1865" spans="1:1">
      <c r="A1865" s="55"/>
    </row>
    <row r="1866" spans="1:1">
      <c r="A1866" s="55"/>
    </row>
    <row r="1867" spans="1:1">
      <c r="A1867" s="55"/>
    </row>
    <row r="1868" spans="1:1">
      <c r="A1868" s="55"/>
    </row>
    <row r="1869" spans="1:1">
      <c r="A1869" s="55"/>
    </row>
    <row r="1870" spans="1:1">
      <c r="A1870" s="55"/>
    </row>
    <row r="1871" spans="1:1">
      <c r="A1871" s="55"/>
    </row>
    <row r="1872" spans="1:1">
      <c r="A1872" s="55"/>
    </row>
    <row r="1873" spans="1:1">
      <c r="A1873" s="55"/>
    </row>
    <row r="1874" spans="1:1">
      <c r="A1874" s="55"/>
    </row>
    <row r="1875" spans="1:1">
      <c r="A1875" s="55"/>
    </row>
    <row r="1876" spans="1:1">
      <c r="A1876" s="55"/>
    </row>
    <row r="1877" spans="1:1">
      <c r="A1877" s="55"/>
    </row>
    <row r="1878" spans="1:1">
      <c r="A1878" s="55"/>
    </row>
    <row r="1879" spans="1:1">
      <c r="A1879" s="55"/>
    </row>
    <row r="1880" spans="1:1">
      <c r="A1880" s="55"/>
    </row>
    <row r="1881" spans="1:1">
      <c r="A1881" s="55"/>
    </row>
    <row r="1882" spans="1:1">
      <c r="A1882" s="55"/>
    </row>
    <row r="1883" spans="1:1">
      <c r="A1883" s="55"/>
    </row>
    <row r="1884" spans="1:1">
      <c r="A1884" s="55"/>
    </row>
    <row r="1885" spans="1:1">
      <c r="A1885" s="55"/>
    </row>
    <row r="1886" spans="1:1">
      <c r="A1886" s="55"/>
    </row>
    <row r="1887" spans="1:1">
      <c r="A1887" s="55"/>
    </row>
    <row r="1888" spans="1:1">
      <c r="A1888" s="55"/>
    </row>
    <row r="1889" spans="1:1">
      <c r="A1889" s="55"/>
    </row>
    <row r="1890" spans="1:1">
      <c r="A1890" s="55"/>
    </row>
    <row r="1891" spans="1:1">
      <c r="A1891" s="55"/>
    </row>
    <row r="1892" spans="1:1">
      <c r="A1892" s="55"/>
    </row>
    <row r="1893" spans="1:1">
      <c r="A1893" s="55"/>
    </row>
    <row r="1894" spans="1:1">
      <c r="A1894" s="55"/>
    </row>
    <row r="1895" spans="1:1">
      <c r="A1895" s="55"/>
    </row>
    <row r="1896" spans="1:1">
      <c r="A1896" s="55"/>
    </row>
    <row r="1897" spans="1:1">
      <c r="A1897" s="55"/>
    </row>
    <row r="1898" spans="1:1">
      <c r="A1898" s="55"/>
    </row>
    <row r="1899" spans="1:1">
      <c r="A1899" s="55"/>
    </row>
    <row r="1900" spans="1:1">
      <c r="A1900" s="55"/>
    </row>
    <row r="1901" spans="1:1">
      <c r="A1901" s="55"/>
    </row>
    <row r="1902" spans="1:1">
      <c r="A1902" s="55"/>
    </row>
    <row r="1903" spans="1:1">
      <c r="A1903" s="55"/>
    </row>
    <row r="1904" spans="1:1">
      <c r="A1904" s="55"/>
    </row>
    <row r="1905" spans="1:1">
      <c r="A1905" s="55"/>
    </row>
    <row r="1906" spans="1:1">
      <c r="A1906" s="55"/>
    </row>
    <row r="1907" spans="1:1">
      <c r="A1907" s="55"/>
    </row>
    <row r="1908" spans="1:1">
      <c r="A1908" s="55"/>
    </row>
    <row r="1909" spans="1:1">
      <c r="A1909" s="55"/>
    </row>
    <row r="1910" spans="1:1">
      <c r="A1910" s="55"/>
    </row>
    <row r="1911" spans="1:1">
      <c r="A1911" s="55"/>
    </row>
    <row r="1912" spans="1:1">
      <c r="A1912" s="55"/>
    </row>
    <row r="1913" spans="1:1">
      <c r="A1913" s="55"/>
    </row>
    <row r="1914" spans="1:1">
      <c r="A1914" s="55"/>
    </row>
    <row r="1915" spans="1:1">
      <c r="A1915" s="55"/>
    </row>
    <row r="1916" spans="1:1">
      <c r="A1916" s="55"/>
    </row>
    <row r="1917" spans="1:1">
      <c r="A1917" s="55"/>
    </row>
    <row r="1918" spans="1:1">
      <c r="A1918" s="55"/>
    </row>
    <row r="1919" spans="1:1">
      <c r="A1919" s="55"/>
    </row>
    <row r="1920" spans="1:1">
      <c r="A1920" s="55"/>
    </row>
    <row r="1921" spans="1:1">
      <c r="A1921" s="55"/>
    </row>
    <row r="1922" spans="1:1">
      <c r="A1922" s="55"/>
    </row>
    <row r="1923" spans="1:1">
      <c r="A1923" s="55"/>
    </row>
    <row r="1924" spans="1:1">
      <c r="A1924" s="55"/>
    </row>
    <row r="1925" spans="1:1">
      <c r="A1925" s="55"/>
    </row>
    <row r="1926" spans="1:1">
      <c r="A1926" s="55"/>
    </row>
    <row r="1927" spans="1:1">
      <c r="A1927" s="55"/>
    </row>
    <row r="1928" spans="1:1">
      <c r="A1928" s="55"/>
    </row>
    <row r="1929" spans="1:1">
      <c r="A1929" s="55"/>
    </row>
    <row r="1930" spans="1:1">
      <c r="A1930" s="55"/>
    </row>
    <row r="1931" spans="1:1">
      <c r="A1931" s="55"/>
    </row>
    <row r="1932" spans="1:1">
      <c r="A1932" s="55"/>
    </row>
    <row r="1933" spans="1:1">
      <c r="A1933" s="55"/>
    </row>
    <row r="1934" spans="1:1">
      <c r="A1934" s="55"/>
    </row>
    <row r="1935" spans="1:1">
      <c r="A1935" s="55"/>
    </row>
    <row r="1936" spans="1:1">
      <c r="A1936" s="55"/>
    </row>
    <row r="1937" spans="1:1">
      <c r="A1937" s="55"/>
    </row>
    <row r="1938" spans="1:1">
      <c r="A1938" s="55"/>
    </row>
    <row r="1939" spans="1:1">
      <c r="A1939" s="55"/>
    </row>
    <row r="1940" spans="1:1">
      <c r="A1940" s="55"/>
    </row>
    <row r="1941" spans="1:1">
      <c r="A1941" s="55"/>
    </row>
    <row r="1942" spans="1:1">
      <c r="A1942" s="55"/>
    </row>
    <row r="1943" spans="1:1">
      <c r="A1943" s="55"/>
    </row>
    <row r="1944" spans="1:1">
      <c r="A1944" s="55"/>
    </row>
    <row r="1945" spans="1:1">
      <c r="A1945" s="55"/>
    </row>
    <row r="1946" spans="1:1">
      <c r="A1946" s="55"/>
    </row>
    <row r="1947" spans="1:1">
      <c r="A1947" s="55"/>
    </row>
    <row r="1948" spans="1:1">
      <c r="A1948" s="55"/>
    </row>
    <row r="1949" spans="1:1">
      <c r="A1949" s="55"/>
    </row>
    <row r="1950" spans="1:1">
      <c r="A1950" s="55"/>
    </row>
    <row r="1951" spans="1:1">
      <c r="A1951" s="55"/>
    </row>
    <row r="1952" spans="1:1">
      <c r="A1952" s="55"/>
    </row>
    <row r="1953" spans="1:1">
      <c r="A1953" s="55"/>
    </row>
    <row r="1954" spans="1:1">
      <c r="A1954" s="55"/>
    </row>
    <row r="1955" spans="1:1">
      <c r="A1955" s="55"/>
    </row>
    <row r="1956" spans="1:1">
      <c r="A1956" s="55"/>
    </row>
    <row r="1957" spans="1:1">
      <c r="A1957" s="55"/>
    </row>
    <row r="1958" spans="1:1">
      <c r="A1958" s="55"/>
    </row>
    <row r="1959" spans="1:1">
      <c r="A1959" s="55"/>
    </row>
    <row r="1960" spans="1:1">
      <c r="A1960" s="55"/>
    </row>
    <row r="1961" spans="1:1">
      <c r="A1961" s="55"/>
    </row>
    <row r="1962" spans="1:1">
      <c r="A1962" s="55"/>
    </row>
    <row r="1963" spans="1:1">
      <c r="A1963" s="55"/>
    </row>
    <row r="1964" spans="1:1">
      <c r="A1964" s="55"/>
    </row>
    <row r="1965" spans="1:1">
      <c r="A1965" s="55"/>
    </row>
    <row r="1966" spans="1:1">
      <c r="A1966" s="55"/>
    </row>
    <row r="1967" spans="1:1">
      <c r="A1967" s="55"/>
    </row>
    <row r="1968" spans="1:1">
      <c r="A1968" s="55"/>
    </row>
    <row r="1969" spans="1:1">
      <c r="A1969" s="55"/>
    </row>
    <row r="1970" spans="1:1">
      <c r="A1970" s="55"/>
    </row>
    <row r="1971" spans="1:1">
      <c r="A1971" s="55"/>
    </row>
    <row r="1972" spans="1:1">
      <c r="A1972" s="55"/>
    </row>
    <row r="1973" spans="1:1">
      <c r="A1973" s="55"/>
    </row>
    <row r="1974" spans="1:1">
      <c r="A1974" s="55"/>
    </row>
    <row r="1975" spans="1:1">
      <c r="A1975" s="55"/>
    </row>
    <row r="1976" spans="1:1">
      <c r="A1976" s="55"/>
    </row>
    <row r="1977" spans="1:1">
      <c r="A1977" s="55"/>
    </row>
    <row r="1978" spans="1:1">
      <c r="A1978" s="55"/>
    </row>
    <row r="1979" spans="1:1">
      <c r="A1979" s="55"/>
    </row>
    <row r="1980" spans="1:1">
      <c r="A1980" s="55"/>
    </row>
    <row r="1981" spans="1:1">
      <c r="A1981" s="55"/>
    </row>
    <row r="1982" spans="1:1">
      <c r="A1982" s="55"/>
    </row>
    <row r="1983" spans="1:1">
      <c r="A1983" s="55"/>
    </row>
    <row r="1984" spans="1:1">
      <c r="A1984" s="55"/>
    </row>
    <row r="1985" spans="1:1">
      <c r="A1985" s="55"/>
    </row>
    <row r="1986" spans="1:1">
      <c r="A1986" s="55"/>
    </row>
    <row r="1987" spans="1:1">
      <c r="A1987" s="55"/>
    </row>
    <row r="1988" spans="1:1">
      <c r="A1988" s="55"/>
    </row>
    <row r="1989" spans="1:1">
      <c r="A1989" s="55"/>
    </row>
    <row r="1990" spans="1:1">
      <c r="A1990" s="55"/>
    </row>
    <row r="1991" spans="1:1">
      <c r="A1991" s="55"/>
    </row>
    <row r="1992" spans="1:1">
      <c r="A1992" s="55"/>
    </row>
    <row r="1993" spans="1:1">
      <c r="A1993" s="55"/>
    </row>
    <row r="1994" spans="1:1">
      <c r="A1994" s="55"/>
    </row>
    <row r="1995" spans="1:1">
      <c r="A1995" s="55"/>
    </row>
    <row r="1996" spans="1:1">
      <c r="A1996" s="55"/>
    </row>
    <row r="1997" spans="1:1">
      <c r="A1997" s="55"/>
    </row>
    <row r="1998" spans="1:1">
      <c r="A1998" s="55"/>
    </row>
    <row r="1999" spans="1:1">
      <c r="A1999" s="55"/>
    </row>
    <row r="2000" spans="1:1">
      <c r="A2000" s="55"/>
    </row>
    <row r="2001" spans="1:1">
      <c r="A2001" s="55"/>
    </row>
    <row r="2002" spans="1:1">
      <c r="A2002" s="55"/>
    </row>
    <row r="2003" spans="1:1">
      <c r="A2003" s="55"/>
    </row>
    <row r="2004" spans="1:1">
      <c r="A2004" s="55"/>
    </row>
    <row r="2005" spans="1:1">
      <c r="A2005" s="55"/>
    </row>
    <row r="2006" spans="1:1">
      <c r="A2006" s="55"/>
    </row>
    <row r="2007" spans="1:1">
      <c r="A2007" s="55"/>
    </row>
    <row r="2008" spans="1:1">
      <c r="A2008" s="55"/>
    </row>
    <row r="2009" spans="1:1">
      <c r="A2009" s="55"/>
    </row>
    <row r="2010" spans="1:1">
      <c r="A2010" s="55"/>
    </row>
    <row r="2011" spans="1:1">
      <c r="A2011" s="55"/>
    </row>
    <row r="2012" spans="1:1">
      <c r="A2012" s="55"/>
    </row>
    <row r="2013" spans="1:1">
      <c r="A2013" s="55"/>
    </row>
    <row r="2014" spans="1:1">
      <c r="A2014" s="55"/>
    </row>
    <row r="2015" spans="1:1">
      <c r="A2015" s="55"/>
    </row>
    <row r="2016" spans="1:1">
      <c r="A2016" s="55"/>
    </row>
    <row r="2017" spans="1:1">
      <c r="A2017" s="55"/>
    </row>
    <row r="2018" spans="1:1">
      <c r="A2018" s="55"/>
    </row>
    <row r="2019" spans="1:1">
      <c r="A2019" s="55"/>
    </row>
    <row r="2020" spans="1:1">
      <c r="A2020" s="55"/>
    </row>
    <row r="2021" spans="1:1">
      <c r="A2021" s="55"/>
    </row>
    <row r="2022" spans="1:1">
      <c r="A2022" s="55"/>
    </row>
    <row r="2023" spans="1:1">
      <c r="A2023" s="55"/>
    </row>
    <row r="2024" spans="1:1">
      <c r="A2024" s="55"/>
    </row>
    <row r="2025" spans="1:1">
      <c r="A2025" s="55"/>
    </row>
    <row r="2026" spans="1:1">
      <c r="A2026" s="55"/>
    </row>
    <row r="2027" spans="1:1">
      <c r="A2027" s="55"/>
    </row>
    <row r="2028" spans="1:1">
      <c r="A2028" s="55"/>
    </row>
    <row r="2029" spans="1:1">
      <c r="A2029" s="55"/>
    </row>
    <row r="2030" spans="1:1">
      <c r="A2030" s="55"/>
    </row>
    <row r="2031" spans="1:1">
      <c r="A2031" s="55"/>
    </row>
    <row r="2032" spans="1:1">
      <c r="A2032" s="55"/>
    </row>
    <row r="2033" spans="1:1">
      <c r="A2033" s="55"/>
    </row>
    <row r="2034" spans="1:1">
      <c r="A2034" s="55"/>
    </row>
    <row r="2035" spans="1:1">
      <c r="A2035" s="55"/>
    </row>
    <row r="2036" spans="1:1">
      <c r="A2036" s="55"/>
    </row>
    <row r="2037" spans="1:1">
      <c r="A2037" s="55"/>
    </row>
    <row r="2038" spans="1:1">
      <c r="A2038" s="55"/>
    </row>
    <row r="2039" spans="1:1">
      <c r="A2039" s="55"/>
    </row>
    <row r="2040" spans="1:1">
      <c r="A2040" s="55"/>
    </row>
    <row r="2041" spans="1:1">
      <c r="A2041" s="55"/>
    </row>
    <row r="2042" spans="1:1">
      <c r="A2042" s="55"/>
    </row>
    <row r="2043" spans="1:1">
      <c r="A2043" s="55"/>
    </row>
    <row r="2044" spans="1:1">
      <c r="A2044" s="55"/>
    </row>
    <row r="2045" spans="1:1">
      <c r="A2045" s="55"/>
    </row>
    <row r="2046" spans="1:1">
      <c r="A2046" s="55"/>
    </row>
    <row r="2047" spans="1:1">
      <c r="A2047" s="55"/>
    </row>
    <row r="2048" spans="1:1">
      <c r="A2048" s="55"/>
    </row>
    <row r="2049" spans="1:1">
      <c r="A2049" s="55"/>
    </row>
    <row r="2050" spans="1:1">
      <c r="A2050" s="55"/>
    </row>
    <row r="2051" spans="1:1">
      <c r="A2051" s="55"/>
    </row>
    <row r="2052" spans="1:1">
      <c r="A2052" s="55"/>
    </row>
    <row r="2053" spans="1:1">
      <c r="A2053" s="55"/>
    </row>
    <row r="2054" spans="1:1">
      <c r="A2054" s="55"/>
    </row>
    <row r="2055" spans="1:1">
      <c r="A2055" s="55"/>
    </row>
    <row r="2056" spans="1:1">
      <c r="A2056" s="55"/>
    </row>
    <row r="2057" spans="1:1">
      <c r="A2057" s="55"/>
    </row>
    <row r="2058" spans="1:1">
      <c r="A2058" s="55"/>
    </row>
    <row r="2059" spans="1:1">
      <c r="A2059" s="55"/>
    </row>
    <row r="2060" spans="1:1">
      <c r="A2060" s="55"/>
    </row>
    <row r="2061" spans="1:1">
      <c r="A2061" s="55"/>
    </row>
    <row r="2062" spans="1:1">
      <c r="A2062" s="55"/>
    </row>
    <row r="2063" spans="1:1">
      <c r="A2063" s="55"/>
    </row>
    <row r="2064" spans="1:1">
      <c r="A2064" s="55"/>
    </row>
    <row r="2065" spans="1:1">
      <c r="A2065" s="55"/>
    </row>
    <row r="2066" spans="1:1">
      <c r="A2066" s="55"/>
    </row>
    <row r="2067" spans="1:1">
      <c r="A2067" s="55"/>
    </row>
    <row r="2068" spans="1:1">
      <c r="A2068" s="55"/>
    </row>
    <row r="2069" spans="1:1">
      <c r="A2069" s="55"/>
    </row>
    <row r="2070" spans="1:1">
      <c r="A2070" s="55"/>
    </row>
    <row r="2071" spans="1:1">
      <c r="A2071" s="55"/>
    </row>
    <row r="2072" spans="1:1">
      <c r="A2072" s="55"/>
    </row>
    <row r="2073" spans="1:1">
      <c r="A2073" s="55"/>
    </row>
    <row r="2074" spans="1:1">
      <c r="A2074" s="55"/>
    </row>
    <row r="2075" spans="1:1">
      <c r="A2075" s="55"/>
    </row>
    <row r="2076" spans="1:1">
      <c r="A2076" s="55"/>
    </row>
    <row r="2077" spans="1:1">
      <c r="A2077" s="55"/>
    </row>
    <row r="2078" spans="1:1">
      <c r="A2078" s="55"/>
    </row>
    <row r="2079" spans="1:1">
      <c r="A2079" s="55"/>
    </row>
    <row r="2080" spans="1:1">
      <c r="A2080" s="55"/>
    </row>
    <row r="2081" spans="1:1">
      <c r="A2081" s="55"/>
    </row>
    <row r="2082" spans="1:1">
      <c r="A2082" s="55"/>
    </row>
    <row r="2083" spans="1:1">
      <c r="A2083" s="55"/>
    </row>
    <row r="2084" spans="1:1">
      <c r="A2084" s="55"/>
    </row>
    <row r="2085" spans="1:1">
      <c r="A2085" s="55"/>
    </row>
    <row r="2086" spans="1:1">
      <c r="A2086" s="55"/>
    </row>
    <row r="2087" spans="1:1">
      <c r="A2087" s="55"/>
    </row>
    <row r="2088" spans="1:1">
      <c r="A2088" s="55"/>
    </row>
    <row r="2089" spans="1:1">
      <c r="A2089" s="55"/>
    </row>
    <row r="2090" spans="1:1">
      <c r="A2090" s="55"/>
    </row>
    <row r="2091" spans="1:1">
      <c r="A2091" s="55"/>
    </row>
    <row r="2092" spans="1:1">
      <c r="A2092" s="55"/>
    </row>
    <row r="2093" spans="1:1">
      <c r="A2093" s="55"/>
    </row>
    <row r="2094" spans="1:1">
      <c r="A2094" s="55"/>
    </row>
    <row r="2095" spans="1:1">
      <c r="A2095" s="55"/>
    </row>
    <row r="2096" spans="1:1">
      <c r="A2096" s="55"/>
    </row>
    <row r="2097" spans="1:1">
      <c r="A2097" s="55"/>
    </row>
    <row r="2098" spans="1:1">
      <c r="A2098" s="55"/>
    </row>
    <row r="2099" spans="1:1">
      <c r="A2099" s="55"/>
    </row>
    <row r="2100" spans="1:1">
      <c r="A2100" s="55"/>
    </row>
    <row r="2101" spans="1:1">
      <c r="A2101" s="55"/>
    </row>
    <row r="2102" spans="1:1">
      <c r="A2102" s="55"/>
    </row>
    <row r="2103" spans="1:1">
      <c r="A2103" s="55"/>
    </row>
    <row r="2104" spans="1:1">
      <c r="A2104" s="55"/>
    </row>
    <row r="2105" spans="1:1">
      <c r="A2105" s="55"/>
    </row>
    <row r="2106" spans="1:1">
      <c r="A2106" s="55"/>
    </row>
    <row r="2107" spans="1:1">
      <c r="A2107" s="55"/>
    </row>
    <row r="2108" spans="1:1">
      <c r="A2108" s="55"/>
    </row>
    <row r="2109" spans="1:1">
      <c r="A2109" s="55"/>
    </row>
    <row r="2110" spans="1:1">
      <c r="A2110" s="55"/>
    </row>
    <row r="2111" spans="1:1">
      <c r="A2111" s="55"/>
    </row>
    <row r="2112" spans="1:1">
      <c r="A2112" s="55"/>
    </row>
    <row r="2113" spans="1:1">
      <c r="A2113" s="55"/>
    </row>
    <row r="2114" spans="1:1">
      <c r="A2114" s="55"/>
    </row>
    <row r="2115" spans="1:1">
      <c r="A2115" s="55"/>
    </row>
    <row r="2116" spans="1:1">
      <c r="A2116" s="55"/>
    </row>
    <row r="2117" spans="1:1">
      <c r="A2117" s="55"/>
    </row>
    <row r="2118" spans="1:1">
      <c r="A2118" s="55"/>
    </row>
    <row r="2119" spans="1:1">
      <c r="A2119" s="55"/>
    </row>
    <row r="2120" spans="1:1">
      <c r="A2120" s="55"/>
    </row>
    <row r="2121" spans="1:1">
      <c r="A2121" s="55"/>
    </row>
    <row r="2122" spans="1:1">
      <c r="A2122" s="55"/>
    </row>
    <row r="2123" spans="1:1">
      <c r="A2123" s="55"/>
    </row>
    <row r="2124" spans="1:1">
      <c r="A2124" s="55"/>
    </row>
    <row r="2125" spans="1:1">
      <c r="A2125" s="55"/>
    </row>
    <row r="2126" spans="1:1">
      <c r="A2126" s="55"/>
    </row>
    <row r="2127" spans="1:1">
      <c r="A2127" s="55"/>
    </row>
    <row r="2128" spans="1:1">
      <c r="A2128" s="55"/>
    </row>
    <row r="2129" spans="1:1">
      <c r="A2129" s="55"/>
    </row>
    <row r="2130" spans="1:1">
      <c r="A2130" s="55"/>
    </row>
    <row r="2131" spans="1:1">
      <c r="A2131" s="55"/>
    </row>
    <row r="2132" spans="1:1">
      <c r="A2132" s="55"/>
    </row>
    <row r="2133" spans="1:1">
      <c r="A2133" s="55"/>
    </row>
    <row r="2134" spans="1:1">
      <c r="A2134" s="55"/>
    </row>
    <row r="2135" spans="1:1">
      <c r="A2135" s="55"/>
    </row>
    <row r="2136" spans="1:1">
      <c r="A2136" s="55"/>
    </row>
    <row r="2137" spans="1:1">
      <c r="A2137" s="55"/>
    </row>
    <row r="2138" spans="1:1">
      <c r="A2138" s="55"/>
    </row>
    <row r="2139" spans="1:1">
      <c r="A2139" s="55"/>
    </row>
    <row r="2140" spans="1:1">
      <c r="A2140" s="55"/>
    </row>
    <row r="2141" spans="1:1">
      <c r="A2141" s="55"/>
    </row>
    <row r="2142" spans="1:1">
      <c r="A2142" s="55"/>
    </row>
    <row r="2143" spans="1:1">
      <c r="A2143" s="55"/>
    </row>
    <row r="2144" spans="1:1">
      <c r="A2144" s="55"/>
    </row>
    <row r="2145" spans="1:1">
      <c r="A2145" s="55"/>
    </row>
    <row r="2146" spans="1:1">
      <c r="A2146" s="55"/>
    </row>
    <row r="2147" spans="1:1">
      <c r="A2147" s="55"/>
    </row>
    <row r="2148" spans="1:1">
      <c r="A2148" s="55"/>
    </row>
    <row r="2149" spans="1:1">
      <c r="A2149" s="55"/>
    </row>
    <row r="2150" spans="1:1">
      <c r="A2150" s="55"/>
    </row>
    <row r="2151" spans="1:1">
      <c r="A2151" s="55"/>
    </row>
    <row r="2152" spans="1:1">
      <c r="A2152" s="55"/>
    </row>
    <row r="2153" spans="1:1">
      <c r="A2153" s="55"/>
    </row>
    <row r="2154" spans="1:1">
      <c r="A2154" s="55"/>
    </row>
    <row r="2155" spans="1:1">
      <c r="A2155" s="55"/>
    </row>
    <row r="2156" spans="1:1">
      <c r="A2156" s="55"/>
    </row>
    <row r="2157" spans="1:1">
      <c r="A2157" s="55"/>
    </row>
    <row r="2158" spans="1:1">
      <c r="A2158" s="55"/>
    </row>
    <row r="2159" spans="1:1">
      <c r="A2159" s="55"/>
    </row>
    <row r="2160" spans="1:1">
      <c r="A2160" s="55"/>
    </row>
    <row r="2161" spans="1:1">
      <c r="A2161" s="55"/>
    </row>
    <row r="2162" spans="1:1">
      <c r="A2162" s="55"/>
    </row>
    <row r="2163" spans="1:1">
      <c r="A2163" s="55"/>
    </row>
    <row r="2164" spans="1:1">
      <c r="A2164" s="55"/>
    </row>
    <row r="2165" spans="1:1">
      <c r="A2165" s="55"/>
    </row>
    <row r="2166" spans="1:1">
      <c r="A2166" s="55"/>
    </row>
    <row r="2167" spans="1:1">
      <c r="A2167" s="55"/>
    </row>
    <row r="2168" spans="1:1">
      <c r="A2168" s="55"/>
    </row>
    <row r="2169" spans="1:1">
      <c r="A2169" s="55"/>
    </row>
    <row r="2170" spans="1:1">
      <c r="A2170" s="55"/>
    </row>
    <row r="2171" spans="1:1">
      <c r="A2171" s="55"/>
    </row>
    <row r="2172" spans="1:1">
      <c r="A2172" s="55"/>
    </row>
    <row r="2173" spans="1:1">
      <c r="A2173" s="55"/>
    </row>
    <row r="2174" spans="1:1">
      <c r="A2174" s="55"/>
    </row>
    <row r="2175" spans="1:1">
      <c r="A2175" s="55"/>
    </row>
    <row r="2176" spans="1:1">
      <c r="A2176" s="55"/>
    </row>
    <row r="2177" spans="1:1">
      <c r="A2177" s="55"/>
    </row>
    <row r="2178" spans="1:1">
      <c r="A2178" s="55"/>
    </row>
    <row r="2179" spans="1:1">
      <c r="A2179" s="55"/>
    </row>
    <row r="2180" spans="1:1">
      <c r="A2180" s="55"/>
    </row>
    <row r="2181" spans="1:1">
      <c r="A2181" s="55"/>
    </row>
    <row r="2182" spans="1:1">
      <c r="A2182" s="55"/>
    </row>
    <row r="2183" spans="1:1">
      <c r="A2183" s="55"/>
    </row>
    <row r="2184" spans="1:1">
      <c r="A2184" s="55"/>
    </row>
    <row r="2185" spans="1:1">
      <c r="A2185" s="55"/>
    </row>
    <row r="2186" spans="1:1">
      <c r="A2186" s="55"/>
    </row>
    <row r="2187" spans="1:1">
      <c r="A2187" s="55"/>
    </row>
    <row r="2188" spans="1:1">
      <c r="A2188" s="55"/>
    </row>
    <row r="2189" spans="1:1">
      <c r="A2189" s="55"/>
    </row>
    <row r="2190" spans="1:1">
      <c r="A2190" s="55"/>
    </row>
    <row r="2191" spans="1:1">
      <c r="A2191" s="55"/>
    </row>
    <row r="2192" spans="1:1">
      <c r="A2192" s="55"/>
    </row>
    <row r="2193" spans="1:1">
      <c r="A2193" s="55"/>
    </row>
    <row r="2194" spans="1:1">
      <c r="A2194" s="55"/>
    </row>
    <row r="2195" spans="1:1">
      <c r="A2195" s="55"/>
    </row>
    <row r="2196" spans="1:1">
      <c r="A2196" s="55"/>
    </row>
    <row r="2197" spans="1:1">
      <c r="A2197" s="55"/>
    </row>
    <row r="2198" spans="1:1">
      <c r="A2198" s="55"/>
    </row>
    <row r="2199" spans="1:1">
      <c r="A2199" s="55"/>
    </row>
    <row r="2200" spans="1:1">
      <c r="A2200" s="55"/>
    </row>
    <row r="2201" spans="1:1">
      <c r="A2201" s="55"/>
    </row>
    <row r="2202" spans="1:1">
      <c r="A2202" s="55"/>
    </row>
    <row r="2203" spans="1:1">
      <c r="A2203" s="55"/>
    </row>
  </sheetData>
  <mergeCells count="16">
    <mergeCell ref="L29:V29"/>
    <mergeCell ref="B39:F40"/>
    <mergeCell ref="B44:F45"/>
    <mergeCell ref="B49:F50"/>
    <mergeCell ref="C18:E18"/>
    <mergeCell ref="C19:E19"/>
    <mergeCell ref="C20:E20"/>
    <mergeCell ref="C21:E21"/>
    <mergeCell ref="C22:E22"/>
    <mergeCell ref="C23:E23"/>
    <mergeCell ref="C14:E14"/>
    <mergeCell ref="C9:E9"/>
    <mergeCell ref="C10:E10"/>
    <mergeCell ref="C11:E11"/>
    <mergeCell ref="C12:E12"/>
    <mergeCell ref="C13:E13"/>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96380-13E2-4698-844E-2250E47CB60A}">
  <dimension ref="A1:BN2203"/>
  <sheetViews>
    <sheetView zoomScale="85" zoomScaleNormal="85" workbookViewId="0">
      <selection activeCell="B6" sqref="B6"/>
    </sheetView>
  </sheetViews>
  <sheetFormatPr defaultColWidth="8.6640625" defaultRowHeight="15.6"/>
  <cols>
    <col min="1" max="1" width="19" style="120" bestFit="1" customWidth="1"/>
    <col min="2" max="2" width="131.109375" style="52" bestFit="1" customWidth="1"/>
    <col min="3" max="3" width="10.88671875" style="52" bestFit="1" customWidth="1"/>
    <col min="4" max="4" width="10.6640625" style="52" bestFit="1" customWidth="1"/>
    <col min="5" max="5" width="8.6640625" style="52"/>
    <col min="6" max="6" width="9.33203125" style="52" customWidth="1"/>
    <col min="7" max="7" width="23.5546875" style="52" customWidth="1"/>
    <col min="8" max="8" width="16" style="52" customWidth="1"/>
    <col min="9" max="9" width="15.33203125" style="52" customWidth="1"/>
    <col min="10" max="10" width="2" style="120" customWidth="1"/>
    <col min="11" max="11" width="2.33203125" style="121" customWidth="1"/>
    <col min="12" max="12" width="20.5546875" style="123" bestFit="1" customWidth="1"/>
    <col min="13" max="13" width="2.6640625" style="123" bestFit="1" customWidth="1"/>
    <col min="14" max="14" width="10.33203125" style="123" customWidth="1"/>
    <col min="15" max="15" width="14.6640625" style="123" customWidth="1"/>
    <col min="16" max="36" width="11.109375" style="123" customWidth="1"/>
    <col min="37" max="37" width="1.6640625" customWidth="1"/>
    <col min="38" max="38" width="14.109375" style="123" customWidth="1"/>
    <col min="39" max="59" width="11.109375" style="123" customWidth="1"/>
    <col min="60" max="60" width="11.109375" style="120" customWidth="1"/>
    <col min="61" max="16384" width="8.6640625" style="120"/>
  </cols>
  <sheetData>
    <row r="1" spans="1:59">
      <c r="A1" s="51" t="s">
        <v>33</v>
      </c>
      <c r="D1" s="52" t="s">
        <v>161</v>
      </c>
      <c r="L1" s="4" t="s">
        <v>33</v>
      </c>
      <c r="M1" s="122"/>
    </row>
    <row r="2" spans="1:59">
      <c r="A2" s="51" t="s">
        <v>162</v>
      </c>
      <c r="L2" s="4" t="str">
        <f>A2</f>
        <v>Question 4</v>
      </c>
    </row>
    <row r="3" spans="1:59">
      <c r="A3" s="55"/>
      <c r="L3" s="4"/>
      <c r="N3" s="122" t="s">
        <v>163</v>
      </c>
      <c r="AE3" s="124"/>
      <c r="AI3"/>
      <c r="BB3" s="124"/>
      <c r="BD3"/>
      <c r="BE3"/>
      <c r="BF3"/>
    </row>
    <row r="4" spans="1:59">
      <c r="A4" s="55" t="s">
        <v>164</v>
      </c>
      <c r="B4" s="52" t="s">
        <v>165</v>
      </c>
      <c r="L4" s="4" t="s">
        <v>35</v>
      </c>
      <c r="N4" s="125"/>
      <c r="O4" s="125"/>
      <c r="P4" s="125"/>
      <c r="Q4" s="125"/>
      <c r="R4" s="125"/>
      <c r="S4" s="125"/>
      <c r="T4" s="125"/>
      <c r="U4" s="125"/>
      <c r="V4" s="125"/>
      <c r="W4" s="125"/>
      <c r="X4" s="125"/>
      <c r="Y4" s="125"/>
      <c r="Z4" s="125"/>
      <c r="AA4" s="125"/>
      <c r="AB4" s="125"/>
      <c r="AC4" s="125"/>
      <c r="AD4" s="125"/>
      <c r="AE4" s="126"/>
      <c r="AF4" s="126"/>
      <c r="AK4" s="127"/>
      <c r="AL4" s="125"/>
      <c r="AM4" s="125"/>
      <c r="AN4" s="125"/>
      <c r="AO4" s="125"/>
      <c r="AP4" s="125"/>
      <c r="AQ4" s="125"/>
      <c r="AR4" s="125"/>
      <c r="AS4" s="125"/>
      <c r="AT4" s="125"/>
      <c r="AU4" s="125"/>
      <c r="AV4" s="125"/>
      <c r="AW4" s="125"/>
      <c r="AX4" s="125"/>
      <c r="AY4" s="125"/>
      <c r="AZ4" s="125"/>
      <c r="BA4" s="125"/>
      <c r="BB4" s="126"/>
      <c r="BC4" s="126"/>
      <c r="BG4" s="124"/>
    </row>
    <row r="5" spans="1:59">
      <c r="A5" s="55"/>
      <c r="B5" s="52" t="s">
        <v>166</v>
      </c>
      <c r="N5"/>
      <c r="O5" s="128" t="s">
        <v>67</v>
      </c>
      <c r="P5" s="129"/>
      <c r="Q5" s="129"/>
      <c r="R5" s="129"/>
      <c r="S5" s="129"/>
      <c r="T5" s="1561" t="s">
        <v>130</v>
      </c>
      <c r="U5" s="1561"/>
      <c r="V5" s="1561" t="s">
        <v>167</v>
      </c>
      <c r="W5" s="1561"/>
      <c r="X5" s="1561" t="s">
        <v>168</v>
      </c>
      <c r="Y5" s="1561"/>
      <c r="Z5" s="1561" t="s">
        <v>169</v>
      </c>
      <c r="AA5" s="1561"/>
      <c r="AB5" s="1561"/>
      <c r="AC5" s="130"/>
      <c r="AD5" s="1563" t="s">
        <v>170</v>
      </c>
      <c r="AE5" s="1563"/>
      <c r="AF5" s="1563" t="s">
        <v>171</v>
      </c>
      <c r="AG5" s="1563"/>
      <c r="AH5" s="1563" t="s">
        <v>172</v>
      </c>
      <c r="AI5" s="1564"/>
      <c r="AK5" s="127"/>
      <c r="AL5" s="128" t="s">
        <v>68</v>
      </c>
      <c r="AM5" s="129"/>
      <c r="AN5" s="129"/>
      <c r="AO5" s="129"/>
      <c r="AP5" s="129"/>
      <c r="AQ5" s="1565" t="s">
        <v>130</v>
      </c>
      <c r="AR5" s="1565"/>
      <c r="AS5" s="1565" t="s">
        <v>167</v>
      </c>
      <c r="AT5" s="1565"/>
      <c r="AU5" s="1565" t="s">
        <v>168</v>
      </c>
      <c r="AV5" s="1565"/>
      <c r="AW5" s="1565" t="s">
        <v>169</v>
      </c>
      <c r="AX5" s="1565"/>
      <c r="AY5" s="1565"/>
      <c r="AZ5" s="130"/>
      <c r="BA5" s="130"/>
      <c r="BB5" s="1563" t="s">
        <v>170</v>
      </c>
      <c r="BC5" s="1563"/>
      <c r="BD5" s="1563" t="s">
        <v>171</v>
      </c>
      <c r="BE5" s="1563"/>
      <c r="BF5" s="1563" t="s">
        <v>172</v>
      </c>
      <c r="BG5" s="1564"/>
    </row>
    <row r="6" spans="1:59">
      <c r="A6" s="55"/>
      <c r="L6" s="122"/>
      <c r="N6"/>
      <c r="O6" s="131" t="s">
        <v>12</v>
      </c>
      <c r="P6" s="132" t="s">
        <v>55</v>
      </c>
      <c r="Q6" s="132" t="s">
        <v>129</v>
      </c>
      <c r="R6" s="132" t="s">
        <v>13</v>
      </c>
      <c r="S6" s="132" t="s">
        <v>131</v>
      </c>
      <c r="T6" s="132" t="s">
        <v>142</v>
      </c>
      <c r="U6" s="132" t="s">
        <v>173</v>
      </c>
      <c r="V6" s="132" t="s">
        <v>142</v>
      </c>
      <c r="W6" s="132" t="s">
        <v>173</v>
      </c>
      <c r="X6" s="132" t="s">
        <v>142</v>
      </c>
      <c r="Y6" s="132" t="s">
        <v>173</v>
      </c>
      <c r="Z6" s="132" t="s">
        <v>142</v>
      </c>
      <c r="AA6" s="132" t="s">
        <v>173</v>
      </c>
      <c r="AB6" s="132" t="s">
        <v>174</v>
      </c>
      <c r="AC6" s="132" t="s">
        <v>175</v>
      </c>
      <c r="AD6" s="132" t="s">
        <v>142</v>
      </c>
      <c r="AE6" s="132" t="s">
        <v>173</v>
      </c>
      <c r="AF6" s="132" t="s">
        <v>142</v>
      </c>
      <c r="AG6" s="132" t="s">
        <v>173</v>
      </c>
      <c r="AH6" s="132" t="s">
        <v>142</v>
      </c>
      <c r="AI6" s="133" t="s">
        <v>173</v>
      </c>
      <c r="AK6" s="134"/>
      <c r="AL6" s="131" t="s">
        <v>12</v>
      </c>
      <c r="AM6" s="132" t="s">
        <v>55</v>
      </c>
      <c r="AN6" s="132" t="s">
        <v>129</v>
      </c>
      <c r="AO6" s="132" t="s">
        <v>13</v>
      </c>
      <c r="AP6" s="132" t="s">
        <v>131</v>
      </c>
      <c r="AQ6" s="132" t="s">
        <v>142</v>
      </c>
      <c r="AR6" s="132" t="s">
        <v>173</v>
      </c>
      <c r="AS6" s="132" t="s">
        <v>142</v>
      </c>
      <c r="AT6" s="132" t="s">
        <v>173</v>
      </c>
      <c r="AU6" s="132" t="s">
        <v>142</v>
      </c>
      <c r="AV6" s="132" t="s">
        <v>173</v>
      </c>
      <c r="AW6" s="132" t="s">
        <v>142</v>
      </c>
      <c r="AX6" s="132" t="s">
        <v>173</v>
      </c>
      <c r="AY6" s="132" t="s">
        <v>174</v>
      </c>
      <c r="AZ6" s="132"/>
      <c r="BA6" s="132" t="s">
        <v>176</v>
      </c>
      <c r="BB6" s="132" t="s">
        <v>142</v>
      </c>
      <c r="BC6" s="132" t="s">
        <v>173</v>
      </c>
      <c r="BD6" s="132" t="s">
        <v>142</v>
      </c>
      <c r="BE6" s="132" t="s">
        <v>173</v>
      </c>
      <c r="BF6" s="132" t="s">
        <v>142</v>
      </c>
      <c r="BG6" s="133" t="s">
        <v>173</v>
      </c>
    </row>
    <row r="7" spans="1:59">
      <c r="A7" s="55"/>
      <c r="B7" s="88" t="s">
        <v>177</v>
      </c>
      <c r="L7" s="135"/>
      <c r="N7"/>
      <c r="O7" s="136">
        <f>2023</f>
        <v>2023</v>
      </c>
      <c r="P7" s="125">
        <f>$C$28</f>
        <v>39</v>
      </c>
      <c r="Q7" s="125">
        <v>10</v>
      </c>
      <c r="R7" s="137">
        <f>C30</f>
        <v>75000</v>
      </c>
      <c r="S7" s="125">
        <f t="shared" ref="S7:S33" si="0">MIN(1,1-3%*(65-P7))</f>
        <v>0.21999999999999997</v>
      </c>
      <c r="T7" s="126">
        <f t="shared" ref="T7:T33" si="1">S7*R7*1.25%*Q7</f>
        <v>2062.4999999999995</v>
      </c>
      <c r="U7" s="126">
        <f t="shared" ref="U7:U33" si="2">R7*1.25%*Q7</f>
        <v>9375</v>
      </c>
      <c r="V7" s="125">
        <f t="shared" ref="V7:V33" si="3">IF(P7=55,$C$35,IF(P7=65,$C$34,0))</f>
        <v>0</v>
      </c>
      <c r="W7" s="138">
        <f t="shared" ref="W7:W33" si="4">$C$34</f>
        <v>14.5</v>
      </c>
      <c r="X7" s="125">
        <f t="shared" ref="X7:X33" si="5">(1+4.5%)^-(P7-P$7)</f>
        <v>1</v>
      </c>
      <c r="Y7" s="125">
        <f t="shared" ref="Y7:Y33" si="6">(1+4.5%)^-(65-P$7)</f>
        <v>0.31840248485926437</v>
      </c>
      <c r="Z7" s="125">
        <f t="shared" ref="Z7:Z33" si="7">IF(P7=55,40%,IF(P7=65,100%,0))</f>
        <v>0</v>
      </c>
      <c r="AA7" s="125">
        <f t="shared" ref="AA7:AA33" si="8">IF(P7&lt;40,5%,0)</f>
        <v>0.05</v>
      </c>
      <c r="AB7" s="125">
        <v>1</v>
      </c>
      <c r="AC7" s="125">
        <f t="shared" ref="AC7:AC33" si="9">Q$7/Q7</f>
        <v>1</v>
      </c>
      <c r="AD7" s="126">
        <f t="shared" ref="AD7:AD33" si="10">AB7*Z7*X7*V7*T7</f>
        <v>0</v>
      </c>
      <c r="AE7" s="126">
        <f t="shared" ref="AE7:AE33" si="11">AB7*AA7*Y7*W7*U7</f>
        <v>2164.1418892778129</v>
      </c>
      <c r="AF7" s="126">
        <f t="shared" ref="AF7:AF33" si="12">AD7*AC7</f>
        <v>0</v>
      </c>
      <c r="AG7" s="126">
        <f t="shared" ref="AG7:AG33" si="13">AE7*AC7</f>
        <v>2164.1418892778129</v>
      </c>
      <c r="AH7" s="126">
        <f t="shared" ref="AH7:AH33" si="14">AF7/Q$7</f>
        <v>0</v>
      </c>
      <c r="AI7" s="139">
        <f t="shared" ref="AI7:AI33" si="15">AG7/Q$7</f>
        <v>216.41418892778128</v>
      </c>
      <c r="AK7" s="127"/>
      <c r="AL7" s="136">
        <f>2023</f>
        <v>2023</v>
      </c>
      <c r="AM7" s="125">
        <f>$D$28</f>
        <v>50</v>
      </c>
      <c r="AN7" s="125">
        <v>15</v>
      </c>
      <c r="AO7" s="137">
        <v>220000</v>
      </c>
      <c r="AP7" s="125">
        <f t="shared" ref="AP7:AP22" si="16">MIN(1,1-3%*(65-AM7))</f>
        <v>0.55000000000000004</v>
      </c>
      <c r="AQ7" s="126">
        <f t="shared" ref="AQ7:AQ22" si="17">AP7*AO7*1.25%*AN7</f>
        <v>22687.500000000004</v>
      </c>
      <c r="AR7" s="126">
        <f t="shared" ref="AR7:AR22" si="18">AO7*1.25%*AN7</f>
        <v>41250</v>
      </c>
      <c r="AS7" s="125">
        <f t="shared" ref="AS7:AS22" si="19">IF(AM7=55,$C$35,IF(AM7=65,$C$34,0))</f>
        <v>0</v>
      </c>
      <c r="AT7" s="138">
        <f t="shared" ref="AT7:AT22" si="20">$C$34</f>
        <v>14.5</v>
      </c>
      <c r="AU7" s="125">
        <f t="shared" ref="AU7:AU22" si="21">(1+4.5%)^-(AM7-AM$7)</f>
        <v>1</v>
      </c>
      <c r="AV7" s="125">
        <f t="shared" ref="AV7:AV22" si="22">(1+4.5%)^-(65-AM$7)</f>
        <v>0.51672044231576797</v>
      </c>
      <c r="AW7" s="125">
        <f t="shared" ref="AW7:AW22" si="23">IF(AM7=55,40%,IF(AM7=65,100%,0))</f>
        <v>0</v>
      </c>
      <c r="AX7" s="125">
        <f t="shared" ref="AX7:AX22" si="24">IF(AM7&lt;40,5%,0)</f>
        <v>0</v>
      </c>
      <c r="AY7" s="125">
        <v>1</v>
      </c>
      <c r="AZ7" s="125"/>
      <c r="BA7" s="125">
        <f t="shared" ref="BA7:BA22" si="25">AN$7/AN7</f>
        <v>1</v>
      </c>
      <c r="BB7" s="126">
        <f t="shared" ref="BB7:BB22" si="26">AY7*AW7*AU7*AS7*AQ7</f>
        <v>0</v>
      </c>
      <c r="BC7" s="126">
        <f t="shared" ref="BC7:BC22" si="27">AY7*AX7*AV7*AT7*AR7</f>
        <v>0</v>
      </c>
      <c r="BD7" s="124">
        <f t="shared" ref="BD7:BD22" si="28">BB7*BA7</f>
        <v>0</v>
      </c>
      <c r="BE7" s="124">
        <f t="shared" ref="BE7:BE22" si="29">BC7*BA7</f>
        <v>0</v>
      </c>
      <c r="BF7" s="124">
        <f t="shared" ref="BF7:BF22" si="30">BD7/AN$7</f>
        <v>0</v>
      </c>
      <c r="BG7" s="140">
        <f t="shared" ref="BG7:BG22" si="31">BE7/AN$7</f>
        <v>0</v>
      </c>
    </row>
    <row r="8" spans="1:59">
      <c r="A8" s="55"/>
      <c r="B8" s="97"/>
      <c r="L8" s="135"/>
      <c r="N8"/>
      <c r="O8" s="136">
        <f t="shared" ref="O8:Q23" si="32">O7+1</f>
        <v>2024</v>
      </c>
      <c r="P8" s="125">
        <f t="shared" si="32"/>
        <v>40</v>
      </c>
      <c r="Q8" s="125">
        <f t="shared" si="32"/>
        <v>11</v>
      </c>
      <c r="R8" s="126">
        <f t="shared" ref="R8:R33" si="33">R7*1.0325</f>
        <v>77437.5</v>
      </c>
      <c r="S8" s="125">
        <f t="shared" si="0"/>
        <v>0.25</v>
      </c>
      <c r="T8" s="126">
        <f t="shared" si="1"/>
        <v>2661.9140625</v>
      </c>
      <c r="U8" s="126">
        <f t="shared" si="2"/>
        <v>10647.65625</v>
      </c>
      <c r="V8" s="125">
        <f t="shared" si="3"/>
        <v>0</v>
      </c>
      <c r="W8" s="138">
        <f t="shared" si="4"/>
        <v>14.5</v>
      </c>
      <c r="X8" s="125">
        <f t="shared" si="5"/>
        <v>0.95693779904306231</v>
      </c>
      <c r="Y8" s="125">
        <f t="shared" si="6"/>
        <v>0.31840248485926437</v>
      </c>
      <c r="Z8" s="125">
        <f t="shared" si="7"/>
        <v>0</v>
      </c>
      <c r="AA8" s="125">
        <f t="shared" si="8"/>
        <v>0</v>
      </c>
      <c r="AB8" s="125">
        <f t="shared" ref="AB8:AB33" si="34">AB7*(1-Z7)*(1-AA7)</f>
        <v>0.95</v>
      </c>
      <c r="AC8" s="125">
        <f t="shared" si="9"/>
        <v>0.90909090909090906</v>
      </c>
      <c r="AD8" s="126">
        <f t="shared" si="10"/>
        <v>0</v>
      </c>
      <c r="AE8" s="126">
        <f t="shared" si="11"/>
        <v>0</v>
      </c>
      <c r="AF8" s="126">
        <f t="shared" si="12"/>
        <v>0</v>
      </c>
      <c r="AG8" s="126">
        <f t="shared" si="13"/>
        <v>0</v>
      </c>
      <c r="AH8" s="126">
        <f t="shared" si="14"/>
        <v>0</v>
      </c>
      <c r="AI8" s="139">
        <f t="shared" si="15"/>
        <v>0</v>
      </c>
      <c r="AK8" s="127"/>
      <c r="AL8" s="136">
        <f t="shared" ref="AL8:AN22" si="35">AL7+1</f>
        <v>2024</v>
      </c>
      <c r="AM8" s="125">
        <f t="shared" si="35"/>
        <v>51</v>
      </c>
      <c r="AN8" s="125">
        <f t="shared" si="35"/>
        <v>16</v>
      </c>
      <c r="AO8" s="125">
        <f t="shared" ref="AO8:AO22" si="36">AO7*1.0325</f>
        <v>227150</v>
      </c>
      <c r="AP8" s="125">
        <f t="shared" si="16"/>
        <v>0.58000000000000007</v>
      </c>
      <c r="AQ8" s="126">
        <f t="shared" si="17"/>
        <v>26349.400000000009</v>
      </c>
      <c r="AR8" s="126">
        <f t="shared" si="18"/>
        <v>45430</v>
      </c>
      <c r="AS8" s="125">
        <f t="shared" si="19"/>
        <v>0</v>
      </c>
      <c r="AT8" s="138">
        <f t="shared" si="20"/>
        <v>14.5</v>
      </c>
      <c r="AU8" s="125">
        <f t="shared" si="21"/>
        <v>0.95693779904306231</v>
      </c>
      <c r="AV8" s="125">
        <f t="shared" si="22"/>
        <v>0.51672044231576797</v>
      </c>
      <c r="AW8" s="125">
        <f t="shared" si="23"/>
        <v>0</v>
      </c>
      <c r="AX8" s="125">
        <f t="shared" si="24"/>
        <v>0</v>
      </c>
      <c r="AY8" s="125">
        <f t="shared" ref="AY8:AY22" si="37">AY7*(1-AW7)*(1-AX7)</f>
        <v>1</v>
      </c>
      <c r="AZ8" s="125"/>
      <c r="BA8" s="125">
        <f t="shared" si="25"/>
        <v>0.9375</v>
      </c>
      <c r="BB8" s="126">
        <f t="shared" si="26"/>
        <v>0</v>
      </c>
      <c r="BC8" s="126">
        <f t="shared" si="27"/>
        <v>0</v>
      </c>
      <c r="BD8" s="124">
        <f t="shared" si="28"/>
        <v>0</v>
      </c>
      <c r="BE8" s="124">
        <f t="shared" si="29"/>
        <v>0</v>
      </c>
      <c r="BF8" s="124">
        <f t="shared" si="30"/>
        <v>0</v>
      </c>
      <c r="BG8" s="140">
        <f t="shared" si="31"/>
        <v>0</v>
      </c>
    </row>
    <row r="9" spans="1:59">
      <c r="A9" s="55"/>
      <c r="B9" s="74" t="s">
        <v>178</v>
      </c>
      <c r="C9" s="1559" t="s">
        <v>179</v>
      </c>
      <c r="D9" s="1559"/>
      <c r="E9" s="1559"/>
      <c r="F9" s="80"/>
      <c r="L9" s="135"/>
      <c r="N9"/>
      <c r="O9" s="136">
        <f t="shared" si="32"/>
        <v>2025</v>
      </c>
      <c r="P9" s="125">
        <f t="shared" si="32"/>
        <v>41</v>
      </c>
      <c r="Q9" s="125">
        <f t="shared" si="32"/>
        <v>12</v>
      </c>
      <c r="R9" s="126">
        <f t="shared" si="33"/>
        <v>79954.21875</v>
      </c>
      <c r="S9" s="125">
        <f t="shared" si="0"/>
        <v>0.28000000000000003</v>
      </c>
      <c r="T9" s="126">
        <f t="shared" si="1"/>
        <v>3358.0771875000005</v>
      </c>
      <c r="U9" s="126">
        <f t="shared" si="2"/>
        <v>11993.1328125</v>
      </c>
      <c r="V9" s="125">
        <f t="shared" si="3"/>
        <v>0</v>
      </c>
      <c r="W9" s="138">
        <f t="shared" si="4"/>
        <v>14.5</v>
      </c>
      <c r="X9" s="125">
        <f t="shared" si="5"/>
        <v>0.91572995123738021</v>
      </c>
      <c r="Y9" s="125">
        <f t="shared" si="6"/>
        <v>0.31840248485926437</v>
      </c>
      <c r="Z9" s="125">
        <f t="shared" si="7"/>
        <v>0</v>
      </c>
      <c r="AA9" s="125">
        <f t="shared" si="8"/>
        <v>0</v>
      </c>
      <c r="AB9" s="125">
        <f t="shared" si="34"/>
        <v>0.95</v>
      </c>
      <c r="AC9" s="125">
        <f t="shared" si="9"/>
        <v>0.83333333333333337</v>
      </c>
      <c r="AD9" s="126">
        <f t="shared" si="10"/>
        <v>0</v>
      </c>
      <c r="AE9" s="126">
        <f t="shared" si="11"/>
        <v>0</v>
      </c>
      <c r="AF9" s="126">
        <f t="shared" si="12"/>
        <v>0</v>
      </c>
      <c r="AG9" s="126">
        <f t="shared" si="13"/>
        <v>0</v>
      </c>
      <c r="AH9" s="126">
        <f t="shared" si="14"/>
        <v>0</v>
      </c>
      <c r="AI9" s="139">
        <f t="shared" si="15"/>
        <v>0</v>
      </c>
      <c r="AK9" s="127"/>
      <c r="AL9" s="136">
        <f t="shared" si="35"/>
        <v>2025</v>
      </c>
      <c r="AM9" s="125">
        <f t="shared" si="35"/>
        <v>52</v>
      </c>
      <c r="AN9" s="125">
        <f t="shared" si="35"/>
        <v>17</v>
      </c>
      <c r="AO9" s="126">
        <f t="shared" si="36"/>
        <v>234532.375</v>
      </c>
      <c r="AP9" s="125">
        <f t="shared" si="16"/>
        <v>0.61</v>
      </c>
      <c r="AQ9" s="126">
        <f t="shared" si="17"/>
        <v>30401.259109375002</v>
      </c>
      <c r="AR9" s="126">
        <f t="shared" si="18"/>
        <v>49838.129687500004</v>
      </c>
      <c r="AS9" s="125">
        <f t="shared" si="19"/>
        <v>0</v>
      </c>
      <c r="AT9" s="138">
        <f t="shared" si="20"/>
        <v>14.5</v>
      </c>
      <c r="AU9" s="125">
        <f t="shared" si="21"/>
        <v>0.91572995123738021</v>
      </c>
      <c r="AV9" s="125">
        <f t="shared" si="22"/>
        <v>0.51672044231576797</v>
      </c>
      <c r="AW9" s="125">
        <f t="shared" si="23"/>
        <v>0</v>
      </c>
      <c r="AX9" s="125">
        <f t="shared" si="24"/>
        <v>0</v>
      </c>
      <c r="AY9" s="125">
        <f t="shared" si="37"/>
        <v>1</v>
      </c>
      <c r="AZ9" s="125"/>
      <c r="BA9" s="125">
        <f t="shared" si="25"/>
        <v>0.88235294117647056</v>
      </c>
      <c r="BB9" s="126">
        <f t="shared" si="26"/>
        <v>0</v>
      </c>
      <c r="BC9" s="126">
        <f t="shared" si="27"/>
        <v>0</v>
      </c>
      <c r="BD9" s="124">
        <f t="shared" si="28"/>
        <v>0</v>
      </c>
      <c r="BE9" s="124">
        <f t="shared" si="29"/>
        <v>0</v>
      </c>
      <c r="BF9" s="124">
        <f t="shared" si="30"/>
        <v>0</v>
      </c>
      <c r="BG9" s="140">
        <f t="shared" si="31"/>
        <v>0</v>
      </c>
    </row>
    <row r="10" spans="1:59">
      <c r="A10" s="55"/>
      <c r="B10" s="74" t="s">
        <v>41</v>
      </c>
      <c r="C10" s="1559" t="s">
        <v>42</v>
      </c>
      <c r="D10" s="1559"/>
      <c r="E10" s="1559"/>
      <c r="L10" s="122"/>
      <c r="N10"/>
      <c r="O10" s="136">
        <f t="shared" si="32"/>
        <v>2026</v>
      </c>
      <c r="P10" s="125">
        <f t="shared" si="32"/>
        <v>42</v>
      </c>
      <c r="Q10" s="125">
        <f t="shared" si="32"/>
        <v>13</v>
      </c>
      <c r="R10" s="126">
        <f t="shared" si="33"/>
        <v>82552.730859374991</v>
      </c>
      <c r="S10" s="125">
        <f t="shared" si="0"/>
        <v>0.31000000000000005</v>
      </c>
      <c r="T10" s="126">
        <f t="shared" si="1"/>
        <v>4158.5938170410163</v>
      </c>
      <c r="U10" s="126">
        <f t="shared" si="2"/>
        <v>13414.818764648435</v>
      </c>
      <c r="V10" s="125">
        <f t="shared" si="3"/>
        <v>0</v>
      </c>
      <c r="W10" s="138">
        <f t="shared" si="4"/>
        <v>14.5</v>
      </c>
      <c r="X10" s="125">
        <f t="shared" si="5"/>
        <v>0.87629660405490928</v>
      </c>
      <c r="Y10" s="125">
        <f t="shared" si="6"/>
        <v>0.31840248485926437</v>
      </c>
      <c r="Z10" s="125">
        <f t="shared" si="7"/>
        <v>0</v>
      </c>
      <c r="AA10" s="125">
        <f t="shared" si="8"/>
        <v>0</v>
      </c>
      <c r="AB10" s="125">
        <f t="shared" si="34"/>
        <v>0.95</v>
      </c>
      <c r="AC10" s="125">
        <f t="shared" si="9"/>
        <v>0.76923076923076927</v>
      </c>
      <c r="AD10" s="126">
        <f t="shared" si="10"/>
        <v>0</v>
      </c>
      <c r="AE10" s="126">
        <f t="shared" si="11"/>
        <v>0</v>
      </c>
      <c r="AF10" s="126">
        <f t="shared" si="12"/>
        <v>0</v>
      </c>
      <c r="AG10" s="126">
        <f t="shared" si="13"/>
        <v>0</v>
      </c>
      <c r="AH10" s="126">
        <f t="shared" si="14"/>
        <v>0</v>
      </c>
      <c r="AI10" s="139">
        <f t="shared" si="15"/>
        <v>0</v>
      </c>
      <c r="AK10" s="127"/>
      <c r="AL10" s="136">
        <f t="shared" si="35"/>
        <v>2026</v>
      </c>
      <c r="AM10" s="125">
        <f t="shared" si="35"/>
        <v>53</v>
      </c>
      <c r="AN10" s="125">
        <f t="shared" si="35"/>
        <v>18</v>
      </c>
      <c r="AO10" s="126">
        <f t="shared" si="36"/>
        <v>242154.6771875</v>
      </c>
      <c r="AP10" s="125">
        <f t="shared" si="16"/>
        <v>0.64</v>
      </c>
      <c r="AQ10" s="126">
        <f t="shared" si="17"/>
        <v>34870.273515000001</v>
      </c>
      <c r="AR10" s="126">
        <f t="shared" si="18"/>
        <v>54484.802367187505</v>
      </c>
      <c r="AS10" s="125">
        <f t="shared" si="19"/>
        <v>0</v>
      </c>
      <c r="AT10" s="138">
        <f t="shared" si="20"/>
        <v>14.5</v>
      </c>
      <c r="AU10" s="125">
        <f t="shared" si="21"/>
        <v>0.87629660405490928</v>
      </c>
      <c r="AV10" s="125">
        <f t="shared" si="22"/>
        <v>0.51672044231576797</v>
      </c>
      <c r="AW10" s="125">
        <f t="shared" si="23"/>
        <v>0</v>
      </c>
      <c r="AX10" s="125">
        <f t="shared" si="24"/>
        <v>0</v>
      </c>
      <c r="AY10" s="125">
        <f t="shared" si="37"/>
        <v>1</v>
      </c>
      <c r="AZ10" s="125"/>
      <c r="BA10" s="125">
        <f t="shared" si="25"/>
        <v>0.83333333333333337</v>
      </c>
      <c r="BB10" s="126">
        <f t="shared" si="26"/>
        <v>0</v>
      </c>
      <c r="BC10" s="126">
        <f t="shared" si="27"/>
        <v>0</v>
      </c>
      <c r="BD10" s="124">
        <f t="shared" si="28"/>
        <v>0</v>
      </c>
      <c r="BE10" s="124">
        <f t="shared" si="29"/>
        <v>0</v>
      </c>
      <c r="BF10" s="124">
        <f t="shared" si="30"/>
        <v>0</v>
      </c>
      <c r="BG10" s="140">
        <f t="shared" si="31"/>
        <v>0</v>
      </c>
    </row>
    <row r="11" spans="1:59">
      <c r="A11" s="55"/>
      <c r="B11" s="74" t="s">
        <v>180</v>
      </c>
      <c r="C11" s="1559" t="s">
        <v>181</v>
      </c>
      <c r="D11" s="1559"/>
      <c r="E11" s="1559"/>
      <c r="F11" s="51"/>
      <c r="G11" s="51"/>
      <c r="H11" s="51"/>
      <c r="L11" s="135"/>
      <c r="N11"/>
      <c r="O11" s="136">
        <f t="shared" si="32"/>
        <v>2027</v>
      </c>
      <c r="P11" s="125">
        <f t="shared" si="32"/>
        <v>43</v>
      </c>
      <c r="Q11" s="125">
        <f t="shared" si="32"/>
        <v>14</v>
      </c>
      <c r="R11" s="126">
        <f t="shared" si="33"/>
        <v>85235.69461230468</v>
      </c>
      <c r="S11" s="125">
        <f t="shared" si="0"/>
        <v>0.34000000000000008</v>
      </c>
      <c r="T11" s="126">
        <f t="shared" si="1"/>
        <v>5071.5238294321298</v>
      </c>
      <c r="U11" s="126">
        <f t="shared" si="2"/>
        <v>14916.246557153321</v>
      </c>
      <c r="V11" s="125">
        <f t="shared" si="3"/>
        <v>0</v>
      </c>
      <c r="W11" s="138">
        <f t="shared" si="4"/>
        <v>14.5</v>
      </c>
      <c r="X11" s="125">
        <f t="shared" si="5"/>
        <v>0.83856134359321488</v>
      </c>
      <c r="Y11" s="125">
        <f t="shared" si="6"/>
        <v>0.31840248485926437</v>
      </c>
      <c r="Z11" s="125">
        <f t="shared" si="7"/>
        <v>0</v>
      </c>
      <c r="AA11" s="125">
        <f t="shared" si="8"/>
        <v>0</v>
      </c>
      <c r="AB11" s="125">
        <f t="shared" si="34"/>
        <v>0.95</v>
      </c>
      <c r="AC11" s="125">
        <f t="shared" si="9"/>
        <v>0.7142857142857143</v>
      </c>
      <c r="AD11" s="126">
        <f t="shared" si="10"/>
        <v>0</v>
      </c>
      <c r="AE11" s="126">
        <f t="shared" si="11"/>
        <v>0</v>
      </c>
      <c r="AF11" s="126">
        <f t="shared" si="12"/>
        <v>0</v>
      </c>
      <c r="AG11" s="126">
        <f t="shared" si="13"/>
        <v>0</v>
      </c>
      <c r="AH11" s="126">
        <f t="shared" si="14"/>
        <v>0</v>
      </c>
      <c r="AI11" s="139">
        <f t="shared" si="15"/>
        <v>0</v>
      </c>
      <c r="AK11" s="127"/>
      <c r="AL11" s="136">
        <f t="shared" si="35"/>
        <v>2027</v>
      </c>
      <c r="AM11" s="125">
        <f t="shared" si="35"/>
        <v>54</v>
      </c>
      <c r="AN11" s="125">
        <f t="shared" si="35"/>
        <v>19</v>
      </c>
      <c r="AO11" s="126">
        <f t="shared" si="36"/>
        <v>250024.70419609375</v>
      </c>
      <c r="AP11" s="125">
        <f t="shared" si="16"/>
        <v>0.67</v>
      </c>
      <c r="AQ11" s="126">
        <f t="shared" si="17"/>
        <v>39785.181055203415</v>
      </c>
      <c r="AR11" s="126">
        <f t="shared" si="18"/>
        <v>59380.86724657227</v>
      </c>
      <c r="AS11" s="125">
        <f t="shared" si="19"/>
        <v>0</v>
      </c>
      <c r="AT11" s="138">
        <f t="shared" si="20"/>
        <v>14.5</v>
      </c>
      <c r="AU11" s="125">
        <f t="shared" si="21"/>
        <v>0.83856134359321488</v>
      </c>
      <c r="AV11" s="125">
        <f t="shared" si="22"/>
        <v>0.51672044231576797</v>
      </c>
      <c r="AW11" s="125">
        <f t="shared" si="23"/>
        <v>0</v>
      </c>
      <c r="AX11" s="125">
        <f t="shared" si="24"/>
        <v>0</v>
      </c>
      <c r="AY11" s="125">
        <f t="shared" si="37"/>
        <v>1</v>
      </c>
      <c r="AZ11" s="125"/>
      <c r="BA11" s="125">
        <f t="shared" si="25"/>
        <v>0.78947368421052633</v>
      </c>
      <c r="BB11" s="126">
        <f t="shared" si="26"/>
        <v>0</v>
      </c>
      <c r="BC11" s="126">
        <f t="shared" si="27"/>
        <v>0</v>
      </c>
      <c r="BD11" s="124">
        <f t="shared" si="28"/>
        <v>0</v>
      </c>
      <c r="BE11" s="124">
        <f t="shared" si="29"/>
        <v>0</v>
      </c>
      <c r="BF11" s="124">
        <f t="shared" si="30"/>
        <v>0</v>
      </c>
      <c r="BG11" s="140">
        <f t="shared" si="31"/>
        <v>0</v>
      </c>
    </row>
    <row r="12" spans="1:59">
      <c r="A12" s="55"/>
      <c r="B12" s="74" t="s">
        <v>182</v>
      </c>
      <c r="C12" s="1559" t="s">
        <v>183</v>
      </c>
      <c r="D12" s="1559"/>
      <c r="E12" s="1559"/>
      <c r="L12" s="135"/>
      <c r="N12"/>
      <c r="O12" s="136">
        <f t="shared" si="32"/>
        <v>2028</v>
      </c>
      <c r="P12" s="125">
        <f t="shared" si="32"/>
        <v>44</v>
      </c>
      <c r="Q12" s="125">
        <f t="shared" si="32"/>
        <v>15</v>
      </c>
      <c r="R12" s="126">
        <f t="shared" si="33"/>
        <v>88005.854687204584</v>
      </c>
      <c r="S12" s="125">
        <f t="shared" si="0"/>
        <v>0.37</v>
      </c>
      <c r="T12" s="126">
        <f t="shared" si="1"/>
        <v>6105.4061689248183</v>
      </c>
      <c r="U12" s="126">
        <f t="shared" si="2"/>
        <v>16501.09775385086</v>
      </c>
      <c r="V12" s="125">
        <f t="shared" si="3"/>
        <v>0</v>
      </c>
      <c r="W12" s="138">
        <f t="shared" si="4"/>
        <v>14.5</v>
      </c>
      <c r="X12" s="125">
        <f t="shared" si="5"/>
        <v>0.80245104650068411</v>
      </c>
      <c r="Y12" s="125">
        <f t="shared" si="6"/>
        <v>0.31840248485926437</v>
      </c>
      <c r="Z12" s="125">
        <f t="shared" si="7"/>
        <v>0</v>
      </c>
      <c r="AA12" s="125">
        <f t="shared" si="8"/>
        <v>0</v>
      </c>
      <c r="AB12" s="125">
        <f t="shared" si="34"/>
        <v>0.95</v>
      </c>
      <c r="AC12" s="125">
        <f t="shared" si="9"/>
        <v>0.66666666666666663</v>
      </c>
      <c r="AD12" s="126">
        <f t="shared" si="10"/>
        <v>0</v>
      </c>
      <c r="AE12" s="126">
        <f t="shared" si="11"/>
        <v>0</v>
      </c>
      <c r="AF12" s="126">
        <f t="shared" si="12"/>
        <v>0</v>
      </c>
      <c r="AG12" s="126">
        <f t="shared" si="13"/>
        <v>0</v>
      </c>
      <c r="AH12" s="126">
        <f t="shared" si="14"/>
        <v>0</v>
      </c>
      <c r="AI12" s="139">
        <f t="shared" si="15"/>
        <v>0</v>
      </c>
      <c r="AK12" s="127"/>
      <c r="AL12" s="136">
        <f t="shared" si="35"/>
        <v>2028</v>
      </c>
      <c r="AM12" s="125">
        <f t="shared" si="35"/>
        <v>55</v>
      </c>
      <c r="AN12" s="125">
        <f t="shared" si="35"/>
        <v>20</v>
      </c>
      <c r="AO12" s="126">
        <f t="shared" si="36"/>
        <v>258150.50708246679</v>
      </c>
      <c r="AP12" s="125">
        <f t="shared" si="16"/>
        <v>0.7</v>
      </c>
      <c r="AQ12" s="126">
        <f t="shared" si="17"/>
        <v>45176.338739431696</v>
      </c>
      <c r="AR12" s="126">
        <f t="shared" si="18"/>
        <v>64537.626770616698</v>
      </c>
      <c r="AS12" s="125">
        <f t="shared" si="19"/>
        <v>17</v>
      </c>
      <c r="AT12" s="138">
        <f t="shared" si="20"/>
        <v>14.5</v>
      </c>
      <c r="AU12" s="125">
        <f t="shared" si="21"/>
        <v>0.80245104650068411</v>
      </c>
      <c r="AV12" s="125">
        <f t="shared" si="22"/>
        <v>0.51672044231576797</v>
      </c>
      <c r="AW12" s="125">
        <f t="shared" si="23"/>
        <v>0.4</v>
      </c>
      <c r="AX12" s="125">
        <f t="shared" si="24"/>
        <v>0</v>
      </c>
      <c r="AY12" s="125">
        <f t="shared" si="37"/>
        <v>1</v>
      </c>
      <c r="AZ12" s="125"/>
      <c r="BA12" s="125">
        <f t="shared" si="25"/>
        <v>0.75</v>
      </c>
      <c r="BB12" s="126">
        <f t="shared" si="26"/>
        <v>246512.24202997927</v>
      </c>
      <c r="BC12" s="126">
        <f t="shared" si="27"/>
        <v>0</v>
      </c>
      <c r="BD12" s="124">
        <f t="shared" si="28"/>
        <v>184884.18152248446</v>
      </c>
      <c r="BE12" s="124">
        <f t="shared" si="29"/>
        <v>0</v>
      </c>
      <c r="BF12" s="124">
        <f t="shared" si="30"/>
        <v>12325.612101498964</v>
      </c>
      <c r="BG12" s="140">
        <f t="shared" si="31"/>
        <v>0</v>
      </c>
    </row>
    <row r="13" spans="1:59">
      <c r="A13" s="55"/>
      <c r="B13" s="74" t="s">
        <v>184</v>
      </c>
      <c r="C13" s="1559" t="s">
        <v>185</v>
      </c>
      <c r="D13" s="1559"/>
      <c r="E13" s="1559"/>
      <c r="L13" s="135"/>
      <c r="N13"/>
      <c r="O13" s="136">
        <f t="shared" si="32"/>
        <v>2029</v>
      </c>
      <c r="P13" s="125">
        <f t="shared" si="32"/>
        <v>45</v>
      </c>
      <c r="Q13" s="125">
        <f t="shared" si="32"/>
        <v>16</v>
      </c>
      <c r="R13" s="126">
        <f t="shared" si="33"/>
        <v>90866.044964538727</v>
      </c>
      <c r="S13" s="125">
        <f t="shared" si="0"/>
        <v>0.4</v>
      </c>
      <c r="T13" s="126">
        <f t="shared" si="1"/>
        <v>7269.2835971630984</v>
      </c>
      <c r="U13" s="126">
        <f t="shared" si="2"/>
        <v>18173.208992907745</v>
      </c>
      <c r="V13" s="125">
        <f t="shared" si="3"/>
        <v>0</v>
      </c>
      <c r="W13" s="138">
        <f t="shared" si="4"/>
        <v>14.5</v>
      </c>
      <c r="X13" s="125">
        <f t="shared" si="5"/>
        <v>0.76789573827816682</v>
      </c>
      <c r="Y13" s="125">
        <f t="shared" si="6"/>
        <v>0.31840248485926437</v>
      </c>
      <c r="Z13" s="125">
        <f t="shared" si="7"/>
        <v>0</v>
      </c>
      <c r="AA13" s="125">
        <f t="shared" si="8"/>
        <v>0</v>
      </c>
      <c r="AB13" s="125">
        <f t="shared" si="34"/>
        <v>0.95</v>
      </c>
      <c r="AC13" s="125">
        <f t="shared" si="9"/>
        <v>0.625</v>
      </c>
      <c r="AD13" s="126">
        <f t="shared" si="10"/>
        <v>0</v>
      </c>
      <c r="AE13" s="126">
        <f t="shared" si="11"/>
        <v>0</v>
      </c>
      <c r="AF13" s="126">
        <f t="shared" si="12"/>
        <v>0</v>
      </c>
      <c r="AG13" s="126">
        <f t="shared" si="13"/>
        <v>0</v>
      </c>
      <c r="AH13" s="126">
        <f t="shared" si="14"/>
        <v>0</v>
      </c>
      <c r="AI13" s="139">
        <f t="shared" si="15"/>
        <v>0</v>
      </c>
      <c r="AK13" s="127"/>
      <c r="AL13" s="136">
        <f t="shared" si="35"/>
        <v>2029</v>
      </c>
      <c r="AM13" s="125">
        <f t="shared" si="35"/>
        <v>56</v>
      </c>
      <c r="AN13" s="125">
        <f t="shared" si="35"/>
        <v>21</v>
      </c>
      <c r="AO13" s="126">
        <f t="shared" si="36"/>
        <v>266540.39856264694</v>
      </c>
      <c r="AP13" s="125">
        <f t="shared" si="16"/>
        <v>0.73</v>
      </c>
      <c r="AQ13" s="126">
        <f t="shared" si="17"/>
        <v>51075.803874567217</v>
      </c>
      <c r="AR13" s="126">
        <f t="shared" si="18"/>
        <v>69966.854622694824</v>
      </c>
      <c r="AS13" s="125">
        <f t="shared" si="19"/>
        <v>0</v>
      </c>
      <c r="AT13" s="138">
        <f t="shared" si="20"/>
        <v>14.5</v>
      </c>
      <c r="AU13" s="125">
        <f t="shared" si="21"/>
        <v>0.76789573827816682</v>
      </c>
      <c r="AV13" s="125">
        <f t="shared" si="22"/>
        <v>0.51672044231576797</v>
      </c>
      <c r="AW13" s="125">
        <f t="shared" si="23"/>
        <v>0</v>
      </c>
      <c r="AX13" s="125">
        <f t="shared" si="24"/>
        <v>0</v>
      </c>
      <c r="AY13" s="125">
        <f t="shared" si="37"/>
        <v>0.6</v>
      </c>
      <c r="AZ13" s="125"/>
      <c r="BA13" s="125">
        <f t="shared" si="25"/>
        <v>0.7142857142857143</v>
      </c>
      <c r="BB13" s="126">
        <f t="shared" si="26"/>
        <v>0</v>
      </c>
      <c r="BC13" s="126">
        <f t="shared" si="27"/>
        <v>0</v>
      </c>
      <c r="BD13" s="124">
        <f t="shared" si="28"/>
        <v>0</v>
      </c>
      <c r="BE13" s="124">
        <f t="shared" si="29"/>
        <v>0</v>
      </c>
      <c r="BF13" s="124">
        <f t="shared" si="30"/>
        <v>0</v>
      </c>
      <c r="BG13" s="140">
        <f t="shared" si="31"/>
        <v>0</v>
      </c>
    </row>
    <row r="14" spans="1:59" ht="15.75" customHeight="1">
      <c r="A14" s="55"/>
      <c r="B14" s="74" t="s">
        <v>186</v>
      </c>
      <c r="C14" s="1559" t="s">
        <v>187</v>
      </c>
      <c r="D14" s="1559"/>
      <c r="E14" s="1559"/>
      <c r="L14" s="135"/>
      <c r="N14"/>
      <c r="O14" s="136">
        <f t="shared" si="32"/>
        <v>2030</v>
      </c>
      <c r="P14" s="125">
        <f t="shared" si="32"/>
        <v>46</v>
      </c>
      <c r="Q14" s="125">
        <f t="shared" si="32"/>
        <v>17</v>
      </c>
      <c r="R14" s="126">
        <f t="shared" si="33"/>
        <v>93819.191425886238</v>
      </c>
      <c r="S14" s="125">
        <f t="shared" si="0"/>
        <v>0.43000000000000005</v>
      </c>
      <c r="T14" s="126">
        <f t="shared" si="1"/>
        <v>8572.7286165403566</v>
      </c>
      <c r="U14" s="126">
        <f t="shared" si="2"/>
        <v>19936.578178000826</v>
      </c>
      <c r="V14" s="125">
        <f t="shared" si="3"/>
        <v>0</v>
      </c>
      <c r="W14" s="138">
        <f t="shared" si="4"/>
        <v>14.5</v>
      </c>
      <c r="X14" s="125">
        <f t="shared" si="5"/>
        <v>0.73482845768245619</v>
      </c>
      <c r="Y14" s="125">
        <f t="shared" si="6"/>
        <v>0.31840248485926437</v>
      </c>
      <c r="Z14" s="125">
        <f t="shared" si="7"/>
        <v>0</v>
      </c>
      <c r="AA14" s="125">
        <f t="shared" si="8"/>
        <v>0</v>
      </c>
      <c r="AB14" s="125">
        <f t="shared" si="34"/>
        <v>0.95</v>
      </c>
      <c r="AC14" s="125">
        <f t="shared" si="9"/>
        <v>0.58823529411764708</v>
      </c>
      <c r="AD14" s="126">
        <f t="shared" si="10"/>
        <v>0</v>
      </c>
      <c r="AE14" s="126">
        <f t="shared" si="11"/>
        <v>0</v>
      </c>
      <c r="AF14" s="126">
        <f t="shared" si="12"/>
        <v>0</v>
      </c>
      <c r="AG14" s="126">
        <f t="shared" si="13"/>
        <v>0</v>
      </c>
      <c r="AH14" s="126">
        <f t="shared" si="14"/>
        <v>0</v>
      </c>
      <c r="AI14" s="139">
        <f t="shared" si="15"/>
        <v>0</v>
      </c>
      <c r="AK14" s="127"/>
      <c r="AL14" s="136">
        <f t="shared" si="35"/>
        <v>2030</v>
      </c>
      <c r="AM14" s="125">
        <f t="shared" si="35"/>
        <v>57</v>
      </c>
      <c r="AN14" s="125">
        <f t="shared" si="35"/>
        <v>22</v>
      </c>
      <c r="AO14" s="126">
        <f t="shared" si="36"/>
        <v>275202.96151593293</v>
      </c>
      <c r="AP14" s="125">
        <f t="shared" si="16"/>
        <v>0.76</v>
      </c>
      <c r="AQ14" s="126">
        <f t="shared" si="17"/>
        <v>57517.418956829984</v>
      </c>
      <c r="AR14" s="126">
        <f t="shared" si="18"/>
        <v>75680.814416881563</v>
      </c>
      <c r="AS14" s="125">
        <f t="shared" si="19"/>
        <v>0</v>
      </c>
      <c r="AT14" s="138">
        <f t="shared" si="20"/>
        <v>14.5</v>
      </c>
      <c r="AU14" s="125">
        <f t="shared" si="21"/>
        <v>0.73482845768245619</v>
      </c>
      <c r="AV14" s="125">
        <f t="shared" si="22"/>
        <v>0.51672044231576797</v>
      </c>
      <c r="AW14" s="125">
        <f t="shared" si="23"/>
        <v>0</v>
      </c>
      <c r="AX14" s="125">
        <f t="shared" si="24"/>
        <v>0</v>
      </c>
      <c r="AY14" s="125">
        <f t="shared" si="37"/>
        <v>0.6</v>
      </c>
      <c r="AZ14" s="125"/>
      <c r="BA14" s="125">
        <f t="shared" si="25"/>
        <v>0.68181818181818177</v>
      </c>
      <c r="BB14" s="126">
        <f t="shared" si="26"/>
        <v>0</v>
      </c>
      <c r="BC14" s="126">
        <f t="shared" si="27"/>
        <v>0</v>
      </c>
      <c r="BD14" s="124">
        <f t="shared" si="28"/>
        <v>0</v>
      </c>
      <c r="BE14" s="124">
        <f t="shared" si="29"/>
        <v>0</v>
      </c>
      <c r="BF14" s="124">
        <f t="shared" si="30"/>
        <v>0</v>
      </c>
      <c r="BG14" s="140">
        <f t="shared" si="31"/>
        <v>0</v>
      </c>
    </row>
    <row r="15" spans="1:59">
      <c r="A15" s="55"/>
      <c r="N15"/>
      <c r="O15" s="136">
        <f t="shared" si="32"/>
        <v>2031</v>
      </c>
      <c r="P15" s="125">
        <f t="shared" si="32"/>
        <v>47</v>
      </c>
      <c r="Q15" s="125">
        <f t="shared" si="32"/>
        <v>18</v>
      </c>
      <c r="R15" s="126">
        <f t="shared" si="33"/>
        <v>96868.315147227535</v>
      </c>
      <c r="S15" s="125">
        <f t="shared" si="0"/>
        <v>0.45999999999999996</v>
      </c>
      <c r="T15" s="126">
        <f t="shared" si="1"/>
        <v>10025.870617738048</v>
      </c>
      <c r="U15" s="126">
        <f t="shared" si="2"/>
        <v>21795.370908126195</v>
      </c>
      <c r="V15" s="125">
        <f t="shared" si="3"/>
        <v>0</v>
      </c>
      <c r="W15" s="138">
        <f t="shared" si="4"/>
        <v>14.5</v>
      </c>
      <c r="X15" s="125">
        <f t="shared" si="5"/>
        <v>0.70318512696885782</v>
      </c>
      <c r="Y15" s="125">
        <f t="shared" si="6"/>
        <v>0.31840248485926437</v>
      </c>
      <c r="Z15" s="125">
        <f t="shared" si="7"/>
        <v>0</v>
      </c>
      <c r="AA15" s="125">
        <f t="shared" si="8"/>
        <v>0</v>
      </c>
      <c r="AB15" s="125">
        <f t="shared" si="34"/>
        <v>0.95</v>
      </c>
      <c r="AC15" s="125">
        <f t="shared" si="9"/>
        <v>0.55555555555555558</v>
      </c>
      <c r="AD15" s="126">
        <f t="shared" si="10"/>
        <v>0</v>
      </c>
      <c r="AE15" s="126">
        <f t="shared" si="11"/>
        <v>0</v>
      </c>
      <c r="AF15" s="126">
        <f t="shared" si="12"/>
        <v>0</v>
      </c>
      <c r="AG15" s="126">
        <f t="shared" si="13"/>
        <v>0</v>
      </c>
      <c r="AH15" s="126">
        <f t="shared" si="14"/>
        <v>0</v>
      </c>
      <c r="AI15" s="139">
        <f t="shared" si="15"/>
        <v>0</v>
      </c>
      <c r="AK15" s="127"/>
      <c r="AL15" s="136">
        <f t="shared" si="35"/>
        <v>2031</v>
      </c>
      <c r="AM15" s="125">
        <f t="shared" si="35"/>
        <v>58</v>
      </c>
      <c r="AN15" s="125">
        <f t="shared" si="35"/>
        <v>23</v>
      </c>
      <c r="AO15" s="126">
        <f t="shared" si="36"/>
        <v>284147.05776520073</v>
      </c>
      <c r="AP15" s="125">
        <f t="shared" si="16"/>
        <v>0.79</v>
      </c>
      <c r="AQ15" s="126">
        <f t="shared" si="17"/>
        <v>64536.900494921225</v>
      </c>
      <c r="AR15" s="126">
        <f t="shared" si="18"/>
        <v>81692.279107495211</v>
      </c>
      <c r="AS15" s="125">
        <f t="shared" si="19"/>
        <v>0</v>
      </c>
      <c r="AT15" s="138">
        <f t="shared" si="20"/>
        <v>14.5</v>
      </c>
      <c r="AU15" s="125">
        <f t="shared" si="21"/>
        <v>0.70318512696885782</v>
      </c>
      <c r="AV15" s="125">
        <f t="shared" si="22"/>
        <v>0.51672044231576797</v>
      </c>
      <c r="AW15" s="125">
        <f t="shared" si="23"/>
        <v>0</v>
      </c>
      <c r="AX15" s="125">
        <f t="shared" si="24"/>
        <v>0</v>
      </c>
      <c r="AY15" s="125">
        <f t="shared" si="37"/>
        <v>0.6</v>
      </c>
      <c r="AZ15" s="125"/>
      <c r="BA15" s="125">
        <f t="shared" si="25"/>
        <v>0.65217391304347827</v>
      </c>
      <c r="BB15" s="126">
        <f t="shared" si="26"/>
        <v>0</v>
      </c>
      <c r="BC15" s="126">
        <f t="shared" si="27"/>
        <v>0</v>
      </c>
      <c r="BD15" s="124">
        <f t="shared" si="28"/>
        <v>0</v>
      </c>
      <c r="BE15" s="124">
        <f t="shared" si="29"/>
        <v>0</v>
      </c>
      <c r="BF15" s="124">
        <f t="shared" si="30"/>
        <v>0</v>
      </c>
      <c r="BG15" s="140">
        <f t="shared" si="31"/>
        <v>0</v>
      </c>
    </row>
    <row r="16" spans="1:59">
      <c r="A16" s="55"/>
      <c r="B16" s="88" t="s">
        <v>188</v>
      </c>
      <c r="L16" s="122"/>
      <c r="N16"/>
      <c r="O16" s="136">
        <f t="shared" si="32"/>
        <v>2032</v>
      </c>
      <c r="P16" s="125">
        <f t="shared" si="32"/>
        <v>48</v>
      </c>
      <c r="Q16" s="125">
        <f t="shared" si="32"/>
        <v>19</v>
      </c>
      <c r="R16" s="126">
        <f t="shared" si="33"/>
        <v>100016.53538951243</v>
      </c>
      <c r="S16" s="125">
        <f t="shared" si="0"/>
        <v>0.49</v>
      </c>
      <c r="T16" s="126">
        <f t="shared" si="1"/>
        <v>11639.424305954508</v>
      </c>
      <c r="U16" s="126">
        <f t="shared" si="2"/>
        <v>23753.927155009202</v>
      </c>
      <c r="V16" s="125">
        <f t="shared" si="3"/>
        <v>0</v>
      </c>
      <c r="W16" s="138">
        <f t="shared" si="4"/>
        <v>14.5</v>
      </c>
      <c r="X16" s="125">
        <f t="shared" si="5"/>
        <v>0.67290442772139514</v>
      </c>
      <c r="Y16" s="125">
        <f t="shared" si="6"/>
        <v>0.31840248485926437</v>
      </c>
      <c r="Z16" s="125">
        <f t="shared" si="7"/>
        <v>0</v>
      </c>
      <c r="AA16" s="125">
        <f t="shared" si="8"/>
        <v>0</v>
      </c>
      <c r="AB16" s="125">
        <f t="shared" si="34"/>
        <v>0.95</v>
      </c>
      <c r="AC16" s="125">
        <f t="shared" si="9"/>
        <v>0.52631578947368418</v>
      </c>
      <c r="AD16" s="126">
        <f t="shared" si="10"/>
        <v>0</v>
      </c>
      <c r="AE16" s="126">
        <f t="shared" si="11"/>
        <v>0</v>
      </c>
      <c r="AF16" s="126">
        <f t="shared" si="12"/>
        <v>0</v>
      </c>
      <c r="AG16" s="126">
        <f t="shared" si="13"/>
        <v>0</v>
      </c>
      <c r="AH16" s="126">
        <f t="shared" si="14"/>
        <v>0</v>
      </c>
      <c r="AI16" s="139">
        <f t="shared" si="15"/>
        <v>0</v>
      </c>
      <c r="AK16" s="127"/>
      <c r="AL16" s="136">
        <f t="shared" si="35"/>
        <v>2032</v>
      </c>
      <c r="AM16" s="125">
        <f t="shared" si="35"/>
        <v>59</v>
      </c>
      <c r="AN16" s="125">
        <f t="shared" si="35"/>
        <v>24</v>
      </c>
      <c r="AO16" s="126">
        <f t="shared" si="36"/>
        <v>293381.83714256977</v>
      </c>
      <c r="AP16" s="125">
        <f t="shared" si="16"/>
        <v>0.82000000000000006</v>
      </c>
      <c r="AQ16" s="126">
        <f t="shared" si="17"/>
        <v>72171.931937072179</v>
      </c>
      <c r="AR16" s="126">
        <f t="shared" si="18"/>
        <v>88014.551142770943</v>
      </c>
      <c r="AS16" s="125">
        <f t="shared" si="19"/>
        <v>0</v>
      </c>
      <c r="AT16" s="138">
        <f t="shared" si="20"/>
        <v>14.5</v>
      </c>
      <c r="AU16" s="125">
        <f t="shared" si="21"/>
        <v>0.67290442772139514</v>
      </c>
      <c r="AV16" s="125">
        <f t="shared" si="22"/>
        <v>0.51672044231576797</v>
      </c>
      <c r="AW16" s="125">
        <f t="shared" si="23"/>
        <v>0</v>
      </c>
      <c r="AX16" s="125">
        <f t="shared" si="24"/>
        <v>0</v>
      </c>
      <c r="AY16" s="125">
        <f t="shared" si="37"/>
        <v>0.6</v>
      </c>
      <c r="AZ16" s="125"/>
      <c r="BA16" s="125">
        <f t="shared" si="25"/>
        <v>0.625</v>
      </c>
      <c r="BB16" s="126">
        <f t="shared" si="26"/>
        <v>0</v>
      </c>
      <c r="BC16" s="126">
        <f t="shared" si="27"/>
        <v>0</v>
      </c>
      <c r="BD16" s="124">
        <f t="shared" si="28"/>
        <v>0</v>
      </c>
      <c r="BE16" s="124">
        <f t="shared" si="29"/>
        <v>0</v>
      </c>
      <c r="BF16" s="124">
        <f t="shared" si="30"/>
        <v>0</v>
      </c>
      <c r="BG16" s="140">
        <f t="shared" si="31"/>
        <v>0</v>
      </c>
    </row>
    <row r="17" spans="1:59">
      <c r="A17" s="55"/>
      <c r="B17" s="97"/>
      <c r="L17" s="135"/>
      <c r="N17"/>
      <c r="O17" s="136">
        <f t="shared" si="32"/>
        <v>2033</v>
      </c>
      <c r="P17" s="125">
        <f t="shared" si="32"/>
        <v>49</v>
      </c>
      <c r="Q17" s="125">
        <f t="shared" si="32"/>
        <v>20</v>
      </c>
      <c r="R17" s="126">
        <f t="shared" si="33"/>
        <v>103267.07278967158</v>
      </c>
      <c r="S17" s="125">
        <f t="shared" si="0"/>
        <v>0.52</v>
      </c>
      <c r="T17" s="126">
        <f t="shared" si="1"/>
        <v>13424.719462657305</v>
      </c>
      <c r="U17" s="126">
        <f t="shared" si="2"/>
        <v>25816.768197417896</v>
      </c>
      <c r="V17" s="125">
        <f t="shared" si="3"/>
        <v>0</v>
      </c>
      <c r="W17" s="138">
        <f t="shared" si="4"/>
        <v>14.5</v>
      </c>
      <c r="X17" s="125">
        <f t="shared" si="5"/>
        <v>0.64392768203004325</v>
      </c>
      <c r="Y17" s="125">
        <f t="shared" si="6"/>
        <v>0.31840248485926437</v>
      </c>
      <c r="Z17" s="125">
        <f t="shared" si="7"/>
        <v>0</v>
      </c>
      <c r="AA17" s="125">
        <f t="shared" si="8"/>
        <v>0</v>
      </c>
      <c r="AB17" s="125">
        <f t="shared" si="34"/>
        <v>0.95</v>
      </c>
      <c r="AC17" s="125">
        <f t="shared" si="9"/>
        <v>0.5</v>
      </c>
      <c r="AD17" s="126">
        <f t="shared" si="10"/>
        <v>0</v>
      </c>
      <c r="AE17" s="126">
        <f t="shared" si="11"/>
        <v>0</v>
      </c>
      <c r="AF17" s="126">
        <f t="shared" si="12"/>
        <v>0</v>
      </c>
      <c r="AG17" s="126">
        <f t="shared" si="13"/>
        <v>0</v>
      </c>
      <c r="AH17" s="126">
        <f t="shared" si="14"/>
        <v>0</v>
      </c>
      <c r="AI17" s="139">
        <f t="shared" si="15"/>
        <v>0</v>
      </c>
      <c r="AK17" s="127"/>
      <c r="AL17" s="136">
        <f t="shared" si="35"/>
        <v>2033</v>
      </c>
      <c r="AM17" s="125">
        <f t="shared" si="35"/>
        <v>60</v>
      </c>
      <c r="AN17" s="125">
        <f t="shared" si="35"/>
        <v>25</v>
      </c>
      <c r="AO17" s="126">
        <f t="shared" si="36"/>
        <v>302916.74684970325</v>
      </c>
      <c r="AP17" s="125">
        <f t="shared" si="16"/>
        <v>0.85</v>
      </c>
      <c r="AQ17" s="126">
        <f t="shared" si="17"/>
        <v>80462.260881952432</v>
      </c>
      <c r="AR17" s="126">
        <f t="shared" si="18"/>
        <v>94661.483390532274</v>
      </c>
      <c r="AS17" s="125">
        <f t="shared" si="19"/>
        <v>0</v>
      </c>
      <c r="AT17" s="138">
        <f t="shared" si="20"/>
        <v>14.5</v>
      </c>
      <c r="AU17" s="125">
        <f t="shared" si="21"/>
        <v>0.64392768203004325</v>
      </c>
      <c r="AV17" s="125">
        <f t="shared" si="22"/>
        <v>0.51672044231576797</v>
      </c>
      <c r="AW17" s="125">
        <f t="shared" si="23"/>
        <v>0</v>
      </c>
      <c r="AX17" s="125">
        <f t="shared" si="24"/>
        <v>0</v>
      </c>
      <c r="AY17" s="125">
        <f t="shared" si="37"/>
        <v>0.6</v>
      </c>
      <c r="AZ17" s="125"/>
      <c r="BA17" s="125">
        <f t="shared" si="25"/>
        <v>0.6</v>
      </c>
      <c r="BB17" s="126">
        <f t="shared" si="26"/>
        <v>0</v>
      </c>
      <c r="BC17" s="126">
        <f t="shared" si="27"/>
        <v>0</v>
      </c>
      <c r="BD17" s="124">
        <f t="shared" si="28"/>
        <v>0</v>
      </c>
      <c r="BE17" s="124">
        <f t="shared" si="29"/>
        <v>0</v>
      </c>
      <c r="BF17" s="124">
        <f t="shared" si="30"/>
        <v>0</v>
      </c>
      <c r="BG17" s="140">
        <f t="shared" si="31"/>
        <v>0</v>
      </c>
    </row>
    <row r="18" spans="1:59">
      <c r="A18" s="55"/>
      <c r="B18" s="74" t="s">
        <v>51</v>
      </c>
      <c r="C18" s="1559" t="s">
        <v>189</v>
      </c>
      <c r="D18" s="1559"/>
      <c r="E18" s="1559"/>
      <c r="N18"/>
      <c r="O18" s="136">
        <f t="shared" si="32"/>
        <v>2034</v>
      </c>
      <c r="P18" s="125">
        <f t="shared" si="32"/>
        <v>50</v>
      </c>
      <c r="Q18" s="125">
        <f t="shared" si="32"/>
        <v>21</v>
      </c>
      <c r="R18" s="126">
        <f t="shared" si="33"/>
        <v>106623.25265533591</v>
      </c>
      <c r="S18" s="125">
        <f t="shared" si="0"/>
        <v>0.55000000000000004</v>
      </c>
      <c r="T18" s="126">
        <f t="shared" si="1"/>
        <v>15393.732102114123</v>
      </c>
      <c r="U18" s="126">
        <f t="shared" si="2"/>
        <v>27988.603822025678</v>
      </c>
      <c r="V18" s="125">
        <f t="shared" si="3"/>
        <v>0</v>
      </c>
      <c r="W18" s="138">
        <f t="shared" si="4"/>
        <v>14.5</v>
      </c>
      <c r="X18" s="125">
        <f t="shared" si="5"/>
        <v>0.61619873878473042</v>
      </c>
      <c r="Y18" s="125">
        <f t="shared" si="6"/>
        <v>0.31840248485926437</v>
      </c>
      <c r="Z18" s="125">
        <f t="shared" si="7"/>
        <v>0</v>
      </c>
      <c r="AA18" s="125">
        <f t="shared" si="8"/>
        <v>0</v>
      </c>
      <c r="AB18" s="125">
        <f t="shared" si="34"/>
        <v>0.95</v>
      </c>
      <c r="AC18" s="125">
        <f t="shared" si="9"/>
        <v>0.47619047619047616</v>
      </c>
      <c r="AD18" s="126">
        <f t="shared" si="10"/>
        <v>0</v>
      </c>
      <c r="AE18" s="126">
        <f t="shared" si="11"/>
        <v>0</v>
      </c>
      <c r="AF18" s="126">
        <f t="shared" si="12"/>
        <v>0</v>
      </c>
      <c r="AG18" s="126">
        <f t="shared" si="13"/>
        <v>0</v>
      </c>
      <c r="AH18" s="126">
        <f t="shared" si="14"/>
        <v>0</v>
      </c>
      <c r="AI18" s="139">
        <f t="shared" si="15"/>
        <v>0</v>
      </c>
      <c r="AK18" s="127"/>
      <c r="AL18" s="136">
        <f t="shared" si="35"/>
        <v>2034</v>
      </c>
      <c r="AM18" s="125">
        <f t="shared" si="35"/>
        <v>61</v>
      </c>
      <c r="AN18" s="125">
        <f t="shared" si="35"/>
        <v>26</v>
      </c>
      <c r="AO18" s="126">
        <f t="shared" si="36"/>
        <v>312761.54112231859</v>
      </c>
      <c r="AP18" s="125">
        <f t="shared" si="16"/>
        <v>0.88</v>
      </c>
      <c r="AQ18" s="126">
        <f t="shared" si="17"/>
        <v>89449.800760983126</v>
      </c>
      <c r="AR18" s="126">
        <f t="shared" si="18"/>
        <v>101647.50086475354</v>
      </c>
      <c r="AS18" s="125">
        <f t="shared" si="19"/>
        <v>0</v>
      </c>
      <c r="AT18" s="138">
        <f t="shared" si="20"/>
        <v>14.5</v>
      </c>
      <c r="AU18" s="125">
        <f t="shared" si="21"/>
        <v>0.61619873878473042</v>
      </c>
      <c r="AV18" s="125">
        <f t="shared" si="22"/>
        <v>0.51672044231576797</v>
      </c>
      <c r="AW18" s="125">
        <f t="shared" si="23"/>
        <v>0</v>
      </c>
      <c r="AX18" s="125">
        <f t="shared" si="24"/>
        <v>0</v>
      </c>
      <c r="AY18" s="125">
        <f t="shared" si="37"/>
        <v>0.6</v>
      </c>
      <c r="AZ18" s="125"/>
      <c r="BA18" s="125">
        <f t="shared" si="25"/>
        <v>0.57692307692307687</v>
      </c>
      <c r="BB18" s="126">
        <f t="shared" si="26"/>
        <v>0</v>
      </c>
      <c r="BC18" s="126">
        <f t="shared" si="27"/>
        <v>0</v>
      </c>
      <c r="BD18" s="124">
        <f t="shared" si="28"/>
        <v>0</v>
      </c>
      <c r="BE18" s="124">
        <f t="shared" si="29"/>
        <v>0</v>
      </c>
      <c r="BF18" s="124">
        <f t="shared" si="30"/>
        <v>0</v>
      </c>
      <c r="BG18" s="140">
        <f t="shared" si="31"/>
        <v>0</v>
      </c>
    </row>
    <row r="19" spans="1:59">
      <c r="A19" s="55"/>
      <c r="B19" s="74" t="s">
        <v>53</v>
      </c>
      <c r="C19" s="1559" t="s">
        <v>190</v>
      </c>
      <c r="D19" s="1559"/>
      <c r="E19" s="1559"/>
      <c r="L19" s="122"/>
      <c r="N19"/>
      <c r="O19" s="136">
        <f t="shared" si="32"/>
        <v>2035</v>
      </c>
      <c r="P19" s="125">
        <f t="shared" si="32"/>
        <v>51</v>
      </c>
      <c r="Q19" s="125">
        <f t="shared" si="32"/>
        <v>22</v>
      </c>
      <c r="R19" s="126">
        <f t="shared" si="33"/>
        <v>110088.50836663431</v>
      </c>
      <c r="S19" s="125">
        <f t="shared" si="0"/>
        <v>0.58000000000000007</v>
      </c>
      <c r="T19" s="126">
        <f t="shared" si="1"/>
        <v>17559.117084478177</v>
      </c>
      <c r="U19" s="126">
        <f t="shared" si="2"/>
        <v>30274.33980082444</v>
      </c>
      <c r="V19" s="125">
        <f t="shared" si="3"/>
        <v>0</v>
      </c>
      <c r="W19" s="138">
        <f t="shared" si="4"/>
        <v>14.5</v>
      </c>
      <c r="X19" s="125">
        <f t="shared" si="5"/>
        <v>0.58966386486577083</v>
      </c>
      <c r="Y19" s="125">
        <f t="shared" si="6"/>
        <v>0.31840248485926437</v>
      </c>
      <c r="Z19" s="125">
        <f t="shared" si="7"/>
        <v>0</v>
      </c>
      <c r="AA19" s="125">
        <f t="shared" si="8"/>
        <v>0</v>
      </c>
      <c r="AB19" s="125">
        <f t="shared" si="34"/>
        <v>0.95</v>
      </c>
      <c r="AC19" s="125">
        <f t="shared" si="9"/>
        <v>0.45454545454545453</v>
      </c>
      <c r="AD19" s="126">
        <f t="shared" si="10"/>
        <v>0</v>
      </c>
      <c r="AE19" s="126">
        <f t="shared" si="11"/>
        <v>0</v>
      </c>
      <c r="AF19" s="126">
        <f t="shared" si="12"/>
        <v>0</v>
      </c>
      <c r="AG19" s="126">
        <f t="shared" si="13"/>
        <v>0</v>
      </c>
      <c r="AH19" s="126">
        <f t="shared" si="14"/>
        <v>0</v>
      </c>
      <c r="AI19" s="139">
        <f t="shared" si="15"/>
        <v>0</v>
      </c>
      <c r="AK19" s="127"/>
      <c r="AL19" s="136">
        <f t="shared" si="35"/>
        <v>2035</v>
      </c>
      <c r="AM19" s="125">
        <f t="shared" si="35"/>
        <v>62</v>
      </c>
      <c r="AN19" s="125">
        <f t="shared" si="35"/>
        <v>27</v>
      </c>
      <c r="AO19" s="126">
        <f t="shared" si="36"/>
        <v>322926.29120879393</v>
      </c>
      <c r="AP19" s="125">
        <f t="shared" si="16"/>
        <v>0.91</v>
      </c>
      <c r="AQ19" s="126">
        <f t="shared" si="17"/>
        <v>99178.737187500839</v>
      </c>
      <c r="AR19" s="126">
        <f t="shared" si="18"/>
        <v>108987.62328296796</v>
      </c>
      <c r="AS19" s="125">
        <f t="shared" si="19"/>
        <v>0</v>
      </c>
      <c r="AT19" s="138">
        <f t="shared" si="20"/>
        <v>14.5</v>
      </c>
      <c r="AU19" s="125">
        <f t="shared" si="21"/>
        <v>0.58966386486577083</v>
      </c>
      <c r="AV19" s="125">
        <f t="shared" si="22"/>
        <v>0.51672044231576797</v>
      </c>
      <c r="AW19" s="125">
        <f t="shared" si="23"/>
        <v>0</v>
      </c>
      <c r="AX19" s="125">
        <f t="shared" si="24"/>
        <v>0</v>
      </c>
      <c r="AY19" s="125">
        <f t="shared" si="37"/>
        <v>0.6</v>
      </c>
      <c r="AZ19" s="125"/>
      <c r="BA19" s="125">
        <f t="shared" si="25"/>
        <v>0.55555555555555558</v>
      </c>
      <c r="BB19" s="126">
        <f t="shared" si="26"/>
        <v>0</v>
      </c>
      <c r="BC19" s="126">
        <f t="shared" si="27"/>
        <v>0</v>
      </c>
      <c r="BD19" s="124">
        <f t="shared" si="28"/>
        <v>0</v>
      </c>
      <c r="BE19" s="124">
        <f t="shared" si="29"/>
        <v>0</v>
      </c>
      <c r="BF19" s="124">
        <f t="shared" si="30"/>
        <v>0</v>
      </c>
      <c r="BG19" s="140">
        <f t="shared" si="31"/>
        <v>0</v>
      </c>
    </row>
    <row r="20" spans="1:59">
      <c r="A20" s="55"/>
      <c r="B20" s="74" t="s">
        <v>191</v>
      </c>
      <c r="C20" s="1559" t="s">
        <v>61</v>
      </c>
      <c r="D20" s="1559"/>
      <c r="E20" s="1559"/>
      <c r="L20" s="141"/>
      <c r="N20"/>
      <c r="O20" s="136">
        <f t="shared" si="32"/>
        <v>2036</v>
      </c>
      <c r="P20" s="125">
        <f t="shared" si="32"/>
        <v>52</v>
      </c>
      <c r="Q20" s="125">
        <f t="shared" si="32"/>
        <v>23</v>
      </c>
      <c r="R20" s="126">
        <f t="shared" si="33"/>
        <v>113666.38488854993</v>
      </c>
      <c r="S20" s="125">
        <f t="shared" si="0"/>
        <v>0.61</v>
      </c>
      <c r="T20" s="126">
        <f t="shared" si="1"/>
        <v>19934.242249829447</v>
      </c>
      <c r="U20" s="126">
        <f t="shared" si="2"/>
        <v>32679.085655458111</v>
      </c>
      <c r="V20" s="125">
        <f t="shared" si="3"/>
        <v>0</v>
      </c>
      <c r="W20" s="138">
        <f t="shared" si="4"/>
        <v>14.5</v>
      </c>
      <c r="X20" s="125">
        <f t="shared" si="5"/>
        <v>0.56427164101987637</v>
      </c>
      <c r="Y20" s="125">
        <f t="shared" si="6"/>
        <v>0.31840248485926437</v>
      </c>
      <c r="Z20" s="125">
        <f t="shared" si="7"/>
        <v>0</v>
      </c>
      <c r="AA20" s="125">
        <f t="shared" si="8"/>
        <v>0</v>
      </c>
      <c r="AB20" s="125">
        <f t="shared" si="34"/>
        <v>0.95</v>
      </c>
      <c r="AC20" s="125">
        <f t="shared" si="9"/>
        <v>0.43478260869565216</v>
      </c>
      <c r="AD20" s="126">
        <f t="shared" si="10"/>
        <v>0</v>
      </c>
      <c r="AE20" s="126">
        <f t="shared" si="11"/>
        <v>0</v>
      </c>
      <c r="AF20" s="126">
        <f t="shared" si="12"/>
        <v>0</v>
      </c>
      <c r="AG20" s="126">
        <f t="shared" si="13"/>
        <v>0</v>
      </c>
      <c r="AH20" s="126">
        <f t="shared" si="14"/>
        <v>0</v>
      </c>
      <c r="AI20" s="139">
        <f t="shared" si="15"/>
        <v>0</v>
      </c>
      <c r="AK20" s="127"/>
      <c r="AL20" s="136">
        <f t="shared" si="35"/>
        <v>2036</v>
      </c>
      <c r="AM20" s="125">
        <f t="shared" si="35"/>
        <v>63</v>
      </c>
      <c r="AN20" s="125">
        <f t="shared" si="35"/>
        <v>28</v>
      </c>
      <c r="AO20" s="126">
        <f t="shared" si="36"/>
        <v>333421.39567307971</v>
      </c>
      <c r="AP20" s="125">
        <f t="shared" si="16"/>
        <v>0.94</v>
      </c>
      <c r="AQ20" s="126">
        <f t="shared" si="17"/>
        <v>109695.63917644322</v>
      </c>
      <c r="AR20" s="126">
        <f t="shared" si="18"/>
        <v>116697.48848557791</v>
      </c>
      <c r="AS20" s="125">
        <f t="shared" si="19"/>
        <v>0</v>
      </c>
      <c r="AT20" s="138">
        <f t="shared" si="20"/>
        <v>14.5</v>
      </c>
      <c r="AU20" s="125">
        <f t="shared" si="21"/>
        <v>0.56427164101987637</v>
      </c>
      <c r="AV20" s="125">
        <f t="shared" si="22"/>
        <v>0.51672044231576797</v>
      </c>
      <c r="AW20" s="125">
        <f t="shared" si="23"/>
        <v>0</v>
      </c>
      <c r="AX20" s="125">
        <f t="shared" si="24"/>
        <v>0</v>
      </c>
      <c r="AY20" s="125">
        <f t="shared" si="37"/>
        <v>0.6</v>
      </c>
      <c r="AZ20" s="125"/>
      <c r="BA20" s="125">
        <f t="shared" si="25"/>
        <v>0.5357142857142857</v>
      </c>
      <c r="BB20" s="126">
        <f t="shared" si="26"/>
        <v>0</v>
      </c>
      <c r="BC20" s="126">
        <f t="shared" si="27"/>
        <v>0</v>
      </c>
      <c r="BD20" s="124">
        <f t="shared" si="28"/>
        <v>0</v>
      </c>
      <c r="BE20" s="124">
        <f t="shared" si="29"/>
        <v>0</v>
      </c>
      <c r="BF20" s="124">
        <f t="shared" si="30"/>
        <v>0</v>
      </c>
      <c r="BG20" s="140">
        <f t="shared" si="31"/>
        <v>0</v>
      </c>
    </row>
    <row r="21" spans="1:59">
      <c r="A21" s="55"/>
      <c r="B21" s="74" t="s">
        <v>54</v>
      </c>
      <c r="C21" s="1559" t="s">
        <v>192</v>
      </c>
      <c r="D21" s="1559"/>
      <c r="E21" s="1559"/>
      <c r="L21" s="135"/>
      <c r="N21"/>
      <c r="O21" s="136">
        <f t="shared" si="32"/>
        <v>2037</v>
      </c>
      <c r="P21" s="125">
        <f t="shared" si="32"/>
        <v>53</v>
      </c>
      <c r="Q21" s="125">
        <f t="shared" si="32"/>
        <v>24</v>
      </c>
      <c r="R21" s="126">
        <f t="shared" si="33"/>
        <v>117360.54239742779</v>
      </c>
      <c r="S21" s="125">
        <f t="shared" si="0"/>
        <v>0.64</v>
      </c>
      <c r="T21" s="126">
        <f t="shared" si="1"/>
        <v>22533.224140306138</v>
      </c>
      <c r="U21" s="126">
        <f t="shared" si="2"/>
        <v>35208.162719228341</v>
      </c>
      <c r="V21" s="125">
        <f t="shared" si="3"/>
        <v>0</v>
      </c>
      <c r="W21" s="138">
        <f t="shared" si="4"/>
        <v>14.5</v>
      </c>
      <c r="X21" s="125">
        <f t="shared" si="5"/>
        <v>0.53997286221997753</v>
      </c>
      <c r="Y21" s="125">
        <f t="shared" si="6"/>
        <v>0.31840248485926437</v>
      </c>
      <c r="Z21" s="125">
        <f t="shared" si="7"/>
        <v>0</v>
      </c>
      <c r="AA21" s="125">
        <f t="shared" si="8"/>
        <v>0</v>
      </c>
      <c r="AB21" s="125">
        <f t="shared" si="34"/>
        <v>0.95</v>
      </c>
      <c r="AC21" s="125">
        <f t="shared" si="9"/>
        <v>0.41666666666666669</v>
      </c>
      <c r="AD21" s="126">
        <f t="shared" si="10"/>
        <v>0</v>
      </c>
      <c r="AE21" s="126">
        <f t="shared" si="11"/>
        <v>0</v>
      </c>
      <c r="AF21" s="126">
        <f t="shared" si="12"/>
        <v>0</v>
      </c>
      <c r="AG21" s="126">
        <f t="shared" si="13"/>
        <v>0</v>
      </c>
      <c r="AH21" s="126">
        <f t="shared" si="14"/>
        <v>0</v>
      </c>
      <c r="AI21" s="139">
        <f t="shared" si="15"/>
        <v>0</v>
      </c>
      <c r="AK21" s="127"/>
      <c r="AL21" s="136">
        <f t="shared" si="35"/>
        <v>2037</v>
      </c>
      <c r="AM21" s="125">
        <f t="shared" si="35"/>
        <v>64</v>
      </c>
      <c r="AN21" s="125">
        <f t="shared" si="35"/>
        <v>29</v>
      </c>
      <c r="AO21" s="126">
        <f t="shared" si="36"/>
        <v>344257.5910324548</v>
      </c>
      <c r="AP21" s="125">
        <f t="shared" si="16"/>
        <v>0.97</v>
      </c>
      <c r="AQ21" s="126">
        <f t="shared" si="17"/>
        <v>121049.57544678693</v>
      </c>
      <c r="AR21" s="126">
        <f t="shared" si="18"/>
        <v>124793.37674926486</v>
      </c>
      <c r="AS21" s="125">
        <f t="shared" si="19"/>
        <v>0</v>
      </c>
      <c r="AT21" s="138">
        <f t="shared" si="20"/>
        <v>14.5</v>
      </c>
      <c r="AU21" s="125">
        <f t="shared" si="21"/>
        <v>0.53997286221997753</v>
      </c>
      <c r="AV21" s="125">
        <f t="shared" si="22"/>
        <v>0.51672044231576797</v>
      </c>
      <c r="AW21" s="125">
        <f t="shared" si="23"/>
        <v>0</v>
      </c>
      <c r="AX21" s="125">
        <f t="shared" si="24"/>
        <v>0</v>
      </c>
      <c r="AY21" s="125">
        <f t="shared" si="37"/>
        <v>0.6</v>
      </c>
      <c r="AZ21" s="125"/>
      <c r="BA21" s="125">
        <f t="shared" si="25"/>
        <v>0.51724137931034486</v>
      </c>
      <c r="BB21" s="126">
        <f t="shared" si="26"/>
        <v>0</v>
      </c>
      <c r="BC21" s="126">
        <f t="shared" si="27"/>
        <v>0</v>
      </c>
      <c r="BD21" s="124">
        <f t="shared" si="28"/>
        <v>0</v>
      </c>
      <c r="BE21" s="124">
        <f t="shared" si="29"/>
        <v>0</v>
      </c>
      <c r="BF21" s="124">
        <f t="shared" si="30"/>
        <v>0</v>
      </c>
      <c r="BG21" s="140">
        <f t="shared" si="31"/>
        <v>0</v>
      </c>
    </row>
    <row r="22" spans="1:59">
      <c r="A22" s="55"/>
      <c r="B22" s="74" t="s">
        <v>57</v>
      </c>
      <c r="C22" s="1559" t="s">
        <v>193</v>
      </c>
      <c r="D22" s="1559"/>
      <c r="E22" s="1559"/>
      <c r="L22" s="135"/>
      <c r="N22"/>
      <c r="O22" s="136">
        <f t="shared" si="32"/>
        <v>2038</v>
      </c>
      <c r="P22" s="125">
        <f t="shared" si="32"/>
        <v>54</v>
      </c>
      <c r="Q22" s="125">
        <f t="shared" si="32"/>
        <v>25</v>
      </c>
      <c r="R22" s="126">
        <f t="shared" si="33"/>
        <v>121174.76002534419</v>
      </c>
      <c r="S22" s="125">
        <f t="shared" si="0"/>
        <v>0.67</v>
      </c>
      <c r="T22" s="126">
        <f t="shared" si="1"/>
        <v>25370.965380306443</v>
      </c>
      <c r="U22" s="126">
        <f t="shared" si="2"/>
        <v>37867.112507920065</v>
      </c>
      <c r="V22" s="125">
        <f t="shared" si="3"/>
        <v>0</v>
      </c>
      <c r="W22" s="138">
        <f t="shared" si="4"/>
        <v>14.5</v>
      </c>
      <c r="X22" s="125">
        <f t="shared" si="5"/>
        <v>0.51672044231576797</v>
      </c>
      <c r="Y22" s="125">
        <f t="shared" si="6"/>
        <v>0.31840248485926437</v>
      </c>
      <c r="Z22" s="125">
        <f t="shared" si="7"/>
        <v>0</v>
      </c>
      <c r="AA22" s="125">
        <f t="shared" si="8"/>
        <v>0</v>
      </c>
      <c r="AB22" s="125">
        <f t="shared" si="34"/>
        <v>0.95</v>
      </c>
      <c r="AC22" s="125">
        <f t="shared" si="9"/>
        <v>0.4</v>
      </c>
      <c r="AD22" s="126">
        <f t="shared" si="10"/>
        <v>0</v>
      </c>
      <c r="AE22" s="126">
        <f t="shared" si="11"/>
        <v>0</v>
      </c>
      <c r="AF22" s="126">
        <f t="shared" si="12"/>
        <v>0</v>
      </c>
      <c r="AG22" s="126">
        <f t="shared" si="13"/>
        <v>0</v>
      </c>
      <c r="AH22" s="126">
        <f t="shared" si="14"/>
        <v>0</v>
      </c>
      <c r="AI22" s="139">
        <f t="shared" si="15"/>
        <v>0</v>
      </c>
      <c r="AK22" s="127"/>
      <c r="AL22" s="142">
        <f t="shared" si="35"/>
        <v>2038</v>
      </c>
      <c r="AM22" s="143">
        <f t="shared" si="35"/>
        <v>65</v>
      </c>
      <c r="AN22" s="143">
        <f t="shared" si="35"/>
        <v>30</v>
      </c>
      <c r="AO22" s="144">
        <f t="shared" si="36"/>
        <v>355445.9627410096</v>
      </c>
      <c r="AP22" s="143">
        <f t="shared" si="16"/>
        <v>1</v>
      </c>
      <c r="AQ22" s="144">
        <f t="shared" si="17"/>
        <v>133292.23602787862</v>
      </c>
      <c r="AR22" s="144">
        <f t="shared" si="18"/>
        <v>133292.23602787862</v>
      </c>
      <c r="AS22" s="143">
        <f t="shared" si="19"/>
        <v>14.5</v>
      </c>
      <c r="AT22" s="145">
        <f t="shared" si="20"/>
        <v>14.5</v>
      </c>
      <c r="AU22" s="143">
        <f t="shared" si="21"/>
        <v>0.51672044231576797</v>
      </c>
      <c r="AV22" s="143">
        <f t="shared" si="22"/>
        <v>0.51672044231576797</v>
      </c>
      <c r="AW22" s="143">
        <f t="shared" si="23"/>
        <v>1</v>
      </c>
      <c r="AX22" s="143">
        <f t="shared" si="24"/>
        <v>0</v>
      </c>
      <c r="AY22" s="143">
        <f t="shared" si="37"/>
        <v>0.6</v>
      </c>
      <c r="AZ22" s="143"/>
      <c r="BA22" s="143">
        <f t="shared" si="25"/>
        <v>0.5</v>
      </c>
      <c r="BB22" s="144">
        <f t="shared" si="26"/>
        <v>599210.96147097368</v>
      </c>
      <c r="BC22" s="144">
        <f t="shared" si="27"/>
        <v>0</v>
      </c>
      <c r="BD22" s="146">
        <f t="shared" si="28"/>
        <v>299605.48073548684</v>
      </c>
      <c r="BE22" s="146">
        <f t="shared" si="29"/>
        <v>0</v>
      </c>
      <c r="BF22" s="146">
        <f t="shared" si="30"/>
        <v>19973.698715699124</v>
      </c>
      <c r="BG22" s="147">
        <f t="shared" si="31"/>
        <v>0</v>
      </c>
    </row>
    <row r="23" spans="1:59">
      <c r="A23" s="55"/>
      <c r="B23" s="74" t="s">
        <v>58</v>
      </c>
      <c r="C23" s="1559" t="s">
        <v>59</v>
      </c>
      <c r="D23" s="1559"/>
      <c r="E23" s="1559"/>
      <c r="L23" s="148"/>
      <c r="N23"/>
      <c r="O23" s="136">
        <f t="shared" si="32"/>
        <v>2039</v>
      </c>
      <c r="P23" s="125">
        <f t="shared" si="32"/>
        <v>55</v>
      </c>
      <c r="Q23" s="125">
        <f t="shared" si="32"/>
        <v>26</v>
      </c>
      <c r="R23" s="126">
        <f t="shared" si="33"/>
        <v>125112.93972616788</v>
      </c>
      <c r="S23" s="125">
        <f t="shared" si="0"/>
        <v>0.7</v>
      </c>
      <c r="T23" s="126">
        <f t="shared" si="1"/>
        <v>28463.193787703189</v>
      </c>
      <c r="U23" s="126">
        <f t="shared" si="2"/>
        <v>40661.705411004565</v>
      </c>
      <c r="V23" s="125">
        <f t="shared" si="3"/>
        <v>17</v>
      </c>
      <c r="W23" s="138">
        <f t="shared" si="4"/>
        <v>14.5</v>
      </c>
      <c r="X23" s="125">
        <f t="shared" si="5"/>
        <v>0.49446932279020878</v>
      </c>
      <c r="Y23" s="125">
        <f t="shared" si="6"/>
        <v>0.31840248485926437</v>
      </c>
      <c r="Z23" s="125">
        <f t="shared" si="7"/>
        <v>0.4</v>
      </c>
      <c r="AA23" s="125">
        <f t="shared" si="8"/>
        <v>0</v>
      </c>
      <c r="AB23" s="125">
        <f t="shared" si="34"/>
        <v>0.95</v>
      </c>
      <c r="AC23" s="125">
        <f t="shared" si="9"/>
        <v>0.38461538461538464</v>
      </c>
      <c r="AD23" s="126">
        <f t="shared" si="10"/>
        <v>90919.177971972385</v>
      </c>
      <c r="AE23" s="126">
        <f t="shared" si="11"/>
        <v>0</v>
      </c>
      <c r="AF23" s="126">
        <f t="shared" si="12"/>
        <v>34968.914604604768</v>
      </c>
      <c r="AG23" s="126">
        <f t="shared" si="13"/>
        <v>0</v>
      </c>
      <c r="AH23" s="126">
        <f t="shared" si="14"/>
        <v>3496.891460460477</v>
      </c>
      <c r="AI23" s="139">
        <f t="shared" si="15"/>
        <v>0</v>
      </c>
      <c r="AK23" s="127"/>
      <c r="AL23" s="125"/>
      <c r="AM23" s="125"/>
      <c r="AN23" s="125"/>
      <c r="AO23" s="126"/>
      <c r="AP23" s="125"/>
      <c r="AQ23" s="126"/>
      <c r="AR23" s="126"/>
      <c r="AS23" s="125"/>
      <c r="AT23" s="138"/>
      <c r="AU23" s="125"/>
      <c r="AV23" s="125"/>
      <c r="AW23" s="125"/>
      <c r="AX23" s="125"/>
      <c r="AY23" s="125"/>
      <c r="AZ23" s="125"/>
      <c r="BA23" s="125"/>
      <c r="BB23" s="126"/>
      <c r="BC23" s="126"/>
      <c r="BD23" s="124">
        <f>SUM(BD7:BD22)</f>
        <v>484489.6622579713</v>
      </c>
      <c r="BE23" s="124">
        <f>SUM(BE7:BE22)</f>
        <v>0</v>
      </c>
      <c r="BF23" s="124">
        <f>SUM(BF7:BF22)</f>
        <v>32299.310817198086</v>
      </c>
      <c r="BG23" s="124">
        <f>SUM(BG7:BG22)</f>
        <v>0</v>
      </c>
    </row>
    <row r="24" spans="1:59">
      <c r="A24" s="55"/>
      <c r="L24" s="135"/>
      <c r="M24" s="148"/>
      <c r="N24"/>
      <c r="O24" s="136">
        <f t="shared" ref="O24:Q33" si="38">O23+1</f>
        <v>2040</v>
      </c>
      <c r="P24" s="125">
        <f t="shared" si="38"/>
        <v>56</v>
      </c>
      <c r="Q24" s="125">
        <f t="shared" si="38"/>
        <v>27</v>
      </c>
      <c r="R24" s="126">
        <f t="shared" si="33"/>
        <v>129179.11026726833</v>
      </c>
      <c r="S24" s="125">
        <f t="shared" si="0"/>
        <v>0.73</v>
      </c>
      <c r="T24" s="126">
        <f t="shared" si="1"/>
        <v>31826.503292098234</v>
      </c>
      <c r="U24" s="126">
        <f t="shared" si="2"/>
        <v>43597.94971520306</v>
      </c>
      <c r="V24" s="125">
        <f t="shared" si="3"/>
        <v>0</v>
      </c>
      <c r="W24" s="138">
        <f t="shared" si="4"/>
        <v>14.5</v>
      </c>
      <c r="X24" s="125">
        <f t="shared" si="5"/>
        <v>0.47317638544517582</v>
      </c>
      <c r="Y24" s="125">
        <f t="shared" si="6"/>
        <v>0.31840248485926437</v>
      </c>
      <c r="Z24" s="125">
        <f t="shared" si="7"/>
        <v>0</v>
      </c>
      <c r="AA24" s="125">
        <f t="shared" si="8"/>
        <v>0</v>
      </c>
      <c r="AB24" s="125">
        <f t="shared" si="34"/>
        <v>0.56999999999999995</v>
      </c>
      <c r="AC24" s="125">
        <f t="shared" si="9"/>
        <v>0.37037037037037035</v>
      </c>
      <c r="AD24" s="126">
        <f t="shared" si="10"/>
        <v>0</v>
      </c>
      <c r="AE24" s="126">
        <f t="shared" si="11"/>
        <v>0</v>
      </c>
      <c r="AF24" s="126">
        <f t="shared" si="12"/>
        <v>0</v>
      </c>
      <c r="AG24" s="126">
        <f t="shared" si="13"/>
        <v>0</v>
      </c>
      <c r="AH24" s="126">
        <f t="shared" si="14"/>
        <v>0</v>
      </c>
      <c r="AI24" s="139">
        <f t="shared" si="15"/>
        <v>0</v>
      </c>
      <c r="AK24" s="127"/>
      <c r="AL24" s="149" t="s">
        <v>194</v>
      </c>
      <c r="AM24" s="150">
        <f>SUM(BD23:BE23)</f>
        <v>484489.6622579713</v>
      </c>
      <c r="AN24" s="125"/>
      <c r="AO24" s="126"/>
      <c r="AP24" s="125"/>
      <c r="AQ24" s="126"/>
      <c r="AR24" s="126"/>
      <c r="AS24" s="125"/>
      <c r="AT24" s="138"/>
      <c r="AU24" s="125"/>
      <c r="AV24" s="125"/>
      <c r="AW24" s="125"/>
      <c r="AX24" s="125"/>
      <c r="AY24" s="125"/>
      <c r="AZ24" s="125"/>
      <c r="BA24" s="125"/>
      <c r="BB24" s="126"/>
      <c r="BC24" s="126"/>
      <c r="BD24" s="124"/>
      <c r="BE24" s="124"/>
      <c r="BF24" s="124"/>
      <c r="BG24" s="124"/>
    </row>
    <row r="25" spans="1:59">
      <c r="A25" s="55"/>
      <c r="B25" s="88" t="s">
        <v>195</v>
      </c>
      <c r="C25" s="88"/>
      <c r="D25" s="88"/>
      <c r="E25" s="151"/>
      <c r="F25" s="151"/>
      <c r="L25" s="122"/>
      <c r="N25"/>
      <c r="O25" s="136">
        <f t="shared" si="38"/>
        <v>2041</v>
      </c>
      <c r="P25" s="125">
        <f t="shared" si="38"/>
        <v>57</v>
      </c>
      <c r="Q25" s="125">
        <f t="shared" si="38"/>
        <v>28</v>
      </c>
      <c r="R25" s="126">
        <f t="shared" si="33"/>
        <v>133377.43135095455</v>
      </c>
      <c r="S25" s="125">
        <f t="shared" si="0"/>
        <v>0.76</v>
      </c>
      <c r="T25" s="126">
        <f t="shared" si="1"/>
        <v>35478.396739353913</v>
      </c>
      <c r="U25" s="126">
        <f t="shared" si="2"/>
        <v>46682.100972834094</v>
      </c>
      <c r="V25" s="125">
        <f t="shared" si="3"/>
        <v>0</v>
      </c>
      <c r="W25" s="138">
        <f t="shared" si="4"/>
        <v>14.5</v>
      </c>
      <c r="X25" s="125">
        <f t="shared" si="5"/>
        <v>0.45280036884705832</v>
      </c>
      <c r="Y25" s="125">
        <f t="shared" si="6"/>
        <v>0.31840248485926437</v>
      </c>
      <c r="Z25" s="125">
        <f t="shared" si="7"/>
        <v>0</v>
      </c>
      <c r="AA25" s="125">
        <f t="shared" si="8"/>
        <v>0</v>
      </c>
      <c r="AB25" s="125">
        <f t="shared" si="34"/>
        <v>0.56999999999999995</v>
      </c>
      <c r="AC25" s="125">
        <f t="shared" si="9"/>
        <v>0.35714285714285715</v>
      </c>
      <c r="AD25" s="126">
        <f t="shared" si="10"/>
        <v>0</v>
      </c>
      <c r="AE25" s="126">
        <f t="shared" si="11"/>
        <v>0</v>
      </c>
      <c r="AF25" s="126">
        <f t="shared" si="12"/>
        <v>0</v>
      </c>
      <c r="AG25" s="126">
        <f t="shared" si="13"/>
        <v>0</v>
      </c>
      <c r="AH25" s="126">
        <f t="shared" si="14"/>
        <v>0</v>
      </c>
      <c r="AI25" s="139">
        <f t="shared" si="15"/>
        <v>0</v>
      </c>
      <c r="AK25" s="127"/>
      <c r="AL25" s="152" t="s">
        <v>150</v>
      </c>
      <c r="AM25" s="153">
        <f>BF23</f>
        <v>32299.310817198086</v>
      </c>
      <c r="AN25" s="154"/>
      <c r="AO25" s="126"/>
      <c r="AP25" s="125"/>
      <c r="AQ25" s="126"/>
      <c r="AR25" s="126"/>
      <c r="AS25" s="125"/>
      <c r="AT25" s="138"/>
      <c r="AU25" s="125"/>
      <c r="AV25" s="125"/>
      <c r="AW25" s="125"/>
      <c r="AX25" s="125"/>
      <c r="AY25" s="125"/>
      <c r="AZ25" s="125"/>
      <c r="BA25" s="125"/>
      <c r="BB25" s="126"/>
      <c r="BC25" s="126"/>
      <c r="BD25" s="124"/>
      <c r="BE25" s="124"/>
      <c r="BF25" s="124"/>
      <c r="BG25" s="124"/>
    </row>
    <row r="26" spans="1:59">
      <c r="A26" s="55"/>
      <c r="B26" s="155"/>
      <c r="C26" s="155"/>
      <c r="D26" s="155"/>
      <c r="E26" s="151"/>
      <c r="F26" s="151"/>
      <c r="L26" s="135"/>
      <c r="N26"/>
      <c r="O26" s="136">
        <f t="shared" si="38"/>
        <v>2042</v>
      </c>
      <c r="P26" s="125">
        <f t="shared" si="38"/>
        <v>58</v>
      </c>
      <c r="Q26" s="125">
        <f t="shared" si="38"/>
        <v>29</v>
      </c>
      <c r="R26" s="126">
        <f t="shared" si="33"/>
        <v>137712.19786986057</v>
      </c>
      <c r="S26" s="125">
        <f t="shared" si="0"/>
        <v>0.79</v>
      </c>
      <c r="T26" s="126">
        <f t="shared" si="1"/>
        <v>39437.330664981324</v>
      </c>
      <c r="U26" s="126">
        <f t="shared" si="2"/>
        <v>49920.671727824461</v>
      </c>
      <c r="V26" s="125">
        <f t="shared" si="3"/>
        <v>0</v>
      </c>
      <c r="W26" s="138">
        <f t="shared" si="4"/>
        <v>14.5</v>
      </c>
      <c r="X26" s="125">
        <f t="shared" si="5"/>
        <v>0.43330178837039074</v>
      </c>
      <c r="Y26" s="125">
        <f t="shared" si="6"/>
        <v>0.31840248485926437</v>
      </c>
      <c r="Z26" s="125">
        <f t="shared" si="7"/>
        <v>0</v>
      </c>
      <c r="AA26" s="125">
        <f t="shared" si="8"/>
        <v>0</v>
      </c>
      <c r="AB26" s="125">
        <f t="shared" si="34"/>
        <v>0.56999999999999995</v>
      </c>
      <c r="AC26" s="125">
        <f t="shared" si="9"/>
        <v>0.34482758620689657</v>
      </c>
      <c r="AD26" s="126">
        <f t="shared" si="10"/>
        <v>0</v>
      </c>
      <c r="AE26" s="126">
        <f t="shared" si="11"/>
        <v>0</v>
      </c>
      <c r="AF26" s="126">
        <f t="shared" si="12"/>
        <v>0</v>
      </c>
      <c r="AG26" s="126">
        <f t="shared" si="13"/>
        <v>0</v>
      </c>
      <c r="AH26" s="126">
        <f t="shared" si="14"/>
        <v>0</v>
      </c>
      <c r="AI26" s="139">
        <f t="shared" si="15"/>
        <v>0</v>
      </c>
      <c r="AK26" s="127"/>
      <c r="AL26" s="125"/>
      <c r="AM26" s="125"/>
      <c r="AN26" s="125"/>
      <c r="AO26" s="126"/>
      <c r="AP26" s="125"/>
      <c r="AQ26" s="126"/>
      <c r="AR26" s="126"/>
      <c r="AS26" s="125"/>
      <c r="AT26" s="138"/>
      <c r="AU26" s="125"/>
      <c r="AV26" s="125"/>
      <c r="AW26" s="125"/>
      <c r="AX26" s="125"/>
      <c r="AY26" s="125"/>
      <c r="AZ26" s="125"/>
      <c r="BA26" s="125"/>
      <c r="BB26" s="126"/>
      <c r="BC26" s="126"/>
      <c r="BD26" s="124"/>
      <c r="BE26" s="124"/>
      <c r="BF26" s="124"/>
      <c r="BG26" s="124"/>
    </row>
    <row r="27" spans="1:59" ht="31.2">
      <c r="A27" s="55"/>
      <c r="B27" s="156"/>
      <c r="C27" s="157" t="s">
        <v>67</v>
      </c>
      <c r="D27" s="157" t="s">
        <v>68</v>
      </c>
      <c r="E27" s="151"/>
      <c r="F27" s="151"/>
      <c r="L27" s="135"/>
      <c r="N27"/>
      <c r="O27" s="136">
        <f t="shared" si="38"/>
        <v>2043</v>
      </c>
      <c r="P27" s="125">
        <f t="shared" si="38"/>
        <v>59</v>
      </c>
      <c r="Q27" s="125">
        <f t="shared" si="38"/>
        <v>30</v>
      </c>
      <c r="R27" s="126">
        <f t="shared" si="33"/>
        <v>142187.84430063103</v>
      </c>
      <c r="S27" s="125">
        <f t="shared" si="0"/>
        <v>0.82000000000000006</v>
      </c>
      <c r="T27" s="126">
        <f t="shared" si="1"/>
        <v>43722.762122444052</v>
      </c>
      <c r="U27" s="126">
        <f t="shared" si="2"/>
        <v>53320.441612736642</v>
      </c>
      <c r="V27" s="125">
        <f t="shared" si="3"/>
        <v>0</v>
      </c>
      <c r="W27" s="138">
        <f t="shared" si="4"/>
        <v>14.5</v>
      </c>
      <c r="X27" s="125">
        <f t="shared" si="5"/>
        <v>0.41464285968458453</v>
      </c>
      <c r="Y27" s="125">
        <f t="shared" si="6"/>
        <v>0.31840248485926437</v>
      </c>
      <c r="Z27" s="125">
        <f t="shared" si="7"/>
        <v>0</v>
      </c>
      <c r="AA27" s="125">
        <f t="shared" si="8"/>
        <v>0</v>
      </c>
      <c r="AB27" s="125">
        <f t="shared" si="34"/>
        <v>0.56999999999999995</v>
      </c>
      <c r="AC27" s="125">
        <f t="shared" si="9"/>
        <v>0.33333333333333331</v>
      </c>
      <c r="AD27" s="126">
        <f t="shared" si="10"/>
        <v>0</v>
      </c>
      <c r="AE27" s="126">
        <f t="shared" si="11"/>
        <v>0</v>
      </c>
      <c r="AF27" s="126">
        <f t="shared" si="12"/>
        <v>0</v>
      </c>
      <c r="AG27" s="126">
        <f t="shared" si="13"/>
        <v>0</v>
      </c>
      <c r="AH27" s="126">
        <f t="shared" si="14"/>
        <v>0</v>
      </c>
      <c r="AI27" s="139">
        <f t="shared" si="15"/>
        <v>0</v>
      </c>
      <c r="AK27" s="127"/>
      <c r="AL27" s="125"/>
      <c r="AM27" s="125"/>
      <c r="AN27" s="125"/>
      <c r="AO27" s="126"/>
      <c r="AP27" s="125"/>
      <c r="AQ27" s="126"/>
      <c r="AR27" s="126"/>
      <c r="AS27" s="125"/>
      <c r="AT27" s="138"/>
      <c r="AU27" s="125"/>
      <c r="AV27" s="125"/>
      <c r="AW27" s="125"/>
      <c r="AX27" s="125"/>
      <c r="AY27" s="125"/>
      <c r="AZ27" s="125"/>
      <c r="BA27" s="125"/>
      <c r="BB27" s="126"/>
      <c r="BC27" s="126"/>
      <c r="BD27" s="124"/>
      <c r="BE27" s="124"/>
      <c r="BF27" s="124"/>
      <c r="BG27" s="124"/>
    </row>
    <row r="28" spans="1:59">
      <c r="A28" s="55"/>
      <c r="B28" s="78" t="s">
        <v>196</v>
      </c>
      <c r="C28" s="156">
        <v>39</v>
      </c>
      <c r="D28" s="156">
        <v>50</v>
      </c>
      <c r="E28" s="158"/>
      <c r="F28" s="158"/>
      <c r="L28" s="135"/>
      <c r="N28"/>
      <c r="O28" s="136">
        <f t="shared" si="38"/>
        <v>2044</v>
      </c>
      <c r="P28" s="125">
        <f t="shared" si="38"/>
        <v>60</v>
      </c>
      <c r="Q28" s="125">
        <f t="shared" si="38"/>
        <v>31</v>
      </c>
      <c r="R28" s="126">
        <f t="shared" si="33"/>
        <v>146808.94924040153</v>
      </c>
      <c r="S28" s="125">
        <f t="shared" si="0"/>
        <v>0.85</v>
      </c>
      <c r="T28" s="126">
        <f t="shared" si="1"/>
        <v>48355.197656057251</v>
      </c>
      <c r="U28" s="126">
        <f t="shared" si="2"/>
        <v>56888.467830655602</v>
      </c>
      <c r="V28" s="125">
        <f t="shared" si="3"/>
        <v>0</v>
      </c>
      <c r="W28" s="138">
        <f t="shared" si="4"/>
        <v>14.5</v>
      </c>
      <c r="X28" s="125">
        <f t="shared" si="5"/>
        <v>0.39678742553548757</v>
      </c>
      <c r="Y28" s="125">
        <f t="shared" si="6"/>
        <v>0.31840248485926437</v>
      </c>
      <c r="Z28" s="125">
        <f t="shared" si="7"/>
        <v>0</v>
      </c>
      <c r="AA28" s="125">
        <f t="shared" si="8"/>
        <v>0</v>
      </c>
      <c r="AB28" s="125">
        <f t="shared" si="34"/>
        <v>0.56999999999999995</v>
      </c>
      <c r="AC28" s="125">
        <f t="shared" si="9"/>
        <v>0.32258064516129031</v>
      </c>
      <c r="AD28" s="126">
        <f t="shared" si="10"/>
        <v>0</v>
      </c>
      <c r="AE28" s="126">
        <f t="shared" si="11"/>
        <v>0</v>
      </c>
      <c r="AF28" s="126">
        <f t="shared" si="12"/>
        <v>0</v>
      </c>
      <c r="AG28" s="126">
        <f t="shared" si="13"/>
        <v>0</v>
      </c>
      <c r="AH28" s="126">
        <f t="shared" si="14"/>
        <v>0</v>
      </c>
      <c r="AI28" s="139">
        <f t="shared" si="15"/>
        <v>0</v>
      </c>
      <c r="AK28" s="127"/>
      <c r="AL28" s="125"/>
      <c r="AM28" s="125"/>
      <c r="AN28" s="125"/>
      <c r="AO28" s="126"/>
      <c r="AP28" s="125"/>
      <c r="AQ28" s="126"/>
      <c r="AR28" s="126"/>
      <c r="AS28" s="125"/>
      <c r="AT28" s="138"/>
      <c r="AU28" s="125"/>
      <c r="AV28" s="125"/>
      <c r="AW28" s="125"/>
      <c r="AX28" s="125"/>
      <c r="AY28" s="125"/>
      <c r="AZ28" s="125"/>
      <c r="BA28" s="125"/>
      <c r="BB28" s="126"/>
      <c r="BC28" s="126"/>
      <c r="BD28" s="124"/>
      <c r="BE28" s="124"/>
      <c r="BF28" s="124"/>
      <c r="BG28" s="124"/>
    </row>
    <row r="29" spans="1:59">
      <c r="A29" s="55"/>
      <c r="B29" s="78" t="s">
        <v>197</v>
      </c>
      <c r="C29" s="156" t="s">
        <v>198</v>
      </c>
      <c r="D29" s="156" t="s">
        <v>199</v>
      </c>
      <c r="E29" s="158"/>
      <c r="F29" s="158"/>
      <c r="N29"/>
      <c r="O29" s="136">
        <f t="shared" si="38"/>
        <v>2045</v>
      </c>
      <c r="P29" s="125">
        <f t="shared" si="38"/>
        <v>61</v>
      </c>
      <c r="Q29" s="125">
        <f t="shared" si="38"/>
        <v>32</v>
      </c>
      <c r="R29" s="126">
        <f t="shared" si="33"/>
        <v>151580.24009071459</v>
      </c>
      <c r="S29" s="125">
        <f t="shared" si="0"/>
        <v>0.88</v>
      </c>
      <c r="T29" s="126">
        <f t="shared" si="1"/>
        <v>53356.244511931545</v>
      </c>
      <c r="U29" s="126">
        <f t="shared" si="2"/>
        <v>60632.096036285839</v>
      </c>
      <c r="V29" s="125">
        <f t="shared" si="3"/>
        <v>0</v>
      </c>
      <c r="W29" s="138">
        <f t="shared" si="4"/>
        <v>14.5</v>
      </c>
      <c r="X29" s="125">
        <f t="shared" si="5"/>
        <v>0.37970088567989252</v>
      </c>
      <c r="Y29" s="125">
        <f t="shared" si="6"/>
        <v>0.31840248485926437</v>
      </c>
      <c r="Z29" s="125">
        <f t="shared" si="7"/>
        <v>0</v>
      </c>
      <c r="AA29" s="125">
        <f t="shared" si="8"/>
        <v>0</v>
      </c>
      <c r="AB29" s="125">
        <f t="shared" si="34"/>
        <v>0.56999999999999995</v>
      </c>
      <c r="AC29" s="125">
        <f t="shared" si="9"/>
        <v>0.3125</v>
      </c>
      <c r="AD29" s="126">
        <f t="shared" si="10"/>
        <v>0</v>
      </c>
      <c r="AE29" s="126">
        <f t="shared" si="11"/>
        <v>0</v>
      </c>
      <c r="AF29" s="126">
        <f t="shared" si="12"/>
        <v>0</v>
      </c>
      <c r="AG29" s="126">
        <f t="shared" si="13"/>
        <v>0</v>
      </c>
      <c r="AH29" s="126">
        <f t="shared" si="14"/>
        <v>0</v>
      </c>
      <c r="AI29" s="139">
        <f t="shared" si="15"/>
        <v>0</v>
      </c>
      <c r="AK29" s="127"/>
      <c r="AL29" s="125"/>
      <c r="AM29" s="125"/>
      <c r="AN29" s="125"/>
      <c r="AO29" s="126"/>
      <c r="AP29" s="125"/>
      <c r="AQ29" s="126"/>
      <c r="AR29" s="126"/>
      <c r="AS29" s="125"/>
      <c r="AT29" s="138"/>
      <c r="AU29" s="125"/>
      <c r="AV29" s="125"/>
      <c r="AW29" s="125"/>
      <c r="AX29" s="125"/>
      <c r="AY29" s="125"/>
      <c r="AZ29" s="125"/>
      <c r="BA29" s="125"/>
      <c r="BB29" s="126"/>
      <c r="BC29" s="126"/>
      <c r="BD29" s="124"/>
      <c r="BE29" s="124"/>
      <c r="BF29" s="124"/>
      <c r="BG29" s="124"/>
    </row>
    <row r="30" spans="1:59">
      <c r="A30" s="55"/>
      <c r="B30" s="78" t="s">
        <v>200</v>
      </c>
      <c r="C30" s="159">
        <v>75000</v>
      </c>
      <c r="D30" s="156" t="s">
        <v>201</v>
      </c>
      <c r="E30" s="158"/>
      <c r="F30" s="158"/>
      <c r="N30"/>
      <c r="O30" s="136">
        <f t="shared" si="38"/>
        <v>2046</v>
      </c>
      <c r="P30" s="125">
        <f t="shared" si="38"/>
        <v>62</v>
      </c>
      <c r="Q30" s="125">
        <f t="shared" si="38"/>
        <v>33</v>
      </c>
      <c r="R30" s="126">
        <f t="shared" si="33"/>
        <v>156506.59789366281</v>
      </c>
      <c r="S30" s="125">
        <f t="shared" si="0"/>
        <v>0.91</v>
      </c>
      <c r="T30" s="126">
        <f t="shared" si="1"/>
        <v>58748.664184333684</v>
      </c>
      <c r="U30" s="126">
        <f t="shared" si="2"/>
        <v>64558.971631135915</v>
      </c>
      <c r="V30" s="125">
        <f t="shared" si="3"/>
        <v>0</v>
      </c>
      <c r="W30" s="138">
        <f t="shared" si="4"/>
        <v>14.5</v>
      </c>
      <c r="X30" s="125">
        <f t="shared" si="5"/>
        <v>0.36335012983721771</v>
      </c>
      <c r="Y30" s="125">
        <f t="shared" si="6"/>
        <v>0.31840248485926437</v>
      </c>
      <c r="Z30" s="125">
        <f t="shared" si="7"/>
        <v>0</v>
      </c>
      <c r="AA30" s="125">
        <f t="shared" si="8"/>
        <v>0</v>
      </c>
      <c r="AB30" s="125">
        <f t="shared" si="34"/>
        <v>0.56999999999999995</v>
      </c>
      <c r="AC30" s="125">
        <f t="shared" si="9"/>
        <v>0.30303030303030304</v>
      </c>
      <c r="AD30" s="126">
        <f t="shared" si="10"/>
        <v>0</v>
      </c>
      <c r="AE30" s="126">
        <f t="shared" si="11"/>
        <v>0</v>
      </c>
      <c r="AF30" s="126">
        <f t="shared" si="12"/>
        <v>0</v>
      </c>
      <c r="AG30" s="126">
        <f t="shared" si="13"/>
        <v>0</v>
      </c>
      <c r="AH30" s="126">
        <f t="shared" si="14"/>
        <v>0</v>
      </c>
      <c r="AI30" s="139">
        <f t="shared" si="15"/>
        <v>0</v>
      </c>
      <c r="AK30" s="127"/>
      <c r="AL30" s="125"/>
      <c r="AM30" s="125"/>
      <c r="AN30" s="125"/>
      <c r="AO30" s="126"/>
      <c r="AP30" s="125"/>
      <c r="AQ30" s="126"/>
      <c r="AR30" s="126"/>
      <c r="AS30" s="125"/>
      <c r="AT30" s="138"/>
      <c r="AU30" s="125"/>
      <c r="AV30" s="125"/>
      <c r="AW30" s="125"/>
      <c r="AX30" s="125"/>
      <c r="AY30" s="125"/>
      <c r="AZ30" s="125"/>
      <c r="BA30" s="125"/>
      <c r="BB30" s="126"/>
      <c r="BC30" s="126"/>
      <c r="BD30" s="124"/>
      <c r="BE30" s="124"/>
      <c r="BF30" s="124"/>
      <c r="BG30" s="124"/>
    </row>
    <row r="31" spans="1:59">
      <c r="A31" s="55"/>
      <c r="E31" s="158"/>
      <c r="F31" s="158"/>
      <c r="L31" s="122"/>
      <c r="N31"/>
      <c r="O31" s="136">
        <f t="shared" si="38"/>
        <v>2047</v>
      </c>
      <c r="P31" s="125">
        <f t="shared" si="38"/>
        <v>63</v>
      </c>
      <c r="Q31" s="125">
        <f t="shared" si="38"/>
        <v>34</v>
      </c>
      <c r="R31" s="126">
        <f t="shared" si="33"/>
        <v>161593.06232520685</v>
      </c>
      <c r="S31" s="125">
        <f t="shared" si="0"/>
        <v>0.94</v>
      </c>
      <c r="T31" s="126">
        <f t="shared" si="1"/>
        <v>64556.428398920129</v>
      </c>
      <c r="U31" s="126">
        <f t="shared" si="2"/>
        <v>68677.051488212906</v>
      </c>
      <c r="V31" s="125">
        <f t="shared" si="3"/>
        <v>0</v>
      </c>
      <c r="W31" s="138">
        <f t="shared" si="4"/>
        <v>14.5</v>
      </c>
      <c r="X31" s="125">
        <f t="shared" si="5"/>
        <v>0.34770347352843806</v>
      </c>
      <c r="Y31" s="125">
        <f t="shared" si="6"/>
        <v>0.31840248485926437</v>
      </c>
      <c r="Z31" s="125">
        <f t="shared" si="7"/>
        <v>0</v>
      </c>
      <c r="AA31" s="125">
        <f t="shared" si="8"/>
        <v>0</v>
      </c>
      <c r="AB31" s="125">
        <f t="shared" si="34"/>
        <v>0.56999999999999995</v>
      </c>
      <c r="AC31" s="125">
        <f t="shared" si="9"/>
        <v>0.29411764705882354</v>
      </c>
      <c r="AD31" s="126">
        <f t="shared" si="10"/>
        <v>0</v>
      </c>
      <c r="AE31" s="126">
        <f t="shared" si="11"/>
        <v>0</v>
      </c>
      <c r="AF31" s="126">
        <f t="shared" si="12"/>
        <v>0</v>
      </c>
      <c r="AG31" s="126">
        <f t="shared" si="13"/>
        <v>0</v>
      </c>
      <c r="AH31" s="126">
        <f t="shared" si="14"/>
        <v>0</v>
      </c>
      <c r="AI31" s="139">
        <f t="shared" si="15"/>
        <v>0</v>
      </c>
      <c r="AK31" s="127"/>
      <c r="AL31" s="125"/>
      <c r="AM31" s="125"/>
      <c r="AN31" s="125"/>
      <c r="AO31" s="126"/>
      <c r="AP31" s="125"/>
      <c r="AQ31" s="126"/>
      <c r="AR31" s="126"/>
      <c r="AS31" s="125"/>
      <c r="AT31" s="138"/>
      <c r="AU31" s="125"/>
      <c r="AV31" s="125"/>
      <c r="AW31" s="125"/>
      <c r="AX31" s="125"/>
      <c r="AY31" s="125"/>
      <c r="AZ31" s="125"/>
      <c r="BA31" s="125"/>
      <c r="BB31" s="126"/>
      <c r="BC31" s="126"/>
      <c r="BD31" s="124"/>
      <c r="BE31" s="124"/>
      <c r="BF31" s="124"/>
      <c r="BG31" s="124"/>
    </row>
    <row r="32" spans="1:59">
      <c r="A32" s="55"/>
      <c r="B32" s="88" t="s">
        <v>202</v>
      </c>
      <c r="C32" s="88"/>
      <c r="D32" s="88"/>
      <c r="E32" s="158"/>
      <c r="F32" s="158"/>
      <c r="L32" s="122"/>
      <c r="N32"/>
      <c r="O32" s="136">
        <f t="shared" si="38"/>
        <v>2048</v>
      </c>
      <c r="P32" s="125">
        <f t="shared" si="38"/>
        <v>64</v>
      </c>
      <c r="Q32" s="125">
        <f t="shared" si="38"/>
        <v>35</v>
      </c>
      <c r="R32" s="126">
        <f t="shared" si="33"/>
        <v>166844.83685077608</v>
      </c>
      <c r="S32" s="125">
        <f t="shared" si="0"/>
        <v>0.97</v>
      </c>
      <c r="T32" s="126">
        <f t="shared" si="1"/>
        <v>70804.777638548112</v>
      </c>
      <c r="U32" s="126">
        <f t="shared" si="2"/>
        <v>72994.616122214531</v>
      </c>
      <c r="V32" s="125">
        <f t="shared" si="3"/>
        <v>0</v>
      </c>
      <c r="W32" s="138">
        <f t="shared" si="4"/>
        <v>14.5</v>
      </c>
      <c r="X32" s="125">
        <f t="shared" si="5"/>
        <v>0.3327305966779312</v>
      </c>
      <c r="Y32" s="125">
        <f t="shared" si="6"/>
        <v>0.31840248485926437</v>
      </c>
      <c r="Z32" s="125">
        <f t="shared" si="7"/>
        <v>0</v>
      </c>
      <c r="AA32" s="125">
        <f t="shared" si="8"/>
        <v>0</v>
      </c>
      <c r="AB32" s="125">
        <f t="shared" si="34"/>
        <v>0.56999999999999995</v>
      </c>
      <c r="AC32" s="125">
        <f t="shared" si="9"/>
        <v>0.2857142857142857</v>
      </c>
      <c r="AD32" s="126">
        <f t="shared" si="10"/>
        <v>0</v>
      </c>
      <c r="AE32" s="126">
        <f t="shared" si="11"/>
        <v>0</v>
      </c>
      <c r="AF32" s="126">
        <f t="shared" si="12"/>
        <v>0</v>
      </c>
      <c r="AG32" s="126">
        <f t="shared" si="13"/>
        <v>0</v>
      </c>
      <c r="AH32" s="126">
        <f t="shared" si="14"/>
        <v>0</v>
      </c>
      <c r="AI32" s="139">
        <f t="shared" si="15"/>
        <v>0</v>
      </c>
      <c r="AK32" s="127"/>
      <c r="AL32" s="125"/>
      <c r="AM32" s="125"/>
      <c r="AN32" s="125"/>
      <c r="AO32" s="126"/>
      <c r="AP32" s="125"/>
      <c r="AQ32" s="126"/>
      <c r="AR32" s="126"/>
      <c r="AS32" s="125"/>
      <c r="AT32" s="138"/>
      <c r="AU32" s="125"/>
      <c r="AV32" s="125"/>
      <c r="AW32" s="125"/>
      <c r="AX32" s="125"/>
      <c r="AY32" s="125"/>
      <c r="AZ32" s="125"/>
      <c r="BA32" s="125"/>
      <c r="BB32" s="126"/>
      <c r="BC32" s="126"/>
      <c r="BD32" s="124"/>
      <c r="BE32" s="124"/>
      <c r="BF32" s="124"/>
      <c r="BG32" s="124"/>
    </row>
    <row r="33" spans="1:66">
      <c r="A33" s="55"/>
      <c r="B33" s="97" t="s">
        <v>161</v>
      </c>
      <c r="C33" s="97"/>
      <c r="D33" s="97"/>
      <c r="E33" s="158"/>
      <c r="F33" s="158"/>
      <c r="L33" s="135"/>
      <c r="N33"/>
      <c r="O33" s="142">
        <f t="shared" si="38"/>
        <v>2049</v>
      </c>
      <c r="P33" s="143">
        <f t="shared" si="38"/>
        <v>65</v>
      </c>
      <c r="Q33" s="143">
        <f t="shared" si="38"/>
        <v>36</v>
      </c>
      <c r="R33" s="144">
        <f t="shared" si="33"/>
        <v>172267.29404842629</v>
      </c>
      <c r="S33" s="143">
        <f t="shared" si="0"/>
        <v>1</v>
      </c>
      <c r="T33" s="144">
        <f t="shared" si="1"/>
        <v>77520.282321791834</v>
      </c>
      <c r="U33" s="144">
        <f t="shared" si="2"/>
        <v>77520.282321791834</v>
      </c>
      <c r="V33" s="143">
        <f t="shared" si="3"/>
        <v>14.5</v>
      </c>
      <c r="W33" s="145">
        <f t="shared" si="4"/>
        <v>14.5</v>
      </c>
      <c r="X33" s="143">
        <f t="shared" si="5"/>
        <v>0.31840248485926437</v>
      </c>
      <c r="Y33" s="143">
        <f t="shared" si="6"/>
        <v>0.31840248485926437</v>
      </c>
      <c r="Z33" s="143">
        <f t="shared" si="7"/>
        <v>1</v>
      </c>
      <c r="AA33" s="143">
        <f t="shared" si="8"/>
        <v>0</v>
      </c>
      <c r="AB33" s="143">
        <f t="shared" si="34"/>
        <v>0.56999999999999995</v>
      </c>
      <c r="AC33" s="143">
        <f t="shared" si="9"/>
        <v>0.27777777777777779</v>
      </c>
      <c r="AD33" s="144">
        <f t="shared" si="10"/>
        <v>204002.10653333805</v>
      </c>
      <c r="AE33" s="144">
        <f t="shared" si="11"/>
        <v>0</v>
      </c>
      <c r="AF33" s="144">
        <f t="shared" si="12"/>
        <v>56667.251814816125</v>
      </c>
      <c r="AG33" s="144">
        <f t="shared" si="13"/>
        <v>0</v>
      </c>
      <c r="AH33" s="144">
        <f t="shared" si="14"/>
        <v>5666.7251814816127</v>
      </c>
      <c r="AI33" s="153">
        <f t="shared" si="15"/>
        <v>0</v>
      </c>
      <c r="AK33" s="127"/>
      <c r="AL33" s="125"/>
      <c r="AM33" s="125"/>
      <c r="AN33" s="125"/>
      <c r="AO33" s="126"/>
      <c r="AP33" s="125"/>
      <c r="AQ33" s="126"/>
      <c r="AR33" s="126"/>
      <c r="AS33" s="125"/>
      <c r="AT33" s="138"/>
      <c r="AU33" s="125"/>
      <c r="AV33" s="125"/>
      <c r="AW33" s="125"/>
      <c r="AX33" s="125"/>
      <c r="AY33" s="125"/>
      <c r="AZ33" s="125"/>
      <c r="BA33" s="125"/>
      <c r="BB33" s="126"/>
      <c r="BC33" s="126"/>
      <c r="BD33" s="124"/>
      <c r="BE33" s="124"/>
      <c r="BF33" s="124"/>
      <c r="BG33" s="124"/>
    </row>
    <row r="34" spans="1:66" customFormat="1">
      <c r="A34" s="55"/>
      <c r="B34" s="52"/>
      <c r="C34" s="160">
        <v>14.5</v>
      </c>
      <c r="D34" s="52"/>
      <c r="E34" s="158"/>
      <c r="F34" s="158"/>
      <c r="G34" s="52"/>
      <c r="H34" s="52"/>
      <c r="I34" s="52"/>
      <c r="J34" s="120"/>
      <c r="K34" s="121"/>
      <c r="L34" s="135"/>
      <c r="M34" s="123"/>
      <c r="N34" s="125"/>
      <c r="O34" s="125"/>
      <c r="P34" s="125"/>
      <c r="Q34" s="125"/>
      <c r="R34" s="126"/>
      <c r="S34" s="125"/>
      <c r="T34" s="126"/>
      <c r="U34" s="126"/>
      <c r="V34" s="125"/>
      <c r="W34" s="138"/>
      <c r="X34" s="125"/>
      <c r="Y34" s="125"/>
      <c r="Z34" s="125"/>
      <c r="AA34" s="125"/>
      <c r="AB34" s="125"/>
      <c r="AC34" s="125"/>
      <c r="AD34" s="126"/>
      <c r="AE34" s="126"/>
      <c r="AF34" s="126">
        <f>SUM(AF7:AF33)</f>
        <v>91636.166419420886</v>
      </c>
      <c r="AG34" s="126">
        <f>SUM(AG7:AG33)</f>
        <v>2164.1418892778129</v>
      </c>
      <c r="AH34" s="126">
        <f>SUM(AH7:AH33)</f>
        <v>9163.6166419420897</v>
      </c>
      <c r="AI34" s="126">
        <f>SUM(AI7:AI33)</f>
        <v>216.41418892778128</v>
      </c>
      <c r="AJ34" s="123"/>
      <c r="AK34" s="127"/>
      <c r="AL34" s="125"/>
      <c r="AM34" s="125"/>
      <c r="AN34" s="125"/>
      <c r="AO34" s="126"/>
      <c r="AP34" s="125"/>
      <c r="AQ34" s="126"/>
      <c r="AR34" s="126"/>
      <c r="AS34" s="125"/>
      <c r="AT34" s="138"/>
      <c r="AU34" s="125"/>
      <c r="AV34" s="125"/>
      <c r="AW34" s="125"/>
      <c r="AX34" s="125"/>
      <c r="AY34" s="125"/>
      <c r="AZ34" s="125"/>
      <c r="BA34" s="125"/>
      <c r="BB34" s="126"/>
      <c r="BC34" s="126"/>
      <c r="BD34" s="124"/>
      <c r="BE34" s="124"/>
      <c r="BF34" s="124"/>
      <c r="BG34" s="124"/>
      <c r="BH34" s="120"/>
      <c r="BI34" s="120"/>
      <c r="BJ34" s="120"/>
      <c r="BK34" s="120"/>
      <c r="BL34" s="120"/>
      <c r="BM34" s="120"/>
      <c r="BN34" s="120"/>
    </row>
    <row r="35" spans="1:66">
      <c r="A35" s="55"/>
      <c r="C35" s="160">
        <v>17</v>
      </c>
      <c r="E35" s="158"/>
      <c r="F35" s="158"/>
      <c r="L35" s="135"/>
      <c r="O35" s="149" t="s">
        <v>194</v>
      </c>
      <c r="P35" s="150">
        <f>SUM(AF34:AG34)</f>
        <v>93800.308308698703</v>
      </c>
      <c r="R35" s="125"/>
      <c r="S35" s="125"/>
      <c r="T35" s="126"/>
      <c r="U35" s="126"/>
      <c r="V35" s="125"/>
      <c r="W35" s="138"/>
      <c r="X35" s="125"/>
      <c r="Y35" s="125"/>
      <c r="Z35" s="125"/>
      <c r="AA35" s="125"/>
      <c r="AB35" s="125"/>
      <c r="AC35" s="125"/>
      <c r="AD35" s="125"/>
      <c r="AE35" s="126"/>
      <c r="AF35" s="126"/>
      <c r="AG35"/>
      <c r="AH35" s="126"/>
      <c r="AI35" s="126"/>
      <c r="AJ35" s="126"/>
      <c r="AK35" s="127"/>
      <c r="AL35" s="125"/>
      <c r="AM35" s="125"/>
      <c r="AN35" s="125"/>
      <c r="AO35" s="126"/>
      <c r="AP35" s="125"/>
      <c r="AQ35" s="126"/>
      <c r="AR35" s="126"/>
      <c r="AS35" s="125"/>
      <c r="AT35" s="138"/>
      <c r="AU35" s="125"/>
      <c r="AV35" s="125"/>
      <c r="AW35" s="125"/>
      <c r="AX35" s="125"/>
      <c r="AY35" s="125"/>
      <c r="AZ35" s="125"/>
      <c r="BA35" s="125"/>
      <c r="BB35" s="126"/>
      <c r="BC35" s="126"/>
      <c r="BD35" s="124"/>
      <c r="BE35" s="124"/>
      <c r="BF35" s="124"/>
      <c r="BG35" s="124"/>
    </row>
    <row r="36" spans="1:66">
      <c r="A36" s="55"/>
      <c r="C36" s="161"/>
      <c r="E36" s="158"/>
      <c r="F36" s="158"/>
      <c r="L36" s="135"/>
      <c r="O36" s="152" t="s">
        <v>150</v>
      </c>
      <c r="P36" s="153">
        <f>AH34</f>
        <v>9163.6166419420897</v>
      </c>
      <c r="Q36" s="154" t="s">
        <v>203</v>
      </c>
      <c r="S36" s="125"/>
      <c r="T36" s="126"/>
      <c r="U36" s="126"/>
      <c r="V36" s="125"/>
      <c r="W36" s="138"/>
      <c r="X36" s="125"/>
      <c r="Y36" s="125"/>
      <c r="Z36" s="125"/>
      <c r="AA36" s="125"/>
      <c r="AB36" s="125"/>
      <c r="AC36" s="125"/>
      <c r="AD36" s="125"/>
      <c r="AE36" s="126"/>
      <c r="AF36" s="126"/>
      <c r="AG36" s="126"/>
      <c r="AH36" s="126"/>
      <c r="AI36" s="126"/>
      <c r="AJ36" s="126"/>
      <c r="AK36" s="127"/>
      <c r="AL36" s="125"/>
      <c r="AM36" s="125"/>
      <c r="AN36" s="125"/>
      <c r="AO36" s="126"/>
      <c r="AP36" s="125"/>
      <c r="AQ36" s="126"/>
      <c r="AR36" s="126"/>
      <c r="AS36" s="125"/>
      <c r="AT36" s="138"/>
      <c r="AU36" s="125"/>
      <c r="AV36" s="125"/>
      <c r="AW36" s="125"/>
      <c r="AX36" s="125"/>
      <c r="AY36" s="125"/>
      <c r="AZ36" s="125"/>
      <c r="BA36" s="125"/>
      <c r="BB36" s="126"/>
      <c r="BC36" s="126"/>
      <c r="BD36" s="124"/>
      <c r="BE36" s="124"/>
      <c r="BF36" s="124"/>
      <c r="BG36" s="124"/>
    </row>
    <row r="37" spans="1:66">
      <c r="A37" s="55"/>
      <c r="B37" s="162" t="s">
        <v>204</v>
      </c>
      <c r="C37" s="162"/>
      <c r="D37" s="162"/>
      <c r="E37" s="162"/>
      <c r="F37" s="162"/>
      <c r="L37" s="135"/>
      <c r="N37" s="125"/>
      <c r="O37" s="125"/>
      <c r="P37" s="125"/>
      <c r="Q37" s="125"/>
      <c r="R37" s="126"/>
      <c r="S37" s="125"/>
      <c r="T37" s="126"/>
      <c r="U37" s="126"/>
      <c r="V37" s="125"/>
      <c r="W37" s="138"/>
      <c r="X37" s="125"/>
      <c r="Y37" s="125"/>
      <c r="Z37" s="125"/>
      <c r="AA37" s="125"/>
      <c r="AB37" s="125"/>
      <c r="AC37" s="125"/>
      <c r="AD37" s="125"/>
      <c r="AE37" s="126"/>
      <c r="AF37" s="126"/>
      <c r="AG37" s="126"/>
      <c r="AH37" s="126"/>
      <c r="AI37" s="126"/>
      <c r="AJ37" s="126"/>
      <c r="AK37" s="127"/>
      <c r="AL37" s="125"/>
      <c r="AM37" s="125"/>
      <c r="AN37" s="125"/>
      <c r="AO37" s="126"/>
      <c r="AP37" s="125"/>
      <c r="AQ37" s="126"/>
      <c r="AR37" s="126"/>
      <c r="AS37" s="125"/>
      <c r="AT37" s="138"/>
      <c r="AU37" s="125"/>
      <c r="AV37" s="125"/>
      <c r="AW37" s="125"/>
      <c r="AX37" s="125"/>
      <c r="AY37" s="125"/>
      <c r="AZ37" s="125"/>
      <c r="BA37"/>
      <c r="BB37"/>
      <c r="BC37"/>
      <c r="BD37"/>
      <c r="BE37"/>
      <c r="BF37"/>
      <c r="BG37"/>
      <c r="BH37"/>
    </row>
    <row r="38" spans="1:66">
      <c r="A38" s="55"/>
      <c r="B38" s="162"/>
      <c r="C38" s="162"/>
      <c r="D38" s="162"/>
      <c r="E38" s="162"/>
      <c r="F38" s="162"/>
      <c r="L38" s="135"/>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c r="BB38"/>
      <c r="BC38"/>
      <c r="BD38"/>
      <c r="BE38"/>
      <c r="BF38"/>
      <c r="BG38"/>
      <c r="BH38"/>
      <c r="BI38"/>
      <c r="BJ38"/>
      <c r="BK38"/>
      <c r="BL38"/>
      <c r="BM38"/>
      <c r="BN38"/>
    </row>
    <row r="39" spans="1:66">
      <c r="A39" s="55"/>
      <c r="B39" s="1455" t="s">
        <v>95</v>
      </c>
      <c r="C39" s="1456"/>
      <c r="D39" s="1456"/>
      <c r="E39" s="1456"/>
      <c r="F39" s="1457"/>
      <c r="L39" s="135"/>
      <c r="N39" s="125"/>
      <c r="O39" s="125"/>
      <c r="P39" s="125"/>
      <c r="Q39" s="125"/>
      <c r="R39" s="125"/>
      <c r="S39" s="125"/>
      <c r="T39" s="125"/>
      <c r="U39" s="125"/>
      <c r="V39" s="125"/>
      <c r="W39" s="125"/>
      <c r="X39" s="125"/>
      <c r="Y39" s="125"/>
      <c r="Z39" s="125"/>
      <c r="AA39" s="125"/>
      <c r="AB39" s="125"/>
      <c r="AC39" s="125"/>
      <c r="AD39" s="125"/>
      <c r="AE39"/>
      <c r="AF39"/>
      <c r="AG39"/>
      <c r="AH39"/>
      <c r="AI39"/>
      <c r="AJ39"/>
      <c r="AK39" s="127"/>
      <c r="AL39" s="125"/>
      <c r="AM39" s="125"/>
      <c r="AN39" s="125"/>
      <c r="AO39" s="125"/>
      <c r="AP39" s="125"/>
      <c r="AQ39" s="125"/>
      <c r="AR39" s="125"/>
      <c r="AS39" s="125"/>
      <c r="AT39" s="125"/>
      <c r="AU39" s="125"/>
      <c r="AV39" s="125"/>
      <c r="AW39" s="125"/>
      <c r="AX39" s="125"/>
      <c r="AY39" s="125"/>
      <c r="AZ39" s="125"/>
      <c r="BA39"/>
      <c r="BB39"/>
      <c r="BC39"/>
      <c r="BD39"/>
      <c r="BE39"/>
      <c r="BF39"/>
      <c r="BG39"/>
      <c r="BH39"/>
    </row>
    <row r="40" spans="1:66">
      <c r="A40" s="55"/>
      <c r="B40" s="1458"/>
      <c r="C40" s="1459"/>
      <c r="D40" s="1459"/>
      <c r="E40" s="1459"/>
      <c r="F40" s="1460"/>
      <c r="N40" s="122" t="s">
        <v>205</v>
      </c>
      <c r="O40" s="125"/>
      <c r="P40" s="125"/>
      <c r="Q40" s="125"/>
      <c r="R40" s="125"/>
      <c r="S40" s="125"/>
      <c r="T40" s="125"/>
      <c r="U40" s="125"/>
      <c r="V40" s="125"/>
      <c r="W40" s="125"/>
      <c r="X40" s="125"/>
      <c r="Y40" s="125"/>
      <c r="Z40" s="125"/>
      <c r="AA40" s="125"/>
      <c r="AB40" s="125"/>
      <c r="AC40" s="125"/>
      <c r="AD40" s="125"/>
      <c r="AE40"/>
      <c r="AF40"/>
      <c r="AG40"/>
      <c r="AH40"/>
      <c r="AI40"/>
      <c r="AJ40"/>
      <c r="AK40" s="127"/>
      <c r="AL40" s="125"/>
      <c r="AM40" s="125"/>
      <c r="AN40" s="125"/>
      <c r="AO40" s="125"/>
      <c r="AP40" s="125"/>
      <c r="AQ40" s="125"/>
      <c r="AR40" s="125"/>
      <c r="AS40" s="125"/>
      <c r="AT40" s="125"/>
      <c r="AU40" s="125"/>
      <c r="AV40" s="125"/>
      <c r="AW40" s="125"/>
      <c r="AX40" s="125"/>
      <c r="AY40" s="125"/>
      <c r="AZ40" s="125"/>
      <c r="BA40"/>
      <c r="BB40"/>
      <c r="BC40"/>
      <c r="BD40"/>
      <c r="BE40"/>
      <c r="BF40"/>
      <c r="BG40"/>
      <c r="BH40"/>
    </row>
    <row r="41" spans="1:66">
      <c r="A41" s="55"/>
      <c r="B41" s="162"/>
      <c r="C41" s="162"/>
      <c r="D41" s="162"/>
      <c r="E41" s="162"/>
      <c r="F41" s="162"/>
      <c r="G41" s="163"/>
      <c r="H41" s="163"/>
      <c r="L41" s="135"/>
      <c r="M41" s="148"/>
      <c r="N41" s="125"/>
      <c r="O41" s="125"/>
      <c r="P41" s="125"/>
      <c r="Q41" s="125"/>
      <c r="R41" s="125"/>
      <c r="S41" s="125"/>
      <c r="T41" s="125"/>
      <c r="U41" s="125"/>
      <c r="V41" s="125"/>
      <c r="W41" s="125"/>
      <c r="X41" s="125"/>
      <c r="Y41" s="125"/>
      <c r="Z41" s="125"/>
      <c r="AA41" s="125"/>
      <c r="AB41" s="125"/>
      <c r="AC41" s="125"/>
      <c r="AD41" s="125"/>
      <c r="AE41"/>
      <c r="AF41"/>
      <c r="AG41"/>
      <c r="AH41"/>
      <c r="AI41"/>
      <c r="AJ41"/>
      <c r="AK41" s="127"/>
      <c r="AL41" s="125"/>
      <c r="AM41" s="125"/>
      <c r="AN41" s="125"/>
      <c r="AO41" s="125"/>
      <c r="AP41" s="125"/>
      <c r="AQ41" s="125"/>
      <c r="AR41" s="125"/>
      <c r="AS41" s="125"/>
      <c r="AT41" s="125"/>
      <c r="AU41" s="125"/>
      <c r="AV41" s="125"/>
      <c r="AW41" s="125"/>
      <c r="AX41" s="125"/>
      <c r="AY41" s="125"/>
      <c r="AZ41" s="125"/>
      <c r="BA41"/>
      <c r="BB41"/>
      <c r="BC41"/>
      <c r="BD41"/>
      <c r="BE41"/>
      <c r="BF41"/>
      <c r="BG41"/>
      <c r="BH41"/>
    </row>
    <row r="42" spans="1:66">
      <c r="A42" s="55"/>
      <c r="B42" s="162" t="s">
        <v>206</v>
      </c>
      <c r="C42" s="162"/>
      <c r="D42" s="162"/>
      <c r="E42" s="162"/>
      <c r="F42" s="162"/>
      <c r="G42" s="163"/>
      <c r="H42" s="163"/>
      <c r="L42" s="135"/>
      <c r="M42" s="148"/>
      <c r="N42" s="125"/>
      <c r="O42" s="125"/>
      <c r="P42"/>
      <c r="Q42"/>
      <c r="R42" s="125"/>
      <c r="S42" s="125"/>
      <c r="T42" s="125"/>
      <c r="U42" s="125"/>
      <c r="V42" s="125"/>
      <c r="W42" s="125"/>
      <c r="X42" s="125"/>
      <c r="Y42" s="125"/>
      <c r="Z42" s="125"/>
      <c r="AA42" s="125"/>
      <c r="AB42" s="125"/>
      <c r="AC42" s="125"/>
      <c r="AE42"/>
      <c r="AF42"/>
      <c r="AG42"/>
      <c r="AH42"/>
      <c r="AI42"/>
      <c r="AJ42"/>
      <c r="AK42" s="127"/>
      <c r="AL42" s="125"/>
      <c r="AM42"/>
      <c r="AN42"/>
      <c r="AO42" s="125"/>
      <c r="AP42" s="125"/>
      <c r="AQ42" s="125"/>
      <c r="AR42" s="125"/>
      <c r="AS42" s="125"/>
      <c r="AT42" s="125"/>
      <c r="AU42" s="125"/>
      <c r="AV42" s="125"/>
      <c r="AW42" s="125"/>
      <c r="AX42" s="125"/>
      <c r="AY42" s="125"/>
      <c r="AZ42" s="125"/>
      <c r="BA42"/>
      <c r="BB42"/>
      <c r="BC42"/>
      <c r="BD42"/>
      <c r="BE42"/>
      <c r="BF42"/>
      <c r="BG42"/>
      <c r="BH42"/>
    </row>
    <row r="43" spans="1:66">
      <c r="A43" s="55"/>
      <c r="B43" s="162"/>
      <c r="C43" s="162"/>
      <c r="D43" s="162"/>
      <c r="E43" s="162"/>
      <c r="F43" s="162"/>
      <c r="G43" s="163"/>
      <c r="H43" s="163"/>
      <c r="L43" s="135"/>
      <c r="N43" s="125"/>
      <c r="O43" s="128" t="s">
        <v>67</v>
      </c>
      <c r="P43" s="129"/>
      <c r="Q43" s="129"/>
      <c r="R43" s="129"/>
      <c r="S43" s="129"/>
      <c r="T43" s="1561" t="s">
        <v>130</v>
      </c>
      <c r="U43" s="1561"/>
      <c r="V43" s="1561" t="s">
        <v>167</v>
      </c>
      <c r="W43" s="1561"/>
      <c r="X43" s="1561" t="s">
        <v>168</v>
      </c>
      <c r="Y43" s="1561"/>
      <c r="Z43" s="1561" t="s">
        <v>169</v>
      </c>
      <c r="AA43" s="1561"/>
      <c r="AB43" s="1561"/>
      <c r="AC43" s="130"/>
      <c r="AD43" s="130"/>
      <c r="AE43" s="1561" t="s">
        <v>207</v>
      </c>
      <c r="AF43" s="1562"/>
      <c r="AG43"/>
      <c r="AH43"/>
      <c r="AI43"/>
      <c r="AJ43"/>
      <c r="AK43" s="127"/>
      <c r="AL43" s="128" t="s">
        <v>68</v>
      </c>
      <c r="AM43" s="129"/>
      <c r="AN43" s="129"/>
      <c r="AO43" s="129"/>
      <c r="AP43" s="129"/>
      <c r="AQ43" s="1561" t="s">
        <v>130</v>
      </c>
      <c r="AR43" s="1561"/>
      <c r="AS43" s="1561" t="s">
        <v>167</v>
      </c>
      <c r="AT43" s="1561"/>
      <c r="AU43" s="1561" t="s">
        <v>168</v>
      </c>
      <c r="AV43" s="1561"/>
      <c r="AW43" s="1561" t="s">
        <v>169</v>
      </c>
      <c r="AX43" s="1561"/>
      <c r="AY43" s="1561"/>
      <c r="AZ43" s="130"/>
      <c r="BA43" s="130"/>
      <c r="BB43" s="1561" t="s">
        <v>207</v>
      </c>
      <c r="BC43" s="1562"/>
      <c r="BD43"/>
      <c r="BE43"/>
      <c r="BF43"/>
      <c r="BG43"/>
    </row>
    <row r="44" spans="1:66">
      <c r="A44" s="55"/>
      <c r="B44" s="1455" t="s">
        <v>95</v>
      </c>
      <c r="C44" s="1456"/>
      <c r="D44" s="1456"/>
      <c r="E44" s="1456"/>
      <c r="F44" s="1457"/>
      <c r="G44" s="164"/>
      <c r="H44" s="165"/>
      <c r="K44" s="166"/>
      <c r="L44" s="135"/>
      <c r="M44" s="135"/>
      <c r="N44" s="125"/>
      <c r="O44" s="131" t="s">
        <v>12</v>
      </c>
      <c r="P44" s="132" t="s">
        <v>55</v>
      </c>
      <c r="Q44" s="132" t="s">
        <v>129</v>
      </c>
      <c r="R44" s="132" t="s">
        <v>13</v>
      </c>
      <c r="S44" s="132" t="s">
        <v>131</v>
      </c>
      <c r="T44" s="132" t="s">
        <v>142</v>
      </c>
      <c r="U44" s="132" t="s">
        <v>173</v>
      </c>
      <c r="V44" s="132" t="s">
        <v>142</v>
      </c>
      <c r="W44" s="132" t="s">
        <v>173</v>
      </c>
      <c r="X44" s="132" t="s">
        <v>142</v>
      </c>
      <c r="Y44" s="132" t="s">
        <v>173</v>
      </c>
      <c r="Z44" s="132" t="s">
        <v>142</v>
      </c>
      <c r="AA44" s="132" t="s">
        <v>173</v>
      </c>
      <c r="AB44" s="132" t="s">
        <v>174</v>
      </c>
      <c r="AC44" s="132" t="s">
        <v>208</v>
      </c>
      <c r="AD44" s="132" t="s">
        <v>209</v>
      </c>
      <c r="AE44" s="132" t="s">
        <v>142</v>
      </c>
      <c r="AF44" s="133" t="s">
        <v>173</v>
      </c>
      <c r="AG44"/>
      <c r="AH44"/>
      <c r="AI44"/>
      <c r="AJ44"/>
      <c r="AK44" s="127"/>
      <c r="AL44" s="131" t="s">
        <v>12</v>
      </c>
      <c r="AM44" s="132" t="s">
        <v>55</v>
      </c>
      <c r="AN44" s="132" t="s">
        <v>129</v>
      </c>
      <c r="AO44" s="132" t="s">
        <v>13</v>
      </c>
      <c r="AP44" s="132" t="s">
        <v>131</v>
      </c>
      <c r="AQ44" s="132" t="s">
        <v>142</v>
      </c>
      <c r="AR44" s="132" t="s">
        <v>173</v>
      </c>
      <c r="AS44" s="132" t="s">
        <v>142</v>
      </c>
      <c r="AT44" s="132" t="s">
        <v>173</v>
      </c>
      <c r="AU44" s="132" t="s">
        <v>142</v>
      </c>
      <c r="AV44" s="132" t="s">
        <v>173</v>
      </c>
      <c r="AW44" s="132" t="s">
        <v>142</v>
      </c>
      <c r="AX44" s="132" t="s">
        <v>173</v>
      </c>
      <c r="AY44" s="132" t="s">
        <v>174</v>
      </c>
      <c r="AZ44" s="132" t="s">
        <v>208</v>
      </c>
      <c r="BA44" s="132" t="s">
        <v>209</v>
      </c>
      <c r="BB44" s="132" t="s">
        <v>142</v>
      </c>
      <c r="BC44" s="133" t="s">
        <v>173</v>
      </c>
      <c r="BD44"/>
      <c r="BE44"/>
      <c r="BF44"/>
      <c r="BG44"/>
    </row>
    <row r="45" spans="1:66">
      <c r="A45" s="55"/>
      <c r="B45" s="1458"/>
      <c r="C45" s="1459"/>
      <c r="D45" s="1459"/>
      <c r="E45" s="1459"/>
      <c r="F45" s="1460"/>
      <c r="G45" s="164"/>
      <c r="H45" s="165"/>
      <c r="K45" s="166"/>
      <c r="L45" s="135"/>
      <c r="M45" s="135"/>
      <c r="N45" s="125"/>
      <c r="O45" s="136">
        <f>2023</f>
        <v>2023</v>
      </c>
      <c r="P45" s="125">
        <f>$C$28</f>
        <v>39</v>
      </c>
      <c r="Q45" s="125">
        <v>10</v>
      </c>
      <c r="R45" s="137">
        <f>R7</f>
        <v>75000</v>
      </c>
      <c r="S45" s="125">
        <f t="shared" ref="S45:S71" si="39">MIN(1,1-3%*(65-P45))</f>
        <v>0.21999999999999997</v>
      </c>
      <c r="T45" s="126">
        <f t="shared" ref="T45:T71" si="40">S45*R45*1.25%*Q45</f>
        <v>2062.4999999999995</v>
      </c>
      <c r="U45" s="126">
        <f t="shared" ref="U45:U71" si="41">R45*1.25%*Q45</f>
        <v>9375</v>
      </c>
      <c r="V45" s="125">
        <f t="shared" ref="V45:V71" si="42">IF(P45=55,$C$35,IF(P45=65,$C$34,0))</f>
        <v>0</v>
      </c>
      <c r="W45" s="138">
        <f t="shared" ref="W45:W71" si="43">$C$34</f>
        <v>14.5</v>
      </c>
      <c r="X45" s="125">
        <f t="shared" ref="X45:X71" si="44">(1+4.5%)^-(P45-P$7)</f>
        <v>1</v>
      </c>
      <c r="Y45" s="125">
        <f t="shared" ref="Y45:Y71" si="45">(1+4.5%)^-(65-P$7)</f>
        <v>0.31840248485926437</v>
      </c>
      <c r="Z45" s="125">
        <f t="shared" ref="Z45:Z71" si="46">IF(P45=55,40%,IF(P45=65,100%,0))</f>
        <v>0</v>
      </c>
      <c r="AA45" s="125">
        <f t="shared" ref="AA45:AA71" si="47">IF(P45&lt;40,5%,0)</f>
        <v>0.05</v>
      </c>
      <c r="AB45" s="125">
        <v>1</v>
      </c>
      <c r="AC45" s="125">
        <f t="shared" ref="AC45:AC71" si="48">(1.045/1.0325)^-(P45-P$7)</f>
        <v>1</v>
      </c>
      <c r="AD45" s="125">
        <f t="shared" ref="AD45:AD71" si="49">AB46*AC45</f>
        <v>0.95</v>
      </c>
      <c r="AE45" s="126">
        <f t="shared" ref="AE45:AE71" si="50">AB45*Z45*X45*V45*T45</f>
        <v>0</v>
      </c>
      <c r="AF45" s="139">
        <f t="shared" ref="AF45:AF71" si="51">AB45*AA45*Y45*W45*U45</f>
        <v>2164.1418892778129</v>
      </c>
      <c r="AG45"/>
      <c r="AH45"/>
      <c r="AI45"/>
      <c r="AJ45"/>
      <c r="AK45" s="127"/>
      <c r="AL45" s="136">
        <f>2023</f>
        <v>2023</v>
      </c>
      <c r="AM45" s="125">
        <f>AM7</f>
        <v>50</v>
      </c>
      <c r="AN45" s="125">
        <f>AN7</f>
        <v>15</v>
      </c>
      <c r="AO45" s="125">
        <f>AO7</f>
        <v>220000</v>
      </c>
      <c r="AP45" s="125">
        <f t="shared" ref="AP45:AP60" si="52">MIN(1,1-3%*(65-AM45))</f>
        <v>0.55000000000000004</v>
      </c>
      <c r="AQ45" s="126">
        <f t="shared" ref="AQ45:AQ60" si="53">AP45*AO45*1.25%*AN45</f>
        <v>22687.500000000004</v>
      </c>
      <c r="AR45" s="126">
        <f t="shared" ref="AR45:AR60" si="54">AO45*1.25%*AN45</f>
        <v>41250</v>
      </c>
      <c r="AS45" s="125">
        <f t="shared" ref="AS45:AS60" si="55">IF(AM45=55,$C$35,IF(AM45=65,$C$34,0))</f>
        <v>0</v>
      </c>
      <c r="AT45" s="138">
        <f t="shared" ref="AT45:AT60" si="56">$C$34</f>
        <v>14.5</v>
      </c>
      <c r="AU45" s="125">
        <f t="shared" ref="AU45:AU60" si="57">(1+4.5%)^-(AM45-AM$7)</f>
        <v>1</v>
      </c>
      <c r="AV45" s="125">
        <f t="shared" ref="AV45:AV60" si="58">(1+4.5%)^-(65-AM$7)</f>
        <v>0.51672044231576797</v>
      </c>
      <c r="AW45" s="125">
        <f t="shared" ref="AW45:AW60" si="59">IF(AM45=55,40%,IF(AM45=65,100%,0))</f>
        <v>0</v>
      </c>
      <c r="AX45" s="125">
        <f t="shared" ref="AX45:AX60" si="60">IF(AM45&lt;40,5%,0)</f>
        <v>0</v>
      </c>
      <c r="AY45" s="125">
        <v>1</v>
      </c>
      <c r="AZ45" s="125">
        <f t="shared" ref="AZ45:AZ60" si="61">(1.045/1.0325)^-(AM45-AM$7)</f>
        <v>1</v>
      </c>
      <c r="BA45" s="125">
        <f t="shared" ref="BA45:BA60" si="62">AY46*AZ45</f>
        <v>1</v>
      </c>
      <c r="BB45" s="126">
        <f t="shared" ref="BB45:BB60" si="63">AY45*AW45*AU45*AS45*AQ45</f>
        <v>0</v>
      </c>
      <c r="BC45" s="139">
        <f t="shared" ref="BC45:BC60" si="64">AY45*AX45*AV45*AT45*AR45</f>
        <v>0</v>
      </c>
      <c r="BD45"/>
      <c r="BE45"/>
      <c r="BF45"/>
      <c r="BG45"/>
    </row>
    <row r="46" spans="1:66">
      <c r="A46" s="55"/>
      <c r="B46" s="162"/>
      <c r="C46" s="162"/>
      <c r="D46" s="162"/>
      <c r="E46" s="162"/>
      <c r="F46" s="162"/>
      <c r="G46" s="164"/>
      <c r="H46" s="165"/>
      <c r="K46" s="166"/>
      <c r="L46" s="135"/>
      <c r="M46" s="135"/>
      <c r="N46" s="125"/>
      <c r="O46" s="136">
        <f t="shared" ref="O46:Q61" si="65">O45+1</f>
        <v>2024</v>
      </c>
      <c r="P46" s="125">
        <f t="shared" si="65"/>
        <v>40</v>
      </c>
      <c r="Q46" s="125">
        <f t="shared" si="65"/>
        <v>11</v>
      </c>
      <c r="R46" s="126">
        <f t="shared" ref="R46:R71" si="66">R45*1.0325</f>
        <v>77437.5</v>
      </c>
      <c r="S46" s="125">
        <f t="shared" si="39"/>
        <v>0.25</v>
      </c>
      <c r="T46" s="126">
        <f t="shared" si="40"/>
        <v>2661.9140625</v>
      </c>
      <c r="U46" s="126">
        <f t="shared" si="41"/>
        <v>10647.65625</v>
      </c>
      <c r="V46" s="125">
        <f t="shared" si="42"/>
        <v>0</v>
      </c>
      <c r="W46" s="138">
        <f t="shared" si="43"/>
        <v>14.5</v>
      </c>
      <c r="X46" s="125">
        <f t="shared" si="44"/>
        <v>0.95693779904306231</v>
      </c>
      <c r="Y46" s="125">
        <f t="shared" si="45"/>
        <v>0.31840248485926437</v>
      </c>
      <c r="Z46" s="125">
        <f t="shared" si="46"/>
        <v>0</v>
      </c>
      <c r="AA46" s="125">
        <f t="shared" si="47"/>
        <v>0</v>
      </c>
      <c r="AB46" s="125">
        <f t="shared" ref="AB46:AB71" si="67">AB45*(1-Z45)*(1-AA45)</f>
        <v>0.95</v>
      </c>
      <c r="AC46" s="125">
        <f t="shared" si="48"/>
        <v>0.98803827751196183</v>
      </c>
      <c r="AD46" s="125">
        <f t="shared" si="49"/>
        <v>0.93863636363636371</v>
      </c>
      <c r="AE46" s="126">
        <f t="shared" si="50"/>
        <v>0</v>
      </c>
      <c r="AF46" s="139">
        <f t="shared" si="51"/>
        <v>0</v>
      </c>
      <c r="AG46"/>
      <c r="AH46"/>
      <c r="AI46"/>
      <c r="AJ46"/>
      <c r="AK46" s="127"/>
      <c r="AL46" s="136">
        <f t="shared" ref="AL46:AN60" si="68">AL45+1</f>
        <v>2024</v>
      </c>
      <c r="AM46" s="125">
        <f t="shared" si="68"/>
        <v>51</v>
      </c>
      <c r="AN46" s="125">
        <f t="shared" si="68"/>
        <v>16</v>
      </c>
      <c r="AO46" s="126">
        <f t="shared" ref="AO46:AO60" si="69">AO45*1.0325</f>
        <v>227150</v>
      </c>
      <c r="AP46" s="125">
        <f t="shared" si="52"/>
        <v>0.58000000000000007</v>
      </c>
      <c r="AQ46" s="126">
        <f t="shared" si="53"/>
        <v>26349.400000000009</v>
      </c>
      <c r="AR46" s="126">
        <f t="shared" si="54"/>
        <v>45430</v>
      </c>
      <c r="AS46" s="125">
        <f t="shared" si="55"/>
        <v>0</v>
      </c>
      <c r="AT46" s="138">
        <f t="shared" si="56"/>
        <v>14.5</v>
      </c>
      <c r="AU46" s="125">
        <f t="shared" si="57"/>
        <v>0.95693779904306231</v>
      </c>
      <c r="AV46" s="125">
        <f t="shared" si="58"/>
        <v>0.51672044231576797</v>
      </c>
      <c r="AW46" s="125">
        <f t="shared" si="59"/>
        <v>0</v>
      </c>
      <c r="AX46" s="125">
        <f t="shared" si="60"/>
        <v>0</v>
      </c>
      <c r="AY46" s="125">
        <f t="shared" ref="AY46:AY60" si="70">AY45*(1-AW45)*(1-AX45)</f>
        <v>1</v>
      </c>
      <c r="AZ46" s="125">
        <f t="shared" si="61"/>
        <v>0.98803827751196183</v>
      </c>
      <c r="BA46" s="125">
        <f t="shared" si="62"/>
        <v>0.98803827751196183</v>
      </c>
      <c r="BB46" s="126">
        <f t="shared" si="63"/>
        <v>0</v>
      </c>
      <c r="BC46" s="139">
        <f t="shared" si="64"/>
        <v>0</v>
      </c>
      <c r="BD46"/>
      <c r="BE46"/>
      <c r="BF46"/>
      <c r="BG46"/>
    </row>
    <row r="47" spans="1:66">
      <c r="A47" s="55"/>
      <c r="B47" s="162" t="s">
        <v>210</v>
      </c>
      <c r="C47" s="162"/>
      <c r="D47" s="162"/>
      <c r="E47" s="162"/>
      <c r="F47" s="162"/>
      <c r="G47" s="164"/>
      <c r="H47" s="165"/>
      <c r="K47" s="166"/>
      <c r="L47" s="135"/>
      <c r="M47" s="135"/>
      <c r="N47" s="125"/>
      <c r="O47" s="136">
        <f t="shared" si="65"/>
        <v>2025</v>
      </c>
      <c r="P47" s="125">
        <f t="shared" si="65"/>
        <v>41</v>
      </c>
      <c r="Q47" s="125">
        <f t="shared" si="65"/>
        <v>12</v>
      </c>
      <c r="R47" s="126">
        <f t="shared" si="66"/>
        <v>79954.21875</v>
      </c>
      <c r="S47" s="125">
        <f t="shared" si="39"/>
        <v>0.28000000000000003</v>
      </c>
      <c r="T47" s="126">
        <f t="shared" si="40"/>
        <v>3358.0771875000005</v>
      </c>
      <c r="U47" s="126">
        <f t="shared" si="41"/>
        <v>11993.1328125</v>
      </c>
      <c r="V47" s="125">
        <f t="shared" si="42"/>
        <v>0</v>
      </c>
      <c r="W47" s="138">
        <f t="shared" si="43"/>
        <v>14.5</v>
      </c>
      <c r="X47" s="125">
        <f t="shared" si="44"/>
        <v>0.91572995123738021</v>
      </c>
      <c r="Y47" s="125">
        <f t="shared" si="45"/>
        <v>0.31840248485926437</v>
      </c>
      <c r="Z47" s="125">
        <f t="shared" si="46"/>
        <v>0</v>
      </c>
      <c r="AA47" s="125">
        <f t="shared" si="47"/>
        <v>0</v>
      </c>
      <c r="AB47" s="125">
        <f t="shared" si="67"/>
        <v>0.95</v>
      </c>
      <c r="AC47" s="125">
        <f t="shared" si="48"/>
        <v>0.97621963782880439</v>
      </c>
      <c r="AD47" s="125">
        <f t="shared" si="49"/>
        <v>0.9274086559373641</v>
      </c>
      <c r="AE47" s="126">
        <f t="shared" si="50"/>
        <v>0</v>
      </c>
      <c r="AF47" s="139">
        <f t="shared" si="51"/>
        <v>0</v>
      </c>
      <c r="AG47"/>
      <c r="AH47"/>
      <c r="AI47"/>
      <c r="AJ47"/>
      <c r="AK47" s="127"/>
      <c r="AL47" s="136">
        <f t="shared" si="68"/>
        <v>2025</v>
      </c>
      <c r="AM47" s="125">
        <f t="shared" si="68"/>
        <v>52</v>
      </c>
      <c r="AN47" s="125">
        <f t="shared" si="68"/>
        <v>17</v>
      </c>
      <c r="AO47" s="126">
        <f t="shared" si="69"/>
        <v>234532.375</v>
      </c>
      <c r="AP47" s="125">
        <f t="shared" si="52"/>
        <v>0.61</v>
      </c>
      <c r="AQ47" s="126">
        <f t="shared" si="53"/>
        <v>30401.259109375002</v>
      </c>
      <c r="AR47" s="126">
        <f t="shared" si="54"/>
        <v>49838.129687500004</v>
      </c>
      <c r="AS47" s="125">
        <f t="shared" si="55"/>
        <v>0</v>
      </c>
      <c r="AT47" s="138">
        <f t="shared" si="56"/>
        <v>14.5</v>
      </c>
      <c r="AU47" s="125">
        <f t="shared" si="57"/>
        <v>0.91572995123738021</v>
      </c>
      <c r="AV47" s="125">
        <f t="shared" si="58"/>
        <v>0.51672044231576797</v>
      </c>
      <c r="AW47" s="125">
        <f t="shared" si="59"/>
        <v>0</v>
      </c>
      <c r="AX47" s="125">
        <f t="shared" si="60"/>
        <v>0</v>
      </c>
      <c r="AY47" s="125">
        <f t="shared" si="70"/>
        <v>1</v>
      </c>
      <c r="AZ47" s="125">
        <f t="shared" si="61"/>
        <v>0.97621963782880439</v>
      </c>
      <c r="BA47" s="125">
        <f t="shared" si="62"/>
        <v>0.97621963782880439</v>
      </c>
      <c r="BB47" s="126">
        <f t="shared" si="63"/>
        <v>0</v>
      </c>
      <c r="BC47" s="139">
        <f t="shared" si="64"/>
        <v>0</v>
      </c>
      <c r="BD47"/>
      <c r="BE47"/>
      <c r="BF47"/>
      <c r="BG47"/>
    </row>
    <row r="48" spans="1:66">
      <c r="A48" s="55"/>
      <c r="B48" s="162"/>
      <c r="C48" s="162"/>
      <c r="D48" s="162"/>
      <c r="E48" s="162"/>
      <c r="F48" s="162"/>
      <c r="G48" s="164"/>
      <c r="H48" s="165"/>
      <c r="K48" s="166"/>
      <c r="M48" s="135"/>
      <c r="N48" s="125"/>
      <c r="O48" s="136">
        <f t="shared" si="65"/>
        <v>2026</v>
      </c>
      <c r="P48" s="125">
        <f t="shared" si="65"/>
        <v>42</v>
      </c>
      <c r="Q48" s="125">
        <f t="shared" si="65"/>
        <v>13</v>
      </c>
      <c r="R48" s="126">
        <f t="shared" si="66"/>
        <v>82552.730859374991</v>
      </c>
      <c r="S48" s="125">
        <f t="shared" si="39"/>
        <v>0.31000000000000005</v>
      </c>
      <c r="T48" s="126">
        <f t="shared" si="40"/>
        <v>4158.5938170410163</v>
      </c>
      <c r="U48" s="126">
        <f t="shared" si="41"/>
        <v>13414.818764648435</v>
      </c>
      <c r="V48" s="125">
        <f t="shared" si="42"/>
        <v>0</v>
      </c>
      <c r="W48" s="138">
        <f t="shared" si="43"/>
        <v>14.5</v>
      </c>
      <c r="X48" s="125">
        <f t="shared" si="44"/>
        <v>0.87629660405490928</v>
      </c>
      <c r="Y48" s="125">
        <f t="shared" si="45"/>
        <v>0.31840248485926437</v>
      </c>
      <c r="Z48" s="125">
        <f t="shared" si="46"/>
        <v>0</v>
      </c>
      <c r="AA48" s="125">
        <f t="shared" si="47"/>
        <v>0</v>
      </c>
      <c r="AB48" s="125">
        <f t="shared" si="67"/>
        <v>0.95</v>
      </c>
      <c r="AC48" s="125">
        <f t="shared" si="48"/>
        <v>0.96454236943372307</v>
      </c>
      <c r="AD48" s="125">
        <f t="shared" si="49"/>
        <v>0.91631525096203692</v>
      </c>
      <c r="AE48" s="126">
        <f t="shared" si="50"/>
        <v>0</v>
      </c>
      <c r="AF48" s="139">
        <f t="shared" si="51"/>
        <v>0</v>
      </c>
      <c r="AG48"/>
      <c r="AH48"/>
      <c r="AI48"/>
      <c r="AJ48"/>
      <c r="AK48" s="127"/>
      <c r="AL48" s="136">
        <f t="shared" si="68"/>
        <v>2026</v>
      </c>
      <c r="AM48" s="125">
        <f t="shared" si="68"/>
        <v>53</v>
      </c>
      <c r="AN48" s="125">
        <f t="shared" si="68"/>
        <v>18</v>
      </c>
      <c r="AO48" s="126">
        <f t="shared" si="69"/>
        <v>242154.6771875</v>
      </c>
      <c r="AP48" s="125">
        <f t="shared" si="52"/>
        <v>0.64</v>
      </c>
      <c r="AQ48" s="126">
        <f t="shared" si="53"/>
        <v>34870.273515000001</v>
      </c>
      <c r="AR48" s="126">
        <f t="shared" si="54"/>
        <v>54484.802367187505</v>
      </c>
      <c r="AS48" s="125">
        <f t="shared" si="55"/>
        <v>0</v>
      </c>
      <c r="AT48" s="138">
        <f t="shared" si="56"/>
        <v>14.5</v>
      </c>
      <c r="AU48" s="125">
        <f t="shared" si="57"/>
        <v>0.87629660405490928</v>
      </c>
      <c r="AV48" s="125">
        <f t="shared" si="58"/>
        <v>0.51672044231576797</v>
      </c>
      <c r="AW48" s="125">
        <f t="shared" si="59"/>
        <v>0</v>
      </c>
      <c r="AX48" s="125">
        <f t="shared" si="60"/>
        <v>0</v>
      </c>
      <c r="AY48" s="125">
        <f t="shared" si="70"/>
        <v>1</v>
      </c>
      <c r="AZ48" s="125">
        <f t="shared" si="61"/>
        <v>0.96454236943372307</v>
      </c>
      <c r="BA48" s="125">
        <f t="shared" si="62"/>
        <v>0.96454236943372307</v>
      </c>
      <c r="BB48" s="126">
        <f t="shared" si="63"/>
        <v>0</v>
      </c>
      <c r="BC48" s="139">
        <f t="shared" si="64"/>
        <v>0</v>
      </c>
      <c r="BD48"/>
      <c r="BE48"/>
      <c r="BF48"/>
      <c r="BG48"/>
    </row>
    <row r="49" spans="1:59">
      <c r="A49" s="55"/>
      <c r="B49" s="1455" t="s">
        <v>95</v>
      </c>
      <c r="C49" s="1456"/>
      <c r="D49" s="1456"/>
      <c r="E49" s="1456"/>
      <c r="F49" s="1457"/>
      <c r="G49" s="164"/>
      <c r="H49" s="165"/>
      <c r="L49" s="135"/>
      <c r="N49" s="125"/>
      <c r="O49" s="136">
        <f t="shared" si="65"/>
        <v>2027</v>
      </c>
      <c r="P49" s="125">
        <f t="shared" si="65"/>
        <v>43</v>
      </c>
      <c r="Q49" s="125">
        <f t="shared" si="65"/>
        <v>14</v>
      </c>
      <c r="R49" s="126">
        <f t="shared" si="66"/>
        <v>85235.69461230468</v>
      </c>
      <c r="S49" s="125">
        <f t="shared" si="39"/>
        <v>0.34000000000000008</v>
      </c>
      <c r="T49" s="126">
        <f t="shared" si="40"/>
        <v>5071.5238294321298</v>
      </c>
      <c r="U49" s="126">
        <f t="shared" si="41"/>
        <v>14916.246557153321</v>
      </c>
      <c r="V49" s="125">
        <f t="shared" si="42"/>
        <v>0</v>
      </c>
      <c r="W49" s="138">
        <f t="shared" si="43"/>
        <v>14.5</v>
      </c>
      <c r="X49" s="125">
        <f t="shared" si="44"/>
        <v>0.83856134359321488</v>
      </c>
      <c r="Y49" s="125">
        <f t="shared" si="45"/>
        <v>0.31840248485926437</v>
      </c>
      <c r="Z49" s="125">
        <f t="shared" si="46"/>
        <v>0</v>
      </c>
      <c r="AA49" s="125">
        <f t="shared" si="47"/>
        <v>0</v>
      </c>
      <c r="AB49" s="125">
        <f t="shared" si="67"/>
        <v>0.95</v>
      </c>
      <c r="AC49" s="125">
        <f t="shared" si="48"/>
        <v>0.95300478128260213</v>
      </c>
      <c r="AD49" s="125">
        <f t="shared" si="49"/>
        <v>0.905354542218472</v>
      </c>
      <c r="AE49" s="126">
        <f t="shared" si="50"/>
        <v>0</v>
      </c>
      <c r="AF49" s="139">
        <f t="shared" si="51"/>
        <v>0</v>
      </c>
      <c r="AG49"/>
      <c r="AH49"/>
      <c r="AI49"/>
      <c r="AJ49"/>
      <c r="AK49" s="127"/>
      <c r="AL49" s="136">
        <f t="shared" si="68"/>
        <v>2027</v>
      </c>
      <c r="AM49" s="125">
        <f t="shared" si="68"/>
        <v>54</v>
      </c>
      <c r="AN49" s="125">
        <f t="shared" si="68"/>
        <v>19</v>
      </c>
      <c r="AO49" s="126">
        <f t="shared" si="69"/>
        <v>250024.70419609375</v>
      </c>
      <c r="AP49" s="125">
        <f t="shared" si="52"/>
        <v>0.67</v>
      </c>
      <c r="AQ49" s="126">
        <f t="shared" si="53"/>
        <v>39785.181055203415</v>
      </c>
      <c r="AR49" s="126">
        <f t="shared" si="54"/>
        <v>59380.86724657227</v>
      </c>
      <c r="AS49" s="125">
        <f t="shared" si="55"/>
        <v>0</v>
      </c>
      <c r="AT49" s="138">
        <f t="shared" si="56"/>
        <v>14.5</v>
      </c>
      <c r="AU49" s="125">
        <f t="shared" si="57"/>
        <v>0.83856134359321488</v>
      </c>
      <c r="AV49" s="125">
        <f t="shared" si="58"/>
        <v>0.51672044231576797</v>
      </c>
      <c r="AW49" s="125">
        <f t="shared" si="59"/>
        <v>0</v>
      </c>
      <c r="AX49" s="125">
        <f t="shared" si="60"/>
        <v>0</v>
      </c>
      <c r="AY49" s="125">
        <f t="shared" si="70"/>
        <v>1</v>
      </c>
      <c r="AZ49" s="125">
        <f t="shared" si="61"/>
        <v>0.95300478128260213</v>
      </c>
      <c r="BA49" s="125">
        <f t="shared" si="62"/>
        <v>0.95300478128260213</v>
      </c>
      <c r="BB49" s="126">
        <f t="shared" si="63"/>
        <v>0</v>
      </c>
      <c r="BC49" s="139">
        <f t="shared" si="64"/>
        <v>0</v>
      </c>
      <c r="BD49"/>
      <c r="BE49"/>
      <c r="BF49"/>
      <c r="BG49"/>
    </row>
    <row r="50" spans="1:59">
      <c r="A50" s="55"/>
      <c r="B50" s="1458"/>
      <c r="C50" s="1459"/>
      <c r="D50" s="1459"/>
      <c r="E50" s="1459"/>
      <c r="F50" s="1460"/>
      <c r="G50" s="164"/>
      <c r="H50" s="165"/>
      <c r="L50" s="135"/>
      <c r="M50" s="135"/>
      <c r="N50" s="125"/>
      <c r="O50" s="136">
        <f t="shared" si="65"/>
        <v>2028</v>
      </c>
      <c r="P50" s="125">
        <f t="shared" si="65"/>
        <v>44</v>
      </c>
      <c r="Q50" s="125">
        <f t="shared" si="65"/>
        <v>15</v>
      </c>
      <c r="R50" s="126">
        <f t="shared" si="66"/>
        <v>88005.854687204584</v>
      </c>
      <c r="S50" s="125">
        <f t="shared" si="39"/>
        <v>0.37</v>
      </c>
      <c r="T50" s="126">
        <f t="shared" si="40"/>
        <v>6105.4061689248183</v>
      </c>
      <c r="U50" s="126">
        <f t="shared" si="41"/>
        <v>16501.09775385086</v>
      </c>
      <c r="V50" s="125">
        <f t="shared" si="42"/>
        <v>0</v>
      </c>
      <c r="W50" s="138">
        <f t="shared" si="43"/>
        <v>14.5</v>
      </c>
      <c r="X50" s="125">
        <f t="shared" si="44"/>
        <v>0.80245104650068411</v>
      </c>
      <c r="Y50" s="125">
        <f t="shared" si="45"/>
        <v>0.31840248485926437</v>
      </c>
      <c r="Z50" s="125">
        <f t="shared" si="46"/>
        <v>0</v>
      </c>
      <c r="AA50" s="125">
        <f t="shared" si="47"/>
        <v>0</v>
      </c>
      <c r="AB50" s="125">
        <f t="shared" si="67"/>
        <v>0.95</v>
      </c>
      <c r="AC50" s="125">
        <f t="shared" si="48"/>
        <v>0.94160520255912605</v>
      </c>
      <c r="AD50" s="125">
        <f t="shared" si="49"/>
        <v>0.89452494243116976</v>
      </c>
      <c r="AE50" s="126">
        <f t="shared" si="50"/>
        <v>0</v>
      </c>
      <c r="AF50" s="139">
        <f t="shared" si="51"/>
        <v>0</v>
      </c>
      <c r="AG50"/>
      <c r="AH50"/>
      <c r="AI50"/>
      <c r="AJ50"/>
      <c r="AK50" s="127"/>
      <c r="AL50" s="136">
        <f t="shared" si="68"/>
        <v>2028</v>
      </c>
      <c r="AM50" s="125">
        <f t="shared" si="68"/>
        <v>55</v>
      </c>
      <c r="AN50" s="125">
        <f t="shared" si="68"/>
        <v>20</v>
      </c>
      <c r="AO50" s="126">
        <f t="shared" si="69"/>
        <v>258150.50708246679</v>
      </c>
      <c r="AP50" s="125">
        <f t="shared" si="52"/>
        <v>0.7</v>
      </c>
      <c r="AQ50" s="126">
        <f t="shared" si="53"/>
        <v>45176.338739431696</v>
      </c>
      <c r="AR50" s="126">
        <f t="shared" si="54"/>
        <v>64537.626770616698</v>
      </c>
      <c r="AS50" s="125">
        <f t="shared" si="55"/>
        <v>17</v>
      </c>
      <c r="AT50" s="138">
        <f t="shared" si="56"/>
        <v>14.5</v>
      </c>
      <c r="AU50" s="125">
        <f t="shared" si="57"/>
        <v>0.80245104650068411</v>
      </c>
      <c r="AV50" s="125">
        <f t="shared" si="58"/>
        <v>0.51672044231576797</v>
      </c>
      <c r="AW50" s="125">
        <f t="shared" si="59"/>
        <v>0.4</v>
      </c>
      <c r="AX50" s="125">
        <f t="shared" si="60"/>
        <v>0</v>
      </c>
      <c r="AY50" s="125">
        <f t="shared" si="70"/>
        <v>1</v>
      </c>
      <c r="AZ50" s="125">
        <f t="shared" si="61"/>
        <v>0.94160520255912605</v>
      </c>
      <c r="BA50" s="125">
        <f t="shared" si="62"/>
        <v>0.56496312153547557</v>
      </c>
      <c r="BB50" s="126">
        <f t="shared" si="63"/>
        <v>246512.24202997927</v>
      </c>
      <c r="BC50" s="139">
        <f t="shared" si="64"/>
        <v>0</v>
      </c>
      <c r="BD50"/>
      <c r="BE50"/>
      <c r="BF50"/>
      <c r="BG50"/>
    </row>
    <row r="51" spans="1:59">
      <c r="A51" s="55"/>
      <c r="B51" s="158"/>
      <c r="E51" s="158"/>
      <c r="F51" s="164"/>
      <c r="G51" s="164"/>
      <c r="H51" s="165"/>
      <c r="L51" s="135"/>
      <c r="M51" s="135"/>
      <c r="N51" s="125"/>
      <c r="O51" s="136">
        <f t="shared" si="65"/>
        <v>2029</v>
      </c>
      <c r="P51" s="125">
        <f t="shared" si="65"/>
        <v>45</v>
      </c>
      <c r="Q51" s="125">
        <f t="shared" si="65"/>
        <v>16</v>
      </c>
      <c r="R51" s="126">
        <f t="shared" si="66"/>
        <v>90866.044964538727</v>
      </c>
      <c r="S51" s="125">
        <f t="shared" si="39"/>
        <v>0.4</v>
      </c>
      <c r="T51" s="126">
        <f t="shared" si="40"/>
        <v>7269.2835971630984</v>
      </c>
      <c r="U51" s="126">
        <f t="shared" si="41"/>
        <v>18173.208992907745</v>
      </c>
      <c r="V51" s="125">
        <f t="shared" si="42"/>
        <v>0</v>
      </c>
      <c r="W51" s="138">
        <f t="shared" si="43"/>
        <v>14.5</v>
      </c>
      <c r="X51" s="125">
        <f t="shared" si="44"/>
        <v>0.76789573827816682</v>
      </c>
      <c r="Y51" s="125">
        <f t="shared" si="45"/>
        <v>0.31840248485926437</v>
      </c>
      <c r="Z51" s="125">
        <f t="shared" si="46"/>
        <v>0</v>
      </c>
      <c r="AA51" s="125">
        <f t="shared" si="47"/>
        <v>0</v>
      </c>
      <c r="AB51" s="125">
        <f t="shared" si="67"/>
        <v>0.95</v>
      </c>
      <c r="AC51" s="125">
        <f t="shared" si="48"/>
        <v>0.93034198243282074</v>
      </c>
      <c r="AD51" s="125">
        <f t="shared" si="49"/>
        <v>0.8838248833111797</v>
      </c>
      <c r="AE51" s="126">
        <f t="shared" si="50"/>
        <v>0</v>
      </c>
      <c r="AF51" s="139">
        <f t="shared" si="51"/>
        <v>0</v>
      </c>
      <c r="AG51"/>
      <c r="AH51"/>
      <c r="AI51"/>
      <c r="AJ51"/>
      <c r="AK51" s="127"/>
      <c r="AL51" s="136">
        <f t="shared" si="68"/>
        <v>2029</v>
      </c>
      <c r="AM51" s="125">
        <f t="shared" si="68"/>
        <v>56</v>
      </c>
      <c r="AN51" s="125">
        <f t="shared" si="68"/>
        <v>21</v>
      </c>
      <c r="AO51" s="126">
        <f t="shared" si="69"/>
        <v>266540.39856264694</v>
      </c>
      <c r="AP51" s="125">
        <f t="shared" si="52"/>
        <v>0.73</v>
      </c>
      <c r="AQ51" s="126">
        <f t="shared" si="53"/>
        <v>51075.803874567217</v>
      </c>
      <c r="AR51" s="126">
        <f t="shared" si="54"/>
        <v>69966.854622694824</v>
      </c>
      <c r="AS51" s="125">
        <f t="shared" si="55"/>
        <v>0</v>
      </c>
      <c r="AT51" s="138">
        <f t="shared" si="56"/>
        <v>14.5</v>
      </c>
      <c r="AU51" s="125">
        <f t="shared" si="57"/>
        <v>0.76789573827816682</v>
      </c>
      <c r="AV51" s="125">
        <f t="shared" si="58"/>
        <v>0.51672044231576797</v>
      </c>
      <c r="AW51" s="125">
        <f t="shared" si="59"/>
        <v>0</v>
      </c>
      <c r="AX51" s="125">
        <f t="shared" si="60"/>
        <v>0</v>
      </c>
      <c r="AY51" s="125">
        <f t="shared" si="70"/>
        <v>0.6</v>
      </c>
      <c r="AZ51" s="125">
        <f t="shared" si="61"/>
        <v>0.93034198243282074</v>
      </c>
      <c r="BA51" s="125">
        <f t="shared" si="62"/>
        <v>0.55820518945969244</v>
      </c>
      <c r="BB51" s="126">
        <f t="shared" si="63"/>
        <v>0</v>
      </c>
      <c r="BC51" s="139">
        <f t="shared" si="64"/>
        <v>0</v>
      </c>
      <c r="BD51"/>
      <c r="BE51"/>
      <c r="BF51"/>
      <c r="BG51"/>
    </row>
    <row r="52" spans="1:59">
      <c r="A52" s="55"/>
      <c r="L52" s="135"/>
      <c r="M52" s="135"/>
      <c r="N52" s="125"/>
      <c r="O52" s="136">
        <f t="shared" si="65"/>
        <v>2030</v>
      </c>
      <c r="P52" s="125">
        <f t="shared" si="65"/>
        <v>46</v>
      </c>
      <c r="Q52" s="125">
        <f t="shared" si="65"/>
        <v>17</v>
      </c>
      <c r="R52" s="126">
        <f t="shared" si="66"/>
        <v>93819.191425886238</v>
      </c>
      <c r="S52" s="125">
        <f t="shared" si="39"/>
        <v>0.43000000000000005</v>
      </c>
      <c r="T52" s="126">
        <f t="shared" si="40"/>
        <v>8572.7286165403566</v>
      </c>
      <c r="U52" s="126">
        <f t="shared" si="41"/>
        <v>19936.578178000826</v>
      </c>
      <c r="V52" s="125">
        <f t="shared" si="42"/>
        <v>0</v>
      </c>
      <c r="W52" s="138">
        <f t="shared" si="43"/>
        <v>14.5</v>
      </c>
      <c r="X52" s="125">
        <f t="shared" si="44"/>
        <v>0.73482845768245619</v>
      </c>
      <c r="Y52" s="125">
        <f t="shared" si="45"/>
        <v>0.31840248485926437</v>
      </c>
      <c r="Z52" s="125">
        <f t="shared" si="46"/>
        <v>0</v>
      </c>
      <c r="AA52" s="125">
        <f t="shared" si="47"/>
        <v>0</v>
      </c>
      <c r="AB52" s="125">
        <f t="shared" si="67"/>
        <v>0.95</v>
      </c>
      <c r="AC52" s="125">
        <f t="shared" si="48"/>
        <v>0.91921348981998807</v>
      </c>
      <c r="AD52" s="125">
        <f t="shared" si="49"/>
        <v>0.87325281532898857</v>
      </c>
      <c r="AE52" s="126">
        <f t="shared" si="50"/>
        <v>0</v>
      </c>
      <c r="AF52" s="139">
        <f t="shared" si="51"/>
        <v>0</v>
      </c>
      <c r="AG52"/>
      <c r="AH52"/>
      <c r="AI52"/>
      <c r="AJ52"/>
      <c r="AK52" s="127"/>
      <c r="AL52" s="136">
        <f t="shared" si="68"/>
        <v>2030</v>
      </c>
      <c r="AM52" s="125">
        <f t="shared" si="68"/>
        <v>57</v>
      </c>
      <c r="AN52" s="125">
        <f t="shared" si="68"/>
        <v>22</v>
      </c>
      <c r="AO52" s="126">
        <f t="shared" si="69"/>
        <v>275202.96151593293</v>
      </c>
      <c r="AP52" s="125">
        <f t="shared" si="52"/>
        <v>0.76</v>
      </c>
      <c r="AQ52" s="126">
        <f t="shared" si="53"/>
        <v>57517.418956829984</v>
      </c>
      <c r="AR52" s="126">
        <f t="shared" si="54"/>
        <v>75680.814416881563</v>
      </c>
      <c r="AS52" s="125">
        <f t="shared" si="55"/>
        <v>0</v>
      </c>
      <c r="AT52" s="138">
        <f t="shared" si="56"/>
        <v>14.5</v>
      </c>
      <c r="AU52" s="125">
        <f t="shared" si="57"/>
        <v>0.73482845768245619</v>
      </c>
      <c r="AV52" s="125">
        <f t="shared" si="58"/>
        <v>0.51672044231576797</v>
      </c>
      <c r="AW52" s="125">
        <f t="shared" si="59"/>
        <v>0</v>
      </c>
      <c r="AX52" s="125">
        <f t="shared" si="60"/>
        <v>0</v>
      </c>
      <c r="AY52" s="125">
        <f t="shared" si="70"/>
        <v>0.6</v>
      </c>
      <c r="AZ52" s="125">
        <f t="shared" si="61"/>
        <v>0.91921348981998807</v>
      </c>
      <c r="BA52" s="125">
        <f t="shared" si="62"/>
        <v>0.55152809389199287</v>
      </c>
      <c r="BB52" s="126">
        <f t="shared" si="63"/>
        <v>0</v>
      </c>
      <c r="BC52" s="139">
        <f t="shared" si="64"/>
        <v>0</v>
      </c>
      <c r="BD52" s="124"/>
      <c r="BE52" s="124"/>
      <c r="BF52" s="124"/>
      <c r="BG52" s="124"/>
    </row>
    <row r="53" spans="1:59">
      <c r="A53" s="55"/>
      <c r="B53" s="57"/>
      <c r="L53" s="135"/>
      <c r="N53" s="125"/>
      <c r="O53" s="136">
        <f t="shared" si="65"/>
        <v>2031</v>
      </c>
      <c r="P53" s="125">
        <f t="shared" si="65"/>
        <v>47</v>
      </c>
      <c r="Q53" s="125">
        <f t="shared" si="65"/>
        <v>18</v>
      </c>
      <c r="R53" s="126">
        <f t="shared" si="66"/>
        <v>96868.315147227535</v>
      </c>
      <c r="S53" s="125">
        <f t="shared" si="39"/>
        <v>0.45999999999999996</v>
      </c>
      <c r="T53" s="126">
        <f t="shared" si="40"/>
        <v>10025.870617738048</v>
      </c>
      <c r="U53" s="126">
        <f t="shared" si="41"/>
        <v>21795.370908126195</v>
      </c>
      <c r="V53" s="125">
        <f t="shared" si="42"/>
        <v>0</v>
      </c>
      <c r="W53" s="138">
        <f t="shared" si="43"/>
        <v>14.5</v>
      </c>
      <c r="X53" s="125">
        <f t="shared" si="44"/>
        <v>0.70318512696885782</v>
      </c>
      <c r="Y53" s="125">
        <f t="shared" si="45"/>
        <v>0.31840248485926437</v>
      </c>
      <c r="Z53" s="125">
        <f t="shared" si="46"/>
        <v>0</v>
      </c>
      <c r="AA53" s="125">
        <f t="shared" si="47"/>
        <v>0</v>
      </c>
      <c r="AB53" s="125">
        <f t="shared" si="67"/>
        <v>0.95</v>
      </c>
      <c r="AC53" s="125">
        <f t="shared" si="48"/>
        <v>0.90821811314750023</v>
      </c>
      <c r="AD53" s="125">
        <f t="shared" si="49"/>
        <v>0.86280720749012518</v>
      </c>
      <c r="AE53" s="126">
        <f t="shared" si="50"/>
        <v>0</v>
      </c>
      <c r="AF53" s="139">
        <f t="shared" si="51"/>
        <v>0</v>
      </c>
      <c r="AG53"/>
      <c r="AH53"/>
      <c r="AI53"/>
      <c r="AJ53"/>
      <c r="AK53" s="127"/>
      <c r="AL53" s="136">
        <f t="shared" si="68"/>
        <v>2031</v>
      </c>
      <c r="AM53" s="125">
        <f t="shared" si="68"/>
        <v>58</v>
      </c>
      <c r="AN53" s="125">
        <f t="shared" si="68"/>
        <v>23</v>
      </c>
      <c r="AO53" s="126">
        <f t="shared" si="69"/>
        <v>284147.05776520073</v>
      </c>
      <c r="AP53" s="125">
        <f t="shared" si="52"/>
        <v>0.79</v>
      </c>
      <c r="AQ53" s="126">
        <f t="shared" si="53"/>
        <v>64536.900494921225</v>
      </c>
      <c r="AR53" s="126">
        <f t="shared" si="54"/>
        <v>81692.279107495211</v>
      </c>
      <c r="AS53" s="125">
        <f t="shared" si="55"/>
        <v>0</v>
      </c>
      <c r="AT53" s="138">
        <f t="shared" si="56"/>
        <v>14.5</v>
      </c>
      <c r="AU53" s="125">
        <f t="shared" si="57"/>
        <v>0.70318512696885782</v>
      </c>
      <c r="AV53" s="125">
        <f t="shared" si="58"/>
        <v>0.51672044231576797</v>
      </c>
      <c r="AW53" s="125">
        <f t="shared" si="59"/>
        <v>0</v>
      </c>
      <c r="AX53" s="125">
        <f t="shared" si="60"/>
        <v>0</v>
      </c>
      <c r="AY53" s="125">
        <f t="shared" si="70"/>
        <v>0.6</v>
      </c>
      <c r="AZ53" s="125">
        <f t="shared" si="61"/>
        <v>0.90821811314750023</v>
      </c>
      <c r="BA53" s="125">
        <f t="shared" si="62"/>
        <v>0.54493086788850009</v>
      </c>
      <c r="BB53" s="126">
        <f t="shared" si="63"/>
        <v>0</v>
      </c>
      <c r="BC53" s="139">
        <f t="shared" si="64"/>
        <v>0</v>
      </c>
      <c r="BD53" s="124"/>
      <c r="BE53" s="124"/>
      <c r="BF53" s="124"/>
      <c r="BG53" s="124"/>
    </row>
    <row r="54" spans="1:59">
      <c r="A54" s="55"/>
      <c r="B54" s="151"/>
      <c r="C54" s="163"/>
      <c r="D54" s="163"/>
      <c r="L54" s="135"/>
      <c r="N54" s="125"/>
      <c r="O54" s="136">
        <f t="shared" si="65"/>
        <v>2032</v>
      </c>
      <c r="P54" s="125">
        <f t="shared" si="65"/>
        <v>48</v>
      </c>
      <c r="Q54" s="125">
        <f t="shared" si="65"/>
        <v>19</v>
      </c>
      <c r="R54" s="126">
        <f t="shared" si="66"/>
        <v>100016.53538951243</v>
      </c>
      <c r="S54" s="125">
        <f t="shared" si="39"/>
        <v>0.49</v>
      </c>
      <c r="T54" s="126">
        <f t="shared" si="40"/>
        <v>11639.424305954508</v>
      </c>
      <c r="U54" s="126">
        <f t="shared" si="41"/>
        <v>23753.927155009202</v>
      </c>
      <c r="V54" s="125">
        <f t="shared" si="42"/>
        <v>0</v>
      </c>
      <c r="W54" s="138">
        <f t="shared" si="43"/>
        <v>14.5</v>
      </c>
      <c r="X54" s="125">
        <f t="shared" si="44"/>
        <v>0.67290442772139514</v>
      </c>
      <c r="Y54" s="125">
        <f t="shared" si="45"/>
        <v>0.31840248485926437</v>
      </c>
      <c r="Z54" s="125">
        <f t="shared" si="46"/>
        <v>0</v>
      </c>
      <c r="AA54" s="125">
        <f t="shared" si="47"/>
        <v>0</v>
      </c>
      <c r="AB54" s="125">
        <f t="shared" si="67"/>
        <v>0.95</v>
      </c>
      <c r="AC54" s="125">
        <f t="shared" si="48"/>
        <v>0.89735426011942032</v>
      </c>
      <c r="AD54" s="125">
        <f t="shared" si="49"/>
        <v>0.85248654711344929</v>
      </c>
      <c r="AE54" s="126">
        <f t="shared" si="50"/>
        <v>0</v>
      </c>
      <c r="AF54" s="139">
        <f t="shared" si="51"/>
        <v>0</v>
      </c>
      <c r="AG54"/>
      <c r="AH54"/>
      <c r="AI54"/>
      <c r="AJ54"/>
      <c r="AK54" s="127"/>
      <c r="AL54" s="136">
        <f t="shared" si="68"/>
        <v>2032</v>
      </c>
      <c r="AM54" s="125">
        <f t="shared" si="68"/>
        <v>59</v>
      </c>
      <c r="AN54" s="125">
        <f t="shared" si="68"/>
        <v>24</v>
      </c>
      <c r="AO54" s="126">
        <f t="shared" si="69"/>
        <v>293381.83714256977</v>
      </c>
      <c r="AP54" s="125">
        <f t="shared" si="52"/>
        <v>0.82000000000000006</v>
      </c>
      <c r="AQ54" s="126">
        <f t="shared" si="53"/>
        <v>72171.931937072179</v>
      </c>
      <c r="AR54" s="126">
        <f t="shared" si="54"/>
        <v>88014.551142770943</v>
      </c>
      <c r="AS54" s="125">
        <f t="shared" si="55"/>
        <v>0</v>
      </c>
      <c r="AT54" s="138">
        <f t="shared" si="56"/>
        <v>14.5</v>
      </c>
      <c r="AU54" s="125">
        <f t="shared" si="57"/>
        <v>0.67290442772139514</v>
      </c>
      <c r="AV54" s="125">
        <f t="shared" si="58"/>
        <v>0.51672044231576797</v>
      </c>
      <c r="AW54" s="125">
        <f t="shared" si="59"/>
        <v>0</v>
      </c>
      <c r="AX54" s="125">
        <f t="shared" si="60"/>
        <v>0</v>
      </c>
      <c r="AY54" s="125">
        <f t="shared" si="70"/>
        <v>0.6</v>
      </c>
      <c r="AZ54" s="125">
        <f t="shared" si="61"/>
        <v>0.89735426011942032</v>
      </c>
      <c r="BA54" s="125">
        <f t="shared" si="62"/>
        <v>0.53841255607165217</v>
      </c>
      <c r="BB54" s="126">
        <f t="shared" si="63"/>
        <v>0</v>
      </c>
      <c r="BC54" s="139">
        <f t="shared" si="64"/>
        <v>0</v>
      </c>
      <c r="BD54" s="124"/>
      <c r="BE54" s="124"/>
      <c r="BF54" s="124"/>
      <c r="BG54" s="124"/>
    </row>
    <row r="55" spans="1:59">
      <c r="A55" s="55"/>
      <c r="B55" s="151"/>
      <c r="C55" s="163"/>
      <c r="D55" s="163"/>
      <c r="N55" s="125"/>
      <c r="O55" s="136">
        <f t="shared" si="65"/>
        <v>2033</v>
      </c>
      <c r="P55" s="125">
        <f t="shared" si="65"/>
        <v>49</v>
      </c>
      <c r="Q55" s="125">
        <f t="shared" si="65"/>
        <v>20</v>
      </c>
      <c r="R55" s="126">
        <f t="shared" si="66"/>
        <v>103267.07278967158</v>
      </c>
      <c r="S55" s="125">
        <f t="shared" si="39"/>
        <v>0.52</v>
      </c>
      <c r="T55" s="126">
        <f t="shared" si="40"/>
        <v>13424.719462657305</v>
      </c>
      <c r="U55" s="126">
        <f t="shared" si="41"/>
        <v>25816.768197417896</v>
      </c>
      <c r="V55" s="125">
        <f t="shared" si="42"/>
        <v>0</v>
      </c>
      <c r="W55" s="138">
        <f t="shared" si="43"/>
        <v>14.5</v>
      </c>
      <c r="X55" s="125">
        <f t="shared" si="44"/>
        <v>0.64392768203004325</v>
      </c>
      <c r="Y55" s="125">
        <f t="shared" si="45"/>
        <v>0.31840248485926437</v>
      </c>
      <c r="Z55" s="125">
        <f t="shared" si="46"/>
        <v>0</v>
      </c>
      <c r="AA55" s="125">
        <f t="shared" si="47"/>
        <v>0</v>
      </c>
      <c r="AB55" s="125">
        <f t="shared" si="67"/>
        <v>0.95</v>
      </c>
      <c r="AC55" s="125">
        <f t="shared" si="48"/>
        <v>0.88662035748641288</v>
      </c>
      <c r="AD55" s="125">
        <f t="shared" si="49"/>
        <v>0.84228933961209218</v>
      </c>
      <c r="AE55" s="126">
        <f t="shared" si="50"/>
        <v>0</v>
      </c>
      <c r="AF55" s="139">
        <f t="shared" si="51"/>
        <v>0</v>
      </c>
      <c r="AG55"/>
      <c r="AH55"/>
      <c r="AI55"/>
      <c r="AJ55"/>
      <c r="AK55" s="127"/>
      <c r="AL55" s="136">
        <f t="shared" si="68"/>
        <v>2033</v>
      </c>
      <c r="AM55" s="125">
        <f t="shared" si="68"/>
        <v>60</v>
      </c>
      <c r="AN55" s="125">
        <f t="shared" si="68"/>
        <v>25</v>
      </c>
      <c r="AO55" s="126">
        <f t="shared" si="69"/>
        <v>302916.74684970325</v>
      </c>
      <c r="AP55" s="125">
        <f t="shared" si="52"/>
        <v>0.85</v>
      </c>
      <c r="AQ55" s="126">
        <f t="shared" si="53"/>
        <v>80462.260881952432</v>
      </c>
      <c r="AR55" s="126">
        <f t="shared" si="54"/>
        <v>94661.483390532274</v>
      </c>
      <c r="AS55" s="125">
        <f t="shared" si="55"/>
        <v>0</v>
      </c>
      <c r="AT55" s="138">
        <f t="shared" si="56"/>
        <v>14.5</v>
      </c>
      <c r="AU55" s="125">
        <f t="shared" si="57"/>
        <v>0.64392768203004325</v>
      </c>
      <c r="AV55" s="125">
        <f t="shared" si="58"/>
        <v>0.51672044231576797</v>
      </c>
      <c r="AW55" s="125">
        <f t="shared" si="59"/>
        <v>0</v>
      </c>
      <c r="AX55" s="125">
        <f t="shared" si="60"/>
        <v>0</v>
      </c>
      <c r="AY55" s="125">
        <f t="shared" si="70"/>
        <v>0.6</v>
      </c>
      <c r="AZ55" s="125">
        <f t="shared" si="61"/>
        <v>0.88662035748641288</v>
      </c>
      <c r="BA55" s="125">
        <f t="shared" si="62"/>
        <v>0.53197221449184773</v>
      </c>
      <c r="BB55" s="126">
        <f t="shared" si="63"/>
        <v>0</v>
      </c>
      <c r="BC55" s="139">
        <f t="shared" si="64"/>
        <v>0</v>
      </c>
      <c r="BD55" s="124"/>
      <c r="BE55" s="124"/>
      <c r="BF55" s="124"/>
      <c r="BG55" s="124"/>
    </row>
    <row r="56" spans="1:59">
      <c r="A56" s="55"/>
      <c r="B56" s="158"/>
      <c r="D56" s="165"/>
      <c r="L56" s="135"/>
      <c r="N56" s="125"/>
      <c r="O56" s="136">
        <f t="shared" si="65"/>
        <v>2034</v>
      </c>
      <c r="P56" s="125">
        <f t="shared" si="65"/>
        <v>50</v>
      </c>
      <c r="Q56" s="125">
        <f t="shared" si="65"/>
        <v>21</v>
      </c>
      <c r="R56" s="126">
        <f t="shared" si="66"/>
        <v>106623.25265533591</v>
      </c>
      <c r="S56" s="125">
        <f t="shared" si="39"/>
        <v>0.55000000000000004</v>
      </c>
      <c r="T56" s="126">
        <f t="shared" si="40"/>
        <v>15393.732102114123</v>
      </c>
      <c r="U56" s="126">
        <f t="shared" si="41"/>
        <v>27988.603822025678</v>
      </c>
      <c r="V56" s="125">
        <f t="shared" si="42"/>
        <v>0</v>
      </c>
      <c r="W56" s="138">
        <f t="shared" si="43"/>
        <v>14.5</v>
      </c>
      <c r="X56" s="125">
        <f t="shared" si="44"/>
        <v>0.61619873878473042</v>
      </c>
      <c r="Y56" s="125">
        <f t="shared" si="45"/>
        <v>0.31840248485926437</v>
      </c>
      <c r="Z56" s="125">
        <f t="shared" si="46"/>
        <v>0</v>
      </c>
      <c r="AA56" s="125">
        <f t="shared" si="47"/>
        <v>0</v>
      </c>
      <c r="AB56" s="125">
        <f t="shared" si="67"/>
        <v>0.95</v>
      </c>
      <c r="AC56" s="125">
        <f t="shared" si="48"/>
        <v>0.87601485081791508</v>
      </c>
      <c r="AD56" s="125">
        <f t="shared" si="49"/>
        <v>0.83221410827701925</v>
      </c>
      <c r="AE56" s="126">
        <f t="shared" si="50"/>
        <v>0</v>
      </c>
      <c r="AF56" s="139">
        <f t="shared" si="51"/>
        <v>0</v>
      </c>
      <c r="AG56"/>
      <c r="AH56"/>
      <c r="AI56"/>
      <c r="AJ56"/>
      <c r="AK56" s="127"/>
      <c r="AL56" s="136">
        <f t="shared" si="68"/>
        <v>2034</v>
      </c>
      <c r="AM56" s="125">
        <f t="shared" si="68"/>
        <v>61</v>
      </c>
      <c r="AN56" s="125">
        <f t="shared" si="68"/>
        <v>26</v>
      </c>
      <c r="AO56" s="126">
        <f t="shared" si="69"/>
        <v>312761.54112231859</v>
      </c>
      <c r="AP56" s="125">
        <f t="shared" si="52"/>
        <v>0.88</v>
      </c>
      <c r="AQ56" s="126">
        <f t="shared" si="53"/>
        <v>89449.800760983126</v>
      </c>
      <c r="AR56" s="126">
        <f t="shared" si="54"/>
        <v>101647.50086475354</v>
      </c>
      <c r="AS56" s="125">
        <f t="shared" si="55"/>
        <v>0</v>
      </c>
      <c r="AT56" s="138">
        <f t="shared" si="56"/>
        <v>14.5</v>
      </c>
      <c r="AU56" s="125">
        <f t="shared" si="57"/>
        <v>0.61619873878473042</v>
      </c>
      <c r="AV56" s="125">
        <f t="shared" si="58"/>
        <v>0.51672044231576797</v>
      </c>
      <c r="AW56" s="125">
        <f t="shared" si="59"/>
        <v>0</v>
      </c>
      <c r="AX56" s="125">
        <f t="shared" si="60"/>
        <v>0</v>
      </c>
      <c r="AY56" s="125">
        <f t="shared" si="70"/>
        <v>0.6</v>
      </c>
      <c r="AZ56" s="125">
        <f t="shared" si="61"/>
        <v>0.87601485081791508</v>
      </c>
      <c r="BA56" s="125">
        <f t="shared" si="62"/>
        <v>0.52560891049074898</v>
      </c>
      <c r="BB56" s="126">
        <f t="shared" si="63"/>
        <v>0</v>
      </c>
      <c r="BC56" s="139">
        <f t="shared" si="64"/>
        <v>0</v>
      </c>
      <c r="BD56" s="124"/>
      <c r="BE56" s="124"/>
      <c r="BF56" s="124"/>
      <c r="BG56" s="124"/>
    </row>
    <row r="57" spans="1:59">
      <c r="A57" s="55"/>
      <c r="B57" s="158"/>
      <c r="D57" s="165"/>
      <c r="N57" s="125"/>
      <c r="O57" s="136">
        <f t="shared" si="65"/>
        <v>2035</v>
      </c>
      <c r="P57" s="125">
        <f t="shared" si="65"/>
        <v>51</v>
      </c>
      <c r="Q57" s="125">
        <f t="shared" si="65"/>
        <v>22</v>
      </c>
      <c r="R57" s="126">
        <f t="shared" si="66"/>
        <v>110088.50836663431</v>
      </c>
      <c r="S57" s="125">
        <f t="shared" si="39"/>
        <v>0.58000000000000007</v>
      </c>
      <c r="T57" s="126">
        <f t="shared" si="40"/>
        <v>17559.117084478177</v>
      </c>
      <c r="U57" s="126">
        <f t="shared" si="41"/>
        <v>30274.33980082444</v>
      </c>
      <c r="V57" s="125">
        <f t="shared" si="42"/>
        <v>0</v>
      </c>
      <c r="W57" s="138">
        <f t="shared" si="43"/>
        <v>14.5</v>
      </c>
      <c r="X57" s="125">
        <f t="shared" si="44"/>
        <v>0.58966386486577083</v>
      </c>
      <c r="Y57" s="125">
        <f t="shared" si="45"/>
        <v>0.31840248485926437</v>
      </c>
      <c r="Z57" s="125">
        <f t="shared" si="46"/>
        <v>0</v>
      </c>
      <c r="AA57" s="125">
        <f t="shared" si="47"/>
        <v>0</v>
      </c>
      <c r="AB57" s="125">
        <f t="shared" si="67"/>
        <v>0.95</v>
      </c>
      <c r="AC57" s="125">
        <f t="shared" si="48"/>
        <v>0.86553620427703115</v>
      </c>
      <c r="AD57" s="125">
        <f t="shared" si="49"/>
        <v>0.82225939406317961</v>
      </c>
      <c r="AE57" s="126">
        <f t="shared" si="50"/>
        <v>0</v>
      </c>
      <c r="AF57" s="139">
        <f t="shared" si="51"/>
        <v>0</v>
      </c>
      <c r="AG57"/>
      <c r="AH57"/>
      <c r="AI57"/>
      <c r="AJ57"/>
      <c r="AK57" s="127"/>
      <c r="AL57" s="136">
        <f t="shared" si="68"/>
        <v>2035</v>
      </c>
      <c r="AM57" s="125">
        <f t="shared" si="68"/>
        <v>62</v>
      </c>
      <c r="AN57" s="125">
        <f t="shared" si="68"/>
        <v>27</v>
      </c>
      <c r="AO57" s="126">
        <f t="shared" si="69"/>
        <v>322926.29120879393</v>
      </c>
      <c r="AP57" s="125">
        <f t="shared" si="52"/>
        <v>0.91</v>
      </c>
      <c r="AQ57" s="126">
        <f t="shared" si="53"/>
        <v>99178.737187500839</v>
      </c>
      <c r="AR57" s="126">
        <f t="shared" si="54"/>
        <v>108987.62328296796</v>
      </c>
      <c r="AS57" s="125">
        <f t="shared" si="55"/>
        <v>0</v>
      </c>
      <c r="AT57" s="138">
        <f t="shared" si="56"/>
        <v>14.5</v>
      </c>
      <c r="AU57" s="125">
        <f t="shared" si="57"/>
        <v>0.58966386486577083</v>
      </c>
      <c r="AV57" s="125">
        <f t="shared" si="58"/>
        <v>0.51672044231576797</v>
      </c>
      <c r="AW57" s="125">
        <f t="shared" si="59"/>
        <v>0</v>
      </c>
      <c r="AX57" s="125">
        <f t="shared" si="60"/>
        <v>0</v>
      </c>
      <c r="AY57" s="125">
        <f t="shared" si="70"/>
        <v>0.6</v>
      </c>
      <c r="AZ57" s="125">
        <f t="shared" si="61"/>
        <v>0.86553620427703115</v>
      </c>
      <c r="BA57" s="125">
        <f t="shared" si="62"/>
        <v>0.51932172256621867</v>
      </c>
      <c r="BB57" s="126">
        <f t="shared" si="63"/>
        <v>0</v>
      </c>
      <c r="BC57" s="139">
        <f t="shared" si="64"/>
        <v>0</v>
      </c>
      <c r="BD57" s="124"/>
      <c r="BE57" s="124"/>
      <c r="BF57" s="124"/>
      <c r="BG57" s="124"/>
    </row>
    <row r="58" spans="1:59">
      <c r="A58" s="55"/>
      <c r="K58" s="167"/>
      <c r="N58" s="125"/>
      <c r="O58" s="136">
        <f t="shared" si="65"/>
        <v>2036</v>
      </c>
      <c r="P58" s="125">
        <f t="shared" si="65"/>
        <v>52</v>
      </c>
      <c r="Q58" s="125">
        <f t="shared" si="65"/>
        <v>23</v>
      </c>
      <c r="R58" s="126">
        <f t="shared" si="66"/>
        <v>113666.38488854993</v>
      </c>
      <c r="S58" s="125">
        <f t="shared" si="39"/>
        <v>0.61</v>
      </c>
      <c r="T58" s="126">
        <f t="shared" si="40"/>
        <v>19934.242249829447</v>
      </c>
      <c r="U58" s="126">
        <f t="shared" si="41"/>
        <v>32679.085655458111</v>
      </c>
      <c r="V58" s="125">
        <f t="shared" si="42"/>
        <v>0</v>
      </c>
      <c r="W58" s="138">
        <f t="shared" si="43"/>
        <v>14.5</v>
      </c>
      <c r="X58" s="125">
        <f t="shared" si="44"/>
        <v>0.56427164101987637</v>
      </c>
      <c r="Y58" s="125">
        <f t="shared" si="45"/>
        <v>0.31840248485926437</v>
      </c>
      <c r="Z58" s="125">
        <f t="shared" si="46"/>
        <v>0</v>
      </c>
      <c r="AA58" s="125">
        <f t="shared" si="47"/>
        <v>0</v>
      </c>
      <c r="AB58" s="125">
        <f t="shared" si="67"/>
        <v>0.95</v>
      </c>
      <c r="AC58" s="125">
        <f t="shared" si="48"/>
        <v>0.85518290039811928</v>
      </c>
      <c r="AD58" s="125">
        <f t="shared" si="49"/>
        <v>0.81242375537821332</v>
      </c>
      <c r="AE58" s="126">
        <f t="shared" si="50"/>
        <v>0</v>
      </c>
      <c r="AF58" s="139">
        <f t="shared" si="51"/>
        <v>0</v>
      </c>
      <c r="AG58"/>
      <c r="AH58"/>
      <c r="AI58"/>
      <c r="AJ58"/>
      <c r="AK58" s="127"/>
      <c r="AL58" s="136">
        <f t="shared" si="68"/>
        <v>2036</v>
      </c>
      <c r="AM58" s="125">
        <f t="shared" si="68"/>
        <v>63</v>
      </c>
      <c r="AN58" s="125">
        <f t="shared" si="68"/>
        <v>28</v>
      </c>
      <c r="AO58" s="126">
        <f t="shared" si="69"/>
        <v>333421.39567307971</v>
      </c>
      <c r="AP58" s="125">
        <f t="shared" si="52"/>
        <v>0.94</v>
      </c>
      <c r="AQ58" s="126">
        <f t="shared" si="53"/>
        <v>109695.63917644322</v>
      </c>
      <c r="AR58" s="126">
        <f t="shared" si="54"/>
        <v>116697.48848557791</v>
      </c>
      <c r="AS58" s="125">
        <f t="shared" si="55"/>
        <v>0</v>
      </c>
      <c r="AT58" s="138">
        <f t="shared" si="56"/>
        <v>14.5</v>
      </c>
      <c r="AU58" s="125">
        <f t="shared" si="57"/>
        <v>0.56427164101987637</v>
      </c>
      <c r="AV58" s="125">
        <f t="shared" si="58"/>
        <v>0.51672044231576797</v>
      </c>
      <c r="AW58" s="125">
        <f t="shared" si="59"/>
        <v>0</v>
      </c>
      <c r="AX58" s="125">
        <f t="shared" si="60"/>
        <v>0</v>
      </c>
      <c r="AY58" s="125">
        <f t="shared" si="70"/>
        <v>0.6</v>
      </c>
      <c r="AZ58" s="125">
        <f t="shared" si="61"/>
        <v>0.85518290039811928</v>
      </c>
      <c r="BA58" s="125">
        <f t="shared" si="62"/>
        <v>0.51310974023887157</v>
      </c>
      <c r="BB58" s="126">
        <f t="shared" si="63"/>
        <v>0</v>
      </c>
      <c r="BC58" s="139">
        <f t="shared" si="64"/>
        <v>0</v>
      </c>
      <c r="BD58" s="124"/>
      <c r="BE58" s="124"/>
      <c r="BF58" s="124"/>
      <c r="BG58" s="124"/>
    </row>
    <row r="59" spans="1:59">
      <c r="A59" s="55"/>
      <c r="K59" s="167"/>
      <c r="N59" s="125"/>
      <c r="O59" s="136">
        <f t="shared" si="65"/>
        <v>2037</v>
      </c>
      <c r="P59" s="125">
        <f t="shared" si="65"/>
        <v>53</v>
      </c>
      <c r="Q59" s="125">
        <f t="shared" si="65"/>
        <v>24</v>
      </c>
      <c r="R59" s="126">
        <f t="shared" si="66"/>
        <v>117360.54239742779</v>
      </c>
      <c r="S59" s="125">
        <f t="shared" si="39"/>
        <v>0.64</v>
      </c>
      <c r="T59" s="126">
        <f t="shared" si="40"/>
        <v>22533.224140306138</v>
      </c>
      <c r="U59" s="126">
        <f t="shared" si="41"/>
        <v>35208.162719228341</v>
      </c>
      <c r="V59" s="125">
        <f t="shared" si="42"/>
        <v>0</v>
      </c>
      <c r="W59" s="138">
        <f t="shared" si="43"/>
        <v>14.5</v>
      </c>
      <c r="X59" s="125">
        <f t="shared" si="44"/>
        <v>0.53997286221997753</v>
      </c>
      <c r="Y59" s="125">
        <f t="shared" si="45"/>
        <v>0.31840248485926437</v>
      </c>
      <c r="Z59" s="125">
        <f t="shared" si="46"/>
        <v>0</v>
      </c>
      <c r="AA59" s="125">
        <f t="shared" si="47"/>
        <v>0</v>
      </c>
      <c r="AB59" s="125">
        <f t="shared" si="67"/>
        <v>0.95</v>
      </c>
      <c r="AC59" s="125">
        <f t="shared" si="48"/>
        <v>0.8449534398670413</v>
      </c>
      <c r="AD59" s="125">
        <f t="shared" si="49"/>
        <v>0.80270576787368919</v>
      </c>
      <c r="AE59" s="126">
        <f t="shared" si="50"/>
        <v>0</v>
      </c>
      <c r="AF59" s="139">
        <f t="shared" si="51"/>
        <v>0</v>
      </c>
      <c r="AG59"/>
      <c r="AH59"/>
      <c r="AI59"/>
      <c r="AJ59"/>
      <c r="AK59" s="127"/>
      <c r="AL59" s="136">
        <f t="shared" si="68"/>
        <v>2037</v>
      </c>
      <c r="AM59" s="125">
        <f t="shared" si="68"/>
        <v>64</v>
      </c>
      <c r="AN59" s="125">
        <f t="shared" si="68"/>
        <v>29</v>
      </c>
      <c r="AO59" s="126">
        <f t="shared" si="69"/>
        <v>344257.5910324548</v>
      </c>
      <c r="AP59" s="125">
        <f t="shared" si="52"/>
        <v>0.97</v>
      </c>
      <c r="AQ59" s="126">
        <f t="shared" si="53"/>
        <v>121049.57544678693</v>
      </c>
      <c r="AR59" s="126">
        <f t="shared" si="54"/>
        <v>124793.37674926486</v>
      </c>
      <c r="AS59" s="125">
        <f t="shared" si="55"/>
        <v>0</v>
      </c>
      <c r="AT59" s="138">
        <f t="shared" si="56"/>
        <v>14.5</v>
      </c>
      <c r="AU59" s="125">
        <f t="shared" si="57"/>
        <v>0.53997286221997753</v>
      </c>
      <c r="AV59" s="125">
        <f t="shared" si="58"/>
        <v>0.51672044231576797</v>
      </c>
      <c r="AW59" s="125">
        <f t="shared" si="59"/>
        <v>0</v>
      </c>
      <c r="AX59" s="125">
        <f t="shared" si="60"/>
        <v>0</v>
      </c>
      <c r="AY59" s="125">
        <f t="shared" si="70"/>
        <v>0.6</v>
      </c>
      <c r="AZ59" s="125">
        <f t="shared" si="61"/>
        <v>0.8449534398670413</v>
      </c>
      <c r="BA59" s="125">
        <f t="shared" si="62"/>
        <v>0.50697206392022476</v>
      </c>
      <c r="BB59" s="126">
        <f t="shared" si="63"/>
        <v>0</v>
      </c>
      <c r="BC59" s="139">
        <f t="shared" si="64"/>
        <v>0</v>
      </c>
      <c r="BD59" s="124"/>
      <c r="BE59" s="124"/>
      <c r="BF59" s="124"/>
      <c r="BG59" s="124"/>
    </row>
    <row r="60" spans="1:59">
      <c r="A60" s="55"/>
      <c r="K60" s="167"/>
      <c r="N60" s="125"/>
      <c r="O60" s="136">
        <f t="shared" si="65"/>
        <v>2038</v>
      </c>
      <c r="P60" s="125">
        <f t="shared" si="65"/>
        <v>54</v>
      </c>
      <c r="Q60" s="125">
        <f t="shared" si="65"/>
        <v>25</v>
      </c>
      <c r="R60" s="126">
        <f t="shared" si="66"/>
        <v>121174.76002534419</v>
      </c>
      <c r="S60" s="125">
        <f t="shared" si="39"/>
        <v>0.67</v>
      </c>
      <c r="T60" s="126">
        <f t="shared" si="40"/>
        <v>25370.965380306443</v>
      </c>
      <c r="U60" s="126">
        <f t="shared" si="41"/>
        <v>37867.112507920065</v>
      </c>
      <c r="V60" s="125">
        <f t="shared" si="42"/>
        <v>0</v>
      </c>
      <c r="W60" s="138">
        <f t="shared" si="43"/>
        <v>14.5</v>
      </c>
      <c r="X60" s="125">
        <f t="shared" si="44"/>
        <v>0.51672044231576797</v>
      </c>
      <c r="Y60" s="125">
        <f t="shared" si="45"/>
        <v>0.31840248485926437</v>
      </c>
      <c r="Z60" s="125">
        <f t="shared" si="46"/>
        <v>0</v>
      </c>
      <c r="AA60" s="125">
        <f t="shared" si="47"/>
        <v>0</v>
      </c>
      <c r="AB60" s="125">
        <f t="shared" si="67"/>
        <v>0.95</v>
      </c>
      <c r="AC60" s="125">
        <f t="shared" si="48"/>
        <v>0.83484634130403845</v>
      </c>
      <c r="AD60" s="125">
        <f t="shared" si="49"/>
        <v>0.79310402423883652</v>
      </c>
      <c r="AE60" s="126">
        <f t="shared" si="50"/>
        <v>0</v>
      </c>
      <c r="AF60" s="139">
        <f t="shared" si="51"/>
        <v>0</v>
      </c>
      <c r="AG60" s="126"/>
      <c r="AH60" s="126"/>
      <c r="AI60" s="126"/>
      <c r="AJ60" s="126"/>
      <c r="AK60" s="127"/>
      <c r="AL60" s="142">
        <f t="shared" si="68"/>
        <v>2038</v>
      </c>
      <c r="AM60" s="143">
        <f t="shared" si="68"/>
        <v>65</v>
      </c>
      <c r="AN60" s="143">
        <f t="shared" si="68"/>
        <v>30</v>
      </c>
      <c r="AO60" s="144">
        <f t="shared" si="69"/>
        <v>355445.9627410096</v>
      </c>
      <c r="AP60" s="143">
        <f t="shared" si="52"/>
        <v>1</v>
      </c>
      <c r="AQ60" s="144">
        <f t="shared" si="53"/>
        <v>133292.23602787862</v>
      </c>
      <c r="AR60" s="144">
        <f t="shared" si="54"/>
        <v>133292.23602787862</v>
      </c>
      <c r="AS60" s="143">
        <f t="shared" si="55"/>
        <v>14.5</v>
      </c>
      <c r="AT60" s="145">
        <f t="shared" si="56"/>
        <v>14.5</v>
      </c>
      <c r="AU60" s="143">
        <f t="shared" si="57"/>
        <v>0.51672044231576797</v>
      </c>
      <c r="AV60" s="143">
        <f t="shared" si="58"/>
        <v>0.51672044231576797</v>
      </c>
      <c r="AW60" s="143">
        <f t="shared" si="59"/>
        <v>1</v>
      </c>
      <c r="AX60" s="143">
        <f t="shared" si="60"/>
        <v>0</v>
      </c>
      <c r="AY60" s="143">
        <f t="shared" si="70"/>
        <v>0.6</v>
      </c>
      <c r="AZ60" s="143">
        <f t="shared" si="61"/>
        <v>0.83484634130403845</v>
      </c>
      <c r="BA60" s="143">
        <f t="shared" si="62"/>
        <v>0</v>
      </c>
      <c r="BB60" s="144">
        <f t="shared" si="63"/>
        <v>599210.96147097368</v>
      </c>
      <c r="BC60" s="153">
        <f t="shared" si="64"/>
        <v>0</v>
      </c>
      <c r="BD60" s="124"/>
      <c r="BE60" s="124"/>
      <c r="BF60" s="124"/>
      <c r="BG60" s="124"/>
    </row>
    <row r="61" spans="1:59">
      <c r="A61" s="55"/>
      <c r="C61" s="55"/>
      <c r="D61" s="55"/>
      <c r="E61" s="55"/>
      <c r="F61" s="55"/>
      <c r="G61" s="55"/>
      <c r="H61" s="55"/>
      <c r="I61" s="55"/>
      <c r="K61" s="167"/>
      <c r="N61" s="125"/>
      <c r="O61" s="136">
        <f t="shared" si="65"/>
        <v>2039</v>
      </c>
      <c r="P61" s="125">
        <f t="shared" si="65"/>
        <v>55</v>
      </c>
      <c r="Q61" s="125">
        <f t="shared" si="65"/>
        <v>26</v>
      </c>
      <c r="R61" s="126">
        <f t="shared" si="66"/>
        <v>125112.93972616788</v>
      </c>
      <c r="S61" s="125">
        <f t="shared" si="39"/>
        <v>0.7</v>
      </c>
      <c r="T61" s="126">
        <f t="shared" si="40"/>
        <v>28463.193787703189</v>
      </c>
      <c r="U61" s="126">
        <f t="shared" si="41"/>
        <v>40661.705411004565</v>
      </c>
      <c r="V61" s="125">
        <f t="shared" si="42"/>
        <v>17</v>
      </c>
      <c r="W61" s="138">
        <f t="shared" si="43"/>
        <v>14.5</v>
      </c>
      <c r="X61" s="125">
        <f t="shared" si="44"/>
        <v>0.49446932279020878</v>
      </c>
      <c r="Y61" s="125">
        <f t="shared" si="45"/>
        <v>0.31840248485926437</v>
      </c>
      <c r="Z61" s="125">
        <f t="shared" si="46"/>
        <v>0.4</v>
      </c>
      <c r="AA61" s="125">
        <f t="shared" si="47"/>
        <v>0</v>
      </c>
      <c r="AB61" s="125">
        <f t="shared" si="67"/>
        <v>0.95</v>
      </c>
      <c r="AC61" s="125">
        <f t="shared" si="48"/>
        <v>0.82486014104920569</v>
      </c>
      <c r="AD61" s="125">
        <f t="shared" si="49"/>
        <v>0.4701702803980472</v>
      </c>
      <c r="AE61" s="126">
        <f t="shared" si="50"/>
        <v>90919.177971972385</v>
      </c>
      <c r="AF61" s="139">
        <f t="shared" si="51"/>
        <v>0</v>
      </c>
      <c r="AG61" s="126"/>
      <c r="AH61" s="126"/>
      <c r="AI61" s="126"/>
      <c r="AJ61" s="126"/>
      <c r="AK61" s="127"/>
      <c r="AL61" s="125"/>
      <c r="AM61" s="125"/>
      <c r="AN61" s="125"/>
      <c r="AO61" s="126"/>
      <c r="AP61" s="125"/>
      <c r="AQ61" s="126"/>
      <c r="AR61" s="126"/>
      <c r="AS61" s="125"/>
      <c r="AT61" s="138"/>
      <c r="AU61" s="125"/>
      <c r="AV61" s="125"/>
      <c r="AW61" s="125"/>
      <c r="AX61" s="125"/>
      <c r="AY61" s="125"/>
      <c r="AZ61" s="125"/>
      <c r="BA61" s="125">
        <f>SUM(BA45:BA60)</f>
        <v>10.236829546612316</v>
      </c>
      <c r="BB61" s="126">
        <f>SUM(BB45:BB60)</f>
        <v>845723.20350095292</v>
      </c>
      <c r="BC61" s="126">
        <f>SUM(BC45:BC60)</f>
        <v>0</v>
      </c>
      <c r="BD61" s="124"/>
      <c r="BE61" s="124"/>
      <c r="BF61" s="124"/>
      <c r="BG61" s="124"/>
    </row>
    <row r="62" spans="1:59">
      <c r="A62" s="55"/>
      <c r="C62" s="55"/>
      <c r="D62" s="55"/>
      <c r="E62" s="55"/>
      <c r="F62" s="55"/>
      <c r="G62" s="55"/>
      <c r="H62" s="55"/>
      <c r="I62" s="55"/>
      <c r="K62" s="167"/>
      <c r="N62" s="125"/>
      <c r="O62" s="136">
        <f t="shared" ref="O62:Q71" si="71">O61+1</f>
        <v>2040</v>
      </c>
      <c r="P62" s="125">
        <f t="shared" si="71"/>
        <v>56</v>
      </c>
      <c r="Q62" s="125">
        <f t="shared" si="71"/>
        <v>27</v>
      </c>
      <c r="R62" s="126">
        <f t="shared" si="66"/>
        <v>129179.11026726833</v>
      </c>
      <c r="S62" s="125">
        <f t="shared" si="39"/>
        <v>0.73</v>
      </c>
      <c r="T62" s="126">
        <f t="shared" si="40"/>
        <v>31826.503292098234</v>
      </c>
      <c r="U62" s="126">
        <f t="shared" si="41"/>
        <v>43597.94971520306</v>
      </c>
      <c r="V62" s="125">
        <f t="shared" si="42"/>
        <v>0</v>
      </c>
      <c r="W62" s="138">
        <f t="shared" si="43"/>
        <v>14.5</v>
      </c>
      <c r="X62" s="125">
        <f t="shared" si="44"/>
        <v>0.47317638544517582</v>
      </c>
      <c r="Y62" s="125">
        <f t="shared" si="45"/>
        <v>0.31840248485926437</v>
      </c>
      <c r="Z62" s="125">
        <f t="shared" si="46"/>
        <v>0</v>
      </c>
      <c r="AA62" s="125">
        <f t="shared" si="47"/>
        <v>0</v>
      </c>
      <c r="AB62" s="125">
        <f t="shared" si="67"/>
        <v>0.56999999999999995</v>
      </c>
      <c r="AC62" s="125">
        <f t="shared" si="48"/>
        <v>0.81499339295053097</v>
      </c>
      <c r="AD62" s="125">
        <f t="shared" si="49"/>
        <v>0.46454623398180261</v>
      </c>
      <c r="AE62" s="126">
        <f t="shared" si="50"/>
        <v>0</v>
      </c>
      <c r="AF62" s="139">
        <f t="shared" si="51"/>
        <v>0</v>
      </c>
      <c r="AG62" s="126"/>
      <c r="AH62" s="126"/>
      <c r="AI62" s="126"/>
      <c r="AJ62" s="126"/>
      <c r="AK62" s="127"/>
      <c r="AL62" s="168" t="s">
        <v>211</v>
      </c>
      <c r="AM62" s="150">
        <f>SUM(BB61:BC61)</f>
        <v>845723.20350095292</v>
      </c>
      <c r="AN62" s="125"/>
      <c r="AO62" s="126"/>
      <c r="AP62" s="125"/>
      <c r="AQ62" s="126"/>
      <c r="AR62" s="126"/>
      <c r="AS62" s="125"/>
      <c r="AT62" s="138"/>
      <c r="AU62" s="125"/>
      <c r="AV62" s="125"/>
      <c r="AW62" s="125"/>
      <c r="AX62" s="125"/>
      <c r="AY62" s="125"/>
      <c r="AZ62" s="125"/>
      <c r="BA62" s="125"/>
      <c r="BB62" s="126"/>
      <c r="BC62" s="126"/>
      <c r="BD62" s="124"/>
      <c r="BE62" s="124"/>
      <c r="BF62" s="124"/>
      <c r="BG62" s="124"/>
    </row>
    <row r="63" spans="1:59">
      <c r="A63" s="55"/>
      <c r="K63" s="167"/>
      <c r="N63" s="125"/>
      <c r="O63" s="136">
        <f t="shared" si="71"/>
        <v>2041</v>
      </c>
      <c r="P63" s="125">
        <f t="shared" si="71"/>
        <v>57</v>
      </c>
      <c r="Q63" s="125">
        <f t="shared" si="71"/>
        <v>28</v>
      </c>
      <c r="R63" s="126">
        <f t="shared" si="66"/>
        <v>133377.43135095455</v>
      </c>
      <c r="S63" s="125">
        <f t="shared" si="39"/>
        <v>0.76</v>
      </c>
      <c r="T63" s="126">
        <f t="shared" si="40"/>
        <v>35478.396739353913</v>
      </c>
      <c r="U63" s="126">
        <f t="shared" si="41"/>
        <v>46682.100972834094</v>
      </c>
      <c r="V63" s="125">
        <f t="shared" si="42"/>
        <v>0</v>
      </c>
      <c r="W63" s="138">
        <f t="shared" si="43"/>
        <v>14.5</v>
      </c>
      <c r="X63" s="125">
        <f t="shared" si="44"/>
        <v>0.45280036884705832</v>
      </c>
      <c r="Y63" s="125">
        <f t="shared" si="45"/>
        <v>0.31840248485926437</v>
      </c>
      <c r="Z63" s="125">
        <f t="shared" si="46"/>
        <v>0</v>
      </c>
      <c r="AA63" s="125">
        <f t="shared" si="47"/>
        <v>0</v>
      </c>
      <c r="AB63" s="125">
        <f t="shared" si="67"/>
        <v>0.56999999999999995</v>
      </c>
      <c r="AC63" s="125">
        <f t="shared" si="48"/>
        <v>0.80524466815447204</v>
      </c>
      <c r="AD63" s="125">
        <f t="shared" si="49"/>
        <v>0.45898946084804904</v>
      </c>
      <c r="AE63" s="126">
        <f t="shared" si="50"/>
        <v>0</v>
      </c>
      <c r="AF63" s="139">
        <f t="shared" si="51"/>
        <v>0</v>
      </c>
      <c r="AG63" s="126"/>
      <c r="AH63" s="126"/>
      <c r="AI63" s="126"/>
      <c r="AJ63" s="126"/>
      <c r="AK63" s="127"/>
      <c r="AL63" s="169" t="s">
        <v>150</v>
      </c>
      <c r="AM63" s="153">
        <f>(AM62-0)/BA61</f>
        <v>82615.73562889194</v>
      </c>
      <c r="AN63" s="125"/>
      <c r="AO63" s="126"/>
      <c r="AP63" s="125"/>
      <c r="AQ63" s="126"/>
      <c r="AR63" s="126"/>
      <c r="AS63" s="125"/>
      <c r="AT63" s="138"/>
      <c r="AU63" s="125"/>
      <c r="AV63" s="125"/>
      <c r="AW63" s="125"/>
      <c r="AX63" s="125"/>
      <c r="AY63" s="125"/>
      <c r="AZ63" s="125"/>
      <c r="BA63" s="125"/>
      <c r="BB63" s="126"/>
      <c r="BC63" s="126"/>
      <c r="BD63" s="124"/>
      <c r="BE63" s="124"/>
      <c r="BF63" s="124"/>
      <c r="BG63" s="124"/>
    </row>
    <row r="64" spans="1:59">
      <c r="A64" s="55"/>
      <c r="K64" s="167"/>
      <c r="N64" s="125"/>
      <c r="O64" s="136">
        <f t="shared" si="71"/>
        <v>2042</v>
      </c>
      <c r="P64" s="125">
        <f t="shared" si="71"/>
        <v>58</v>
      </c>
      <c r="Q64" s="125">
        <f t="shared" si="71"/>
        <v>29</v>
      </c>
      <c r="R64" s="126">
        <f t="shared" si="66"/>
        <v>137712.19786986057</v>
      </c>
      <c r="S64" s="125">
        <f t="shared" si="39"/>
        <v>0.79</v>
      </c>
      <c r="T64" s="126">
        <f t="shared" si="40"/>
        <v>39437.330664981324</v>
      </c>
      <c r="U64" s="126">
        <f t="shared" si="41"/>
        <v>49920.671727824461</v>
      </c>
      <c r="V64" s="125">
        <f t="shared" si="42"/>
        <v>0</v>
      </c>
      <c r="W64" s="138">
        <f t="shared" si="43"/>
        <v>14.5</v>
      </c>
      <c r="X64" s="125">
        <f t="shared" si="44"/>
        <v>0.43330178837039074</v>
      </c>
      <c r="Y64" s="125">
        <f t="shared" si="45"/>
        <v>0.31840248485926437</v>
      </c>
      <c r="Z64" s="125">
        <f t="shared" si="46"/>
        <v>0</v>
      </c>
      <c r="AA64" s="125">
        <f t="shared" si="47"/>
        <v>0</v>
      </c>
      <c r="AB64" s="125">
        <f t="shared" si="67"/>
        <v>0.56999999999999995</v>
      </c>
      <c r="AC64" s="125">
        <f t="shared" si="48"/>
        <v>0.79561255489903571</v>
      </c>
      <c r="AD64" s="125">
        <f t="shared" si="49"/>
        <v>0.4534991562924503</v>
      </c>
      <c r="AE64" s="126">
        <f t="shared" si="50"/>
        <v>0</v>
      </c>
      <c r="AF64" s="139">
        <f t="shared" si="51"/>
        <v>0</v>
      </c>
      <c r="AG64" s="126"/>
      <c r="AH64" s="126"/>
      <c r="AI64" s="126"/>
      <c r="AJ64" s="126"/>
      <c r="AK64" s="127"/>
      <c r="AL64" s="125"/>
      <c r="AM64" s="125"/>
      <c r="AN64" s="125"/>
      <c r="AO64" s="126"/>
      <c r="AP64" s="125"/>
      <c r="AQ64" s="126"/>
      <c r="AR64" s="126"/>
      <c r="AS64" s="125"/>
      <c r="AT64" s="138"/>
      <c r="AU64" s="125"/>
      <c r="AV64" s="125"/>
      <c r="AW64" s="125"/>
      <c r="AX64" s="125"/>
      <c r="AY64" s="125"/>
      <c r="AZ64" s="125"/>
      <c r="BA64" s="125"/>
      <c r="BB64" s="126"/>
      <c r="BC64" s="126"/>
      <c r="BD64" s="124"/>
      <c r="BE64" s="124"/>
      <c r="BF64" s="124"/>
      <c r="BG64" s="124"/>
    </row>
    <row r="65" spans="1:59">
      <c r="A65" s="55"/>
      <c r="K65" s="167"/>
      <c r="N65" s="125"/>
      <c r="O65" s="136">
        <f t="shared" si="71"/>
        <v>2043</v>
      </c>
      <c r="P65" s="125">
        <f t="shared" si="71"/>
        <v>59</v>
      </c>
      <c r="Q65" s="125">
        <f t="shared" si="71"/>
        <v>30</v>
      </c>
      <c r="R65" s="126">
        <f t="shared" si="66"/>
        <v>142187.84430063103</v>
      </c>
      <c r="S65" s="125">
        <f t="shared" si="39"/>
        <v>0.82000000000000006</v>
      </c>
      <c r="T65" s="126">
        <f t="shared" si="40"/>
        <v>43722.762122444052</v>
      </c>
      <c r="U65" s="126">
        <f t="shared" si="41"/>
        <v>53320.441612736642</v>
      </c>
      <c r="V65" s="125">
        <f t="shared" si="42"/>
        <v>0</v>
      </c>
      <c r="W65" s="138">
        <f t="shared" si="43"/>
        <v>14.5</v>
      </c>
      <c r="X65" s="125">
        <f t="shared" si="44"/>
        <v>0.41464285968458453</v>
      </c>
      <c r="Y65" s="125">
        <f t="shared" si="45"/>
        <v>0.31840248485926437</v>
      </c>
      <c r="Z65" s="125">
        <f t="shared" si="46"/>
        <v>0</v>
      </c>
      <c r="AA65" s="125">
        <f t="shared" si="47"/>
        <v>0</v>
      </c>
      <c r="AB65" s="125">
        <f t="shared" si="67"/>
        <v>0.56999999999999995</v>
      </c>
      <c r="AC65" s="125">
        <f t="shared" si="48"/>
        <v>0.78609565830933459</v>
      </c>
      <c r="AD65" s="125">
        <f t="shared" si="49"/>
        <v>0.44807452523632069</v>
      </c>
      <c r="AE65" s="126">
        <f t="shared" si="50"/>
        <v>0</v>
      </c>
      <c r="AF65" s="139">
        <f t="shared" si="51"/>
        <v>0</v>
      </c>
      <c r="AG65" s="126"/>
      <c r="AH65" s="126"/>
      <c r="AI65" s="126"/>
      <c r="AJ65" s="126"/>
      <c r="AK65" s="127"/>
      <c r="AL65" s="125"/>
      <c r="AM65" s="125"/>
      <c r="AN65" s="125"/>
      <c r="AO65" s="126"/>
      <c r="AP65" s="125"/>
      <c r="AQ65" s="126"/>
      <c r="AR65" s="126"/>
      <c r="AS65" s="125"/>
      <c r="AT65" s="138"/>
      <c r="AU65" s="125"/>
      <c r="AV65" s="125"/>
      <c r="AW65" s="125"/>
      <c r="AX65" s="125"/>
      <c r="AY65" s="125"/>
      <c r="AZ65" s="125"/>
      <c r="BA65" s="125"/>
      <c r="BB65" s="126"/>
      <c r="BC65" s="126"/>
      <c r="BD65" s="124"/>
      <c r="BE65" s="124"/>
      <c r="BF65" s="124"/>
      <c r="BG65" s="124"/>
    </row>
    <row r="66" spans="1:59">
      <c r="A66" s="55"/>
      <c r="K66" s="167"/>
      <c r="N66" s="125"/>
      <c r="O66" s="136">
        <f t="shared" si="71"/>
        <v>2044</v>
      </c>
      <c r="P66" s="125">
        <f t="shared" si="71"/>
        <v>60</v>
      </c>
      <c r="Q66" s="125">
        <f t="shared" si="71"/>
        <v>31</v>
      </c>
      <c r="R66" s="126">
        <f t="shared" si="66"/>
        <v>146808.94924040153</v>
      </c>
      <c r="S66" s="125">
        <f t="shared" si="39"/>
        <v>0.85</v>
      </c>
      <c r="T66" s="126">
        <f t="shared" si="40"/>
        <v>48355.197656057251</v>
      </c>
      <c r="U66" s="126">
        <f t="shared" si="41"/>
        <v>56888.467830655602</v>
      </c>
      <c r="V66" s="125">
        <f t="shared" si="42"/>
        <v>0</v>
      </c>
      <c r="W66" s="138">
        <f t="shared" si="43"/>
        <v>14.5</v>
      </c>
      <c r="X66" s="125">
        <f t="shared" si="44"/>
        <v>0.39678742553548757</v>
      </c>
      <c r="Y66" s="125">
        <f t="shared" si="45"/>
        <v>0.31840248485926437</v>
      </c>
      <c r="Z66" s="125">
        <f t="shared" si="46"/>
        <v>0</v>
      </c>
      <c r="AA66" s="125">
        <f t="shared" si="47"/>
        <v>0</v>
      </c>
      <c r="AB66" s="125">
        <f t="shared" si="67"/>
        <v>0.56999999999999995</v>
      </c>
      <c r="AC66" s="125">
        <f t="shared" si="48"/>
        <v>0.77669260019558661</v>
      </c>
      <c r="AD66" s="125">
        <f t="shared" si="49"/>
        <v>0.44271478211148435</v>
      </c>
      <c r="AE66" s="126">
        <f t="shared" si="50"/>
        <v>0</v>
      </c>
      <c r="AF66" s="139">
        <f t="shared" si="51"/>
        <v>0</v>
      </c>
      <c r="AG66" s="126"/>
      <c r="AH66" s="126"/>
      <c r="AI66" s="126"/>
      <c r="AJ66" s="126"/>
      <c r="AK66" s="127"/>
      <c r="AL66" s="125"/>
      <c r="AM66" s="125"/>
      <c r="AN66" s="125"/>
      <c r="AO66" s="126"/>
      <c r="AP66" s="125"/>
      <c r="AQ66" s="126"/>
      <c r="AR66" s="126"/>
      <c r="AS66" s="125"/>
      <c r="AT66" s="138"/>
      <c r="AU66" s="125"/>
      <c r="AV66" s="125"/>
      <c r="AW66" s="125"/>
      <c r="AX66" s="125"/>
      <c r="AY66" s="125"/>
      <c r="AZ66" s="125"/>
      <c r="BA66" s="125"/>
      <c r="BB66" s="126"/>
      <c r="BC66" s="126"/>
      <c r="BD66" s="124"/>
      <c r="BE66" s="124"/>
      <c r="BF66" s="124"/>
      <c r="BG66" s="124"/>
    </row>
    <row r="67" spans="1:59">
      <c r="A67" s="55"/>
      <c r="K67" s="167"/>
      <c r="N67" s="125"/>
      <c r="O67" s="136">
        <f t="shared" si="71"/>
        <v>2045</v>
      </c>
      <c r="P67" s="125">
        <f t="shared" si="71"/>
        <v>61</v>
      </c>
      <c r="Q67" s="125">
        <f t="shared" si="71"/>
        <v>32</v>
      </c>
      <c r="R67" s="126">
        <f t="shared" si="66"/>
        <v>151580.24009071459</v>
      </c>
      <c r="S67" s="125">
        <f t="shared" si="39"/>
        <v>0.88</v>
      </c>
      <c r="T67" s="126">
        <f t="shared" si="40"/>
        <v>53356.244511931545</v>
      </c>
      <c r="U67" s="126">
        <f t="shared" si="41"/>
        <v>60632.096036285839</v>
      </c>
      <c r="V67" s="125">
        <f t="shared" si="42"/>
        <v>0</v>
      </c>
      <c r="W67" s="138">
        <f t="shared" si="43"/>
        <v>14.5</v>
      </c>
      <c r="X67" s="125">
        <f t="shared" si="44"/>
        <v>0.37970088567989252</v>
      </c>
      <c r="Y67" s="125">
        <f t="shared" si="45"/>
        <v>0.31840248485926437</v>
      </c>
      <c r="Z67" s="125">
        <f t="shared" si="46"/>
        <v>0</v>
      </c>
      <c r="AA67" s="125">
        <f t="shared" si="47"/>
        <v>0</v>
      </c>
      <c r="AB67" s="125">
        <f t="shared" si="67"/>
        <v>0.56999999999999995</v>
      </c>
      <c r="AC67" s="125">
        <f t="shared" si="48"/>
        <v>0.7674020188535341</v>
      </c>
      <c r="AD67" s="125">
        <f t="shared" si="49"/>
        <v>0.43741915074651438</v>
      </c>
      <c r="AE67" s="126">
        <f t="shared" si="50"/>
        <v>0</v>
      </c>
      <c r="AF67" s="139">
        <f t="shared" si="51"/>
        <v>0</v>
      </c>
      <c r="AG67" s="126"/>
      <c r="AH67" s="126"/>
      <c r="AI67" s="126"/>
      <c r="AJ67" s="126"/>
      <c r="AK67" s="127"/>
      <c r="AL67" s="125"/>
      <c r="AM67" s="125"/>
      <c r="AN67" s="125"/>
      <c r="AO67" s="126"/>
      <c r="AP67" s="125"/>
      <c r="AQ67" s="126"/>
      <c r="AR67" s="126"/>
      <c r="AS67" s="125"/>
      <c r="AT67" s="138"/>
      <c r="AU67" s="125"/>
      <c r="AV67" s="125"/>
      <c r="AW67" s="125"/>
      <c r="AX67" s="125"/>
      <c r="AY67" s="125"/>
      <c r="AZ67" s="125"/>
      <c r="BA67" s="125"/>
      <c r="BB67" s="126"/>
      <c r="BC67" s="126"/>
      <c r="BD67" s="124"/>
      <c r="BE67" s="124"/>
      <c r="BF67" s="124"/>
      <c r="BG67" s="124"/>
    </row>
    <row r="68" spans="1:59">
      <c r="A68" s="55"/>
      <c r="K68" s="167"/>
      <c r="N68" s="125"/>
      <c r="O68" s="136">
        <f t="shared" si="71"/>
        <v>2046</v>
      </c>
      <c r="P68" s="125">
        <f t="shared" si="71"/>
        <v>62</v>
      </c>
      <c r="Q68" s="125">
        <f t="shared" si="71"/>
        <v>33</v>
      </c>
      <c r="R68" s="126">
        <f t="shared" si="66"/>
        <v>156506.59789366281</v>
      </c>
      <c r="S68" s="125">
        <f t="shared" si="39"/>
        <v>0.91</v>
      </c>
      <c r="T68" s="126">
        <f t="shared" si="40"/>
        <v>58748.664184333684</v>
      </c>
      <c r="U68" s="126">
        <f t="shared" si="41"/>
        <v>64558.971631135915</v>
      </c>
      <c r="V68" s="125">
        <f t="shared" si="42"/>
        <v>0</v>
      </c>
      <c r="W68" s="138">
        <f t="shared" si="43"/>
        <v>14.5</v>
      </c>
      <c r="X68" s="125">
        <f t="shared" si="44"/>
        <v>0.36335012983721771</v>
      </c>
      <c r="Y68" s="125">
        <f t="shared" si="45"/>
        <v>0.31840248485926437</v>
      </c>
      <c r="Z68" s="125">
        <f t="shared" si="46"/>
        <v>0</v>
      </c>
      <c r="AA68" s="125">
        <f t="shared" si="47"/>
        <v>0</v>
      </c>
      <c r="AB68" s="125">
        <f t="shared" si="67"/>
        <v>0.56999999999999995</v>
      </c>
      <c r="AC68" s="125">
        <f t="shared" si="48"/>
        <v>0.75822256886724781</v>
      </c>
      <c r="AD68" s="125">
        <f t="shared" si="49"/>
        <v>0.43218686425433123</v>
      </c>
      <c r="AE68" s="126">
        <f t="shared" si="50"/>
        <v>0</v>
      </c>
      <c r="AF68" s="139">
        <f t="shared" si="51"/>
        <v>0</v>
      </c>
      <c r="AG68" s="126"/>
      <c r="AH68" s="126"/>
      <c r="AI68" s="126"/>
      <c r="AJ68" s="126"/>
      <c r="AK68" s="127"/>
      <c r="AL68" s="125"/>
      <c r="AM68" s="125"/>
      <c r="AN68" s="125"/>
      <c r="AO68" s="126"/>
      <c r="AP68" s="125"/>
      <c r="AQ68" s="126"/>
      <c r="AR68" s="126"/>
      <c r="AS68" s="125"/>
      <c r="AT68" s="138"/>
      <c r="AU68" s="125"/>
      <c r="AV68" s="125"/>
      <c r="AW68" s="125"/>
      <c r="AX68" s="125"/>
      <c r="AY68" s="125"/>
      <c r="AZ68" s="125"/>
      <c r="BA68" s="125"/>
      <c r="BB68" s="126"/>
      <c r="BC68" s="126"/>
      <c r="BD68" s="124"/>
      <c r="BE68" s="124"/>
      <c r="BF68" s="124"/>
      <c r="BG68" s="124"/>
    </row>
    <row r="69" spans="1:59">
      <c r="A69" s="55"/>
      <c r="K69" s="167"/>
      <c r="N69" s="125"/>
      <c r="O69" s="136">
        <f t="shared" si="71"/>
        <v>2047</v>
      </c>
      <c r="P69" s="125">
        <f t="shared" si="71"/>
        <v>63</v>
      </c>
      <c r="Q69" s="125">
        <f t="shared" si="71"/>
        <v>34</v>
      </c>
      <c r="R69" s="126">
        <f t="shared" si="66"/>
        <v>161593.06232520685</v>
      </c>
      <c r="S69" s="125">
        <f t="shared" si="39"/>
        <v>0.94</v>
      </c>
      <c r="T69" s="126">
        <f t="shared" si="40"/>
        <v>64556.428398920129</v>
      </c>
      <c r="U69" s="126">
        <f t="shared" si="41"/>
        <v>68677.051488212906</v>
      </c>
      <c r="V69" s="125">
        <f t="shared" si="42"/>
        <v>0</v>
      </c>
      <c r="W69" s="138">
        <f t="shared" si="43"/>
        <v>14.5</v>
      </c>
      <c r="X69" s="125">
        <f t="shared" si="44"/>
        <v>0.34770347352843806</v>
      </c>
      <c r="Y69" s="125">
        <f t="shared" si="45"/>
        <v>0.31840248485926437</v>
      </c>
      <c r="Z69" s="125">
        <f t="shared" si="46"/>
        <v>0</v>
      </c>
      <c r="AA69" s="125">
        <f t="shared" si="47"/>
        <v>0</v>
      </c>
      <c r="AB69" s="125">
        <f t="shared" si="67"/>
        <v>0.56999999999999995</v>
      </c>
      <c r="AC69" s="125">
        <f t="shared" si="48"/>
        <v>0.74915292091429042</v>
      </c>
      <c r="AD69" s="125">
        <f t="shared" si="49"/>
        <v>0.4270171649211455</v>
      </c>
      <c r="AE69" s="126">
        <f t="shared" si="50"/>
        <v>0</v>
      </c>
      <c r="AF69" s="139">
        <f t="shared" si="51"/>
        <v>0</v>
      </c>
      <c r="AG69" s="126"/>
      <c r="AH69" s="126"/>
      <c r="AI69" s="126"/>
      <c r="AJ69" s="126"/>
      <c r="AK69" s="127"/>
      <c r="AL69" s="125"/>
      <c r="AM69" s="125"/>
      <c r="AN69" s="125"/>
      <c r="AO69" s="126"/>
      <c r="AP69" s="125"/>
      <c r="AQ69" s="126"/>
      <c r="AR69" s="126"/>
      <c r="AS69" s="125"/>
      <c r="AT69" s="138"/>
      <c r="AU69" s="125"/>
      <c r="AV69" s="125"/>
      <c r="AW69" s="125"/>
      <c r="AX69" s="125"/>
      <c r="AY69" s="125"/>
      <c r="AZ69" s="125"/>
      <c r="BA69" s="125"/>
      <c r="BB69" s="126"/>
      <c r="BC69" s="126"/>
      <c r="BD69" s="124"/>
      <c r="BE69" s="124"/>
      <c r="BF69" s="124"/>
      <c r="BG69" s="124"/>
    </row>
    <row r="70" spans="1:59">
      <c r="A70" s="55"/>
      <c r="C70" s="55"/>
      <c r="D70" s="55"/>
      <c r="E70" s="55"/>
      <c r="F70" s="55"/>
      <c r="G70" s="55"/>
      <c r="H70" s="55"/>
      <c r="I70" s="55"/>
      <c r="M70" s="135"/>
      <c r="N70" s="125"/>
      <c r="O70" s="136">
        <f t="shared" si="71"/>
        <v>2048</v>
      </c>
      <c r="P70" s="125">
        <f t="shared" si="71"/>
        <v>64</v>
      </c>
      <c r="Q70" s="125">
        <f t="shared" si="71"/>
        <v>35</v>
      </c>
      <c r="R70" s="126">
        <f t="shared" si="66"/>
        <v>166844.83685077608</v>
      </c>
      <c r="S70" s="125">
        <f t="shared" si="39"/>
        <v>0.97</v>
      </c>
      <c r="T70" s="126">
        <f t="shared" si="40"/>
        <v>70804.777638548112</v>
      </c>
      <c r="U70" s="126">
        <f t="shared" si="41"/>
        <v>72994.616122214531</v>
      </c>
      <c r="V70" s="125">
        <f t="shared" si="42"/>
        <v>0</v>
      </c>
      <c r="W70" s="138">
        <f t="shared" si="43"/>
        <v>14.5</v>
      </c>
      <c r="X70" s="125">
        <f t="shared" si="44"/>
        <v>0.3327305966779312</v>
      </c>
      <c r="Y70" s="125">
        <f t="shared" si="45"/>
        <v>0.31840248485926437</v>
      </c>
      <c r="Z70" s="125">
        <f t="shared" si="46"/>
        <v>0</v>
      </c>
      <c r="AA70" s="125">
        <f t="shared" si="47"/>
        <v>0</v>
      </c>
      <c r="AB70" s="125">
        <f t="shared" si="67"/>
        <v>0.56999999999999995</v>
      </c>
      <c r="AC70" s="125">
        <f t="shared" si="48"/>
        <v>0.74019176157321054</v>
      </c>
      <c r="AD70" s="125">
        <f t="shared" si="49"/>
        <v>0.42190930409673</v>
      </c>
      <c r="AE70" s="126">
        <f t="shared" si="50"/>
        <v>0</v>
      </c>
      <c r="AF70" s="139">
        <f t="shared" si="51"/>
        <v>0</v>
      </c>
      <c r="AG70" s="126"/>
      <c r="AH70" s="126"/>
      <c r="AI70" s="126"/>
      <c r="AJ70" s="126"/>
      <c r="AK70" s="127"/>
      <c r="AL70" s="125"/>
      <c r="AM70" s="125"/>
      <c r="AN70" s="125"/>
      <c r="AO70" s="126"/>
      <c r="AP70" s="125"/>
      <c r="AQ70" s="126"/>
      <c r="AR70" s="126"/>
      <c r="AS70" s="125"/>
      <c r="AT70" s="138"/>
      <c r="AU70" s="125"/>
      <c r="AV70" s="125"/>
      <c r="AW70" s="125"/>
      <c r="AX70" s="125"/>
      <c r="AY70" s="125"/>
      <c r="AZ70" s="125"/>
      <c r="BA70" s="125"/>
      <c r="BB70" s="126"/>
      <c r="BC70" s="126"/>
      <c r="BD70" s="124"/>
      <c r="BE70" s="124"/>
      <c r="BF70" s="124"/>
      <c r="BG70" s="124"/>
    </row>
    <row r="71" spans="1:59">
      <c r="A71" s="55"/>
      <c r="N71" s="125"/>
      <c r="O71" s="142">
        <f t="shared" si="71"/>
        <v>2049</v>
      </c>
      <c r="P71" s="143">
        <f t="shared" si="71"/>
        <v>65</v>
      </c>
      <c r="Q71" s="143">
        <f t="shared" si="71"/>
        <v>36</v>
      </c>
      <c r="R71" s="144">
        <f t="shared" si="66"/>
        <v>172267.29404842629</v>
      </c>
      <c r="S71" s="143">
        <f t="shared" si="39"/>
        <v>1</v>
      </c>
      <c r="T71" s="144">
        <f t="shared" si="40"/>
        <v>77520.282321791834</v>
      </c>
      <c r="U71" s="144">
        <f t="shared" si="41"/>
        <v>77520.282321791834</v>
      </c>
      <c r="V71" s="143">
        <f t="shared" si="42"/>
        <v>14.5</v>
      </c>
      <c r="W71" s="145">
        <f t="shared" si="43"/>
        <v>14.5</v>
      </c>
      <c r="X71" s="143">
        <f t="shared" si="44"/>
        <v>0.31840248485926437</v>
      </c>
      <c r="Y71" s="143">
        <f t="shared" si="45"/>
        <v>0.31840248485926437</v>
      </c>
      <c r="Z71" s="143">
        <f t="shared" si="46"/>
        <v>1</v>
      </c>
      <c r="AA71" s="143">
        <f t="shared" si="47"/>
        <v>0</v>
      </c>
      <c r="AB71" s="143">
        <f t="shared" si="67"/>
        <v>0.56999999999999995</v>
      </c>
      <c r="AC71" s="143">
        <f t="shared" si="48"/>
        <v>0.73133779313333958</v>
      </c>
      <c r="AD71" s="143">
        <f t="shared" si="49"/>
        <v>0</v>
      </c>
      <c r="AE71" s="144">
        <f t="shared" si="50"/>
        <v>204002.10653333805</v>
      </c>
      <c r="AF71" s="153">
        <f t="shared" si="51"/>
        <v>0</v>
      </c>
      <c r="AG71" s="126"/>
      <c r="AH71" s="126"/>
      <c r="AI71" s="126"/>
      <c r="AJ71" s="126"/>
      <c r="AK71" s="127"/>
      <c r="AL71" s="125"/>
      <c r="AM71" s="125"/>
      <c r="AN71" s="125"/>
      <c r="AO71" s="126"/>
      <c r="AP71" s="125"/>
      <c r="AQ71" s="126"/>
      <c r="AR71" s="126"/>
      <c r="AS71" s="125"/>
      <c r="AT71" s="138"/>
      <c r="AU71" s="125"/>
      <c r="AV71" s="125"/>
      <c r="AW71" s="125"/>
      <c r="AX71" s="125"/>
      <c r="AY71" s="125"/>
      <c r="AZ71" s="125"/>
      <c r="BA71" s="125"/>
      <c r="BB71" s="126"/>
      <c r="BC71" s="126"/>
      <c r="BD71" s="124"/>
      <c r="BE71" s="124"/>
      <c r="BF71" s="124"/>
      <c r="BG71" s="124"/>
    </row>
    <row r="72" spans="1:59">
      <c r="A72" s="55"/>
      <c r="N72" s="125"/>
      <c r="O72" s="125"/>
      <c r="P72" s="125"/>
      <c r="Q72" s="125"/>
      <c r="R72" s="125"/>
      <c r="S72" s="125"/>
      <c r="T72" s="125"/>
      <c r="U72" s="125"/>
      <c r="V72" s="125"/>
      <c r="W72" s="125"/>
      <c r="X72" s="125"/>
      <c r="Y72" s="125"/>
      <c r="Z72" s="125"/>
      <c r="AA72" s="125"/>
      <c r="AB72" s="125"/>
      <c r="AC72" s="125"/>
      <c r="AD72" s="170">
        <f>SUM(AD45:AD71)</f>
        <v>18.366134520759054</v>
      </c>
      <c r="AE72" s="126">
        <f>SUM(AE45:AE71)</f>
        <v>294921.28450531047</v>
      </c>
      <c r="AF72" s="126">
        <f>SUM(AF45:AF71)</f>
        <v>2164.1418892778129</v>
      </c>
      <c r="AG72" s="125"/>
      <c r="AH72" s="125"/>
      <c r="AI72" s="125"/>
      <c r="AJ72" s="125"/>
      <c r="AK72" s="127"/>
      <c r="AL72" s="125"/>
      <c r="AM72" s="125"/>
      <c r="AN72" s="125"/>
      <c r="AO72" s="125"/>
      <c r="AP72" s="125"/>
      <c r="AQ72" s="125"/>
      <c r="AR72" s="125"/>
      <c r="AS72" s="125"/>
      <c r="AT72" s="125"/>
      <c r="AU72" s="125"/>
      <c r="AV72" s="125"/>
      <c r="AW72" s="125"/>
      <c r="AX72" s="125"/>
      <c r="AY72" s="125"/>
      <c r="AZ72" s="125"/>
      <c r="BA72" s="125"/>
      <c r="BB72" s="125"/>
      <c r="BC72" s="125"/>
    </row>
    <row r="73" spans="1:59">
      <c r="A73" s="55"/>
      <c r="N73" s="125"/>
      <c r="O73" s="168" t="s">
        <v>211</v>
      </c>
      <c r="P73" s="150">
        <f>SUM(AE72:AF72)</f>
        <v>297085.42639458826</v>
      </c>
      <c r="Q73" s="125"/>
      <c r="R73" s="125"/>
      <c r="S73" s="125"/>
      <c r="T73" s="125"/>
      <c r="U73" s="125"/>
      <c r="V73" s="125"/>
      <c r="W73" s="125"/>
      <c r="X73" s="125"/>
      <c r="Y73" s="125"/>
      <c r="Z73" s="125"/>
      <c r="AA73" s="125"/>
      <c r="AB73" s="125"/>
      <c r="AC73" s="125"/>
      <c r="AD73" s="125"/>
      <c r="AE73" s="125"/>
      <c r="AF73" s="125"/>
      <c r="AG73" s="125"/>
      <c r="AH73" s="125"/>
      <c r="AI73" s="125"/>
      <c r="AJ73" s="125"/>
      <c r="AK73" s="127"/>
      <c r="AL73" s="125"/>
      <c r="AM73" s="125"/>
      <c r="AN73" s="125"/>
      <c r="AO73" s="125"/>
      <c r="AP73" s="125"/>
      <c r="AQ73" s="125"/>
      <c r="AR73" s="125"/>
      <c r="AS73" s="125"/>
      <c r="AT73" s="125"/>
      <c r="AU73" s="125"/>
      <c r="AV73" s="125"/>
      <c r="AW73" s="125"/>
      <c r="AX73" s="125"/>
      <c r="AY73" s="125"/>
      <c r="AZ73" s="125"/>
      <c r="BA73" s="125"/>
      <c r="BB73" s="125"/>
      <c r="BC73" s="125"/>
    </row>
    <row r="74" spans="1:59">
      <c r="A74" s="55"/>
      <c r="O74" s="169" t="s">
        <v>150</v>
      </c>
      <c r="P74" s="153">
        <f>(P73-0)/AD72</f>
        <v>16175.718742492909</v>
      </c>
      <c r="Q74" s="125"/>
      <c r="R74" s="125"/>
      <c r="S74" s="125"/>
      <c r="T74" s="125"/>
      <c r="U74" s="125"/>
      <c r="V74" s="125"/>
      <c r="W74" s="125"/>
      <c r="X74" s="125"/>
      <c r="Y74" s="125"/>
      <c r="Z74" s="125"/>
      <c r="AA74" s="125"/>
      <c r="AB74" s="125"/>
      <c r="AC74" s="125"/>
      <c r="AD74" s="125"/>
      <c r="AE74" s="125"/>
      <c r="AF74" s="125"/>
      <c r="AG74" s="125"/>
      <c r="AH74" s="125"/>
      <c r="AI74" s="125"/>
      <c r="AJ74" s="125"/>
      <c r="AK74" s="127"/>
      <c r="AL74" s="125"/>
      <c r="AM74" s="125"/>
      <c r="AN74" s="125"/>
      <c r="AO74" s="125"/>
      <c r="AP74" s="125"/>
      <c r="AQ74" s="125"/>
      <c r="AR74" s="125"/>
      <c r="AS74" s="125"/>
      <c r="AT74" s="125"/>
      <c r="AU74" s="125"/>
      <c r="AV74" s="125"/>
      <c r="AW74" s="125"/>
      <c r="AX74" s="125"/>
      <c r="AY74" s="125"/>
      <c r="AZ74" s="125"/>
      <c r="BA74" s="125"/>
      <c r="BB74" s="125"/>
      <c r="BC74" s="125"/>
    </row>
    <row r="75" spans="1:59">
      <c r="A75" s="55"/>
    </row>
    <row r="76" spans="1:59">
      <c r="A76" s="55"/>
    </row>
    <row r="77" spans="1:59">
      <c r="A77" s="55"/>
      <c r="N77" s="122" t="s">
        <v>212</v>
      </c>
      <c r="O77" s="125"/>
    </row>
    <row r="78" spans="1:59">
      <c r="A78" s="55"/>
      <c r="N78" s="171" t="s">
        <v>213</v>
      </c>
    </row>
    <row r="79" spans="1:59">
      <c r="A79" s="55"/>
      <c r="N79" s="171" t="s">
        <v>214</v>
      </c>
    </row>
    <row r="80" spans="1:59">
      <c r="A80" s="55"/>
      <c r="N80" s="171" t="s">
        <v>215</v>
      </c>
    </row>
    <row r="81" spans="1:14">
      <c r="A81" s="55"/>
      <c r="N81" s="171" t="s">
        <v>216</v>
      </c>
    </row>
    <row r="82" spans="1:14">
      <c r="A82" s="55"/>
    </row>
    <row r="83" spans="1:14">
      <c r="A83" s="55"/>
    </row>
    <row r="84" spans="1:14">
      <c r="A84" s="55"/>
    </row>
    <row r="85" spans="1:14">
      <c r="A85" s="55"/>
    </row>
    <row r="86" spans="1:14">
      <c r="A86" s="55"/>
    </row>
    <row r="87" spans="1:14">
      <c r="A87" s="55"/>
    </row>
    <row r="88" spans="1:14">
      <c r="A88" s="55"/>
    </row>
    <row r="89" spans="1:14">
      <c r="A89" s="55"/>
    </row>
    <row r="90" spans="1:14">
      <c r="A90" s="55"/>
    </row>
    <row r="91" spans="1:14">
      <c r="A91" s="55"/>
    </row>
    <row r="92" spans="1:14">
      <c r="A92" s="55"/>
    </row>
    <row r="93" spans="1:14">
      <c r="A93" s="55"/>
    </row>
    <row r="94" spans="1:14">
      <c r="A94" s="55"/>
    </row>
    <row r="95" spans="1:14">
      <c r="A95" s="55"/>
    </row>
    <row r="96" spans="1:14">
      <c r="A96" s="55"/>
    </row>
    <row r="97" spans="1:1">
      <c r="A97" s="55"/>
    </row>
    <row r="98" spans="1:1">
      <c r="A98" s="55"/>
    </row>
    <row r="99" spans="1:1">
      <c r="A99" s="55"/>
    </row>
    <row r="100" spans="1:1">
      <c r="A100" s="55"/>
    </row>
    <row r="101" spans="1:1">
      <c r="A101" s="55"/>
    </row>
    <row r="102" spans="1:1">
      <c r="A102" s="55"/>
    </row>
    <row r="103" spans="1:1">
      <c r="A103" s="55"/>
    </row>
    <row r="104" spans="1:1">
      <c r="A104" s="55"/>
    </row>
    <row r="105" spans="1:1">
      <c r="A105" s="55"/>
    </row>
    <row r="106" spans="1:1">
      <c r="A106" s="55"/>
    </row>
    <row r="107" spans="1:1">
      <c r="A107" s="55"/>
    </row>
    <row r="108" spans="1:1">
      <c r="A108" s="55"/>
    </row>
    <row r="109" spans="1:1">
      <c r="A109" s="55"/>
    </row>
    <row r="110" spans="1:1">
      <c r="A110" s="55"/>
    </row>
    <row r="111" spans="1:1">
      <c r="A111" s="55"/>
    </row>
    <row r="112" spans="1:1">
      <c r="A112" s="55"/>
    </row>
    <row r="113" spans="1:1">
      <c r="A113" s="55"/>
    </row>
    <row r="114" spans="1:1">
      <c r="A114" s="55"/>
    </row>
    <row r="115" spans="1:1">
      <c r="A115" s="55"/>
    </row>
    <row r="116" spans="1:1">
      <c r="A116" s="55"/>
    </row>
    <row r="117" spans="1:1">
      <c r="A117" s="55"/>
    </row>
    <row r="118" spans="1:1">
      <c r="A118" s="55"/>
    </row>
    <row r="119" spans="1:1">
      <c r="A119" s="55"/>
    </row>
    <row r="120" spans="1:1">
      <c r="A120" s="55"/>
    </row>
    <row r="121" spans="1:1">
      <c r="A121" s="55"/>
    </row>
    <row r="122" spans="1:1">
      <c r="A122" s="55"/>
    </row>
    <row r="123" spans="1:1">
      <c r="A123" s="55"/>
    </row>
    <row r="124" spans="1:1">
      <c r="A124" s="55"/>
    </row>
    <row r="125" spans="1:1">
      <c r="A125" s="55"/>
    </row>
    <row r="126" spans="1:1">
      <c r="A126" s="55"/>
    </row>
    <row r="127" spans="1:1">
      <c r="A127" s="55"/>
    </row>
    <row r="128" spans="1:1">
      <c r="A128" s="55"/>
    </row>
    <row r="129" spans="1:1">
      <c r="A129" s="55"/>
    </row>
    <row r="130" spans="1:1">
      <c r="A130" s="55"/>
    </row>
    <row r="131" spans="1:1">
      <c r="A131" s="55"/>
    </row>
    <row r="132" spans="1:1">
      <c r="A132" s="55"/>
    </row>
    <row r="133" spans="1:1">
      <c r="A133" s="55"/>
    </row>
    <row r="134" spans="1:1">
      <c r="A134" s="55"/>
    </row>
    <row r="135" spans="1:1">
      <c r="A135" s="55"/>
    </row>
    <row r="136" spans="1:1">
      <c r="A136" s="55"/>
    </row>
    <row r="137" spans="1:1">
      <c r="A137" s="55"/>
    </row>
    <row r="138" spans="1:1">
      <c r="A138" s="55"/>
    </row>
    <row r="139" spans="1:1">
      <c r="A139" s="55"/>
    </row>
    <row r="140" spans="1:1">
      <c r="A140" s="55"/>
    </row>
    <row r="141" spans="1:1">
      <c r="A141" s="55"/>
    </row>
    <row r="142" spans="1:1">
      <c r="A142" s="55"/>
    </row>
    <row r="143" spans="1:1">
      <c r="A143" s="55"/>
    </row>
    <row r="144" spans="1:1">
      <c r="A144" s="55"/>
    </row>
    <row r="145" spans="1:1">
      <c r="A145" s="55"/>
    </row>
    <row r="146" spans="1:1">
      <c r="A146" s="55"/>
    </row>
    <row r="147" spans="1:1">
      <c r="A147" s="55"/>
    </row>
    <row r="148" spans="1:1">
      <c r="A148" s="55"/>
    </row>
    <row r="149" spans="1:1">
      <c r="A149" s="55"/>
    </row>
    <row r="150" spans="1:1">
      <c r="A150" s="55"/>
    </row>
    <row r="151" spans="1:1">
      <c r="A151" s="55"/>
    </row>
    <row r="152" spans="1:1">
      <c r="A152" s="55"/>
    </row>
    <row r="153" spans="1:1">
      <c r="A153" s="55"/>
    </row>
    <row r="154" spans="1:1">
      <c r="A154" s="55"/>
    </row>
    <row r="155" spans="1:1">
      <c r="A155" s="55"/>
    </row>
    <row r="156" spans="1:1">
      <c r="A156" s="55"/>
    </row>
    <row r="157" spans="1:1">
      <c r="A157" s="55"/>
    </row>
    <row r="158" spans="1:1">
      <c r="A158" s="55"/>
    </row>
    <row r="159" spans="1:1">
      <c r="A159" s="55"/>
    </row>
    <row r="160" spans="1:1">
      <c r="A160" s="55"/>
    </row>
    <row r="161" spans="1:1">
      <c r="A161" s="55"/>
    </row>
    <row r="162" spans="1:1">
      <c r="A162" s="55"/>
    </row>
    <row r="163" spans="1:1">
      <c r="A163" s="55"/>
    </row>
    <row r="164" spans="1:1">
      <c r="A164" s="55"/>
    </row>
    <row r="165" spans="1:1">
      <c r="A165" s="55"/>
    </row>
    <row r="166" spans="1:1">
      <c r="A166" s="55"/>
    </row>
    <row r="167" spans="1:1">
      <c r="A167" s="55"/>
    </row>
    <row r="168" spans="1:1">
      <c r="A168" s="55"/>
    </row>
    <row r="169" spans="1:1">
      <c r="A169" s="55"/>
    </row>
    <row r="170" spans="1:1">
      <c r="A170" s="55"/>
    </row>
    <row r="171" spans="1:1">
      <c r="A171" s="55"/>
    </row>
    <row r="172" spans="1:1">
      <c r="A172" s="55"/>
    </row>
    <row r="173" spans="1:1">
      <c r="A173" s="55"/>
    </row>
    <row r="174" spans="1:1">
      <c r="A174" s="55"/>
    </row>
    <row r="175" spans="1:1">
      <c r="A175" s="55"/>
    </row>
    <row r="176" spans="1:1">
      <c r="A176" s="55"/>
    </row>
    <row r="177" spans="1:1">
      <c r="A177" s="55"/>
    </row>
    <row r="178" spans="1:1">
      <c r="A178" s="55"/>
    </row>
    <row r="179" spans="1:1">
      <c r="A179" s="55"/>
    </row>
    <row r="180" spans="1:1">
      <c r="A180" s="55"/>
    </row>
    <row r="181" spans="1:1">
      <c r="A181" s="55"/>
    </row>
    <row r="182" spans="1:1">
      <c r="A182" s="55"/>
    </row>
    <row r="183" spans="1:1">
      <c r="A183" s="55"/>
    </row>
    <row r="184" spans="1:1">
      <c r="A184" s="55"/>
    </row>
    <row r="185" spans="1:1">
      <c r="A185" s="55"/>
    </row>
    <row r="186" spans="1:1">
      <c r="A186" s="55"/>
    </row>
    <row r="187" spans="1:1">
      <c r="A187" s="55"/>
    </row>
    <row r="188" spans="1:1">
      <c r="A188" s="55"/>
    </row>
    <row r="189" spans="1:1">
      <c r="A189" s="55"/>
    </row>
    <row r="190" spans="1:1">
      <c r="A190" s="55"/>
    </row>
    <row r="191" spans="1:1">
      <c r="A191" s="55"/>
    </row>
    <row r="192" spans="1:1">
      <c r="A192" s="55"/>
    </row>
    <row r="193" spans="1:1">
      <c r="A193" s="55"/>
    </row>
    <row r="194" spans="1:1">
      <c r="A194" s="55"/>
    </row>
    <row r="195" spans="1:1">
      <c r="A195" s="55"/>
    </row>
    <row r="196" spans="1:1">
      <c r="A196" s="55"/>
    </row>
    <row r="197" spans="1:1">
      <c r="A197" s="55"/>
    </row>
    <row r="198" spans="1:1">
      <c r="A198" s="55"/>
    </row>
    <row r="199" spans="1:1">
      <c r="A199" s="55"/>
    </row>
    <row r="200" spans="1:1">
      <c r="A200" s="55"/>
    </row>
    <row r="201" spans="1:1">
      <c r="A201" s="55"/>
    </row>
    <row r="202" spans="1:1">
      <c r="A202" s="55"/>
    </row>
    <row r="203" spans="1:1">
      <c r="A203" s="55"/>
    </row>
    <row r="204" spans="1:1">
      <c r="A204" s="55"/>
    </row>
    <row r="205" spans="1:1">
      <c r="A205" s="55"/>
    </row>
    <row r="206" spans="1:1">
      <c r="A206" s="55"/>
    </row>
    <row r="207" spans="1:1">
      <c r="A207" s="55"/>
    </row>
    <row r="208" spans="1:1">
      <c r="A208" s="55"/>
    </row>
    <row r="209" spans="1:1">
      <c r="A209" s="55"/>
    </row>
    <row r="210" spans="1:1">
      <c r="A210" s="55"/>
    </row>
    <row r="211" spans="1:1">
      <c r="A211" s="55"/>
    </row>
    <row r="212" spans="1:1">
      <c r="A212" s="55"/>
    </row>
    <row r="213" spans="1:1">
      <c r="A213" s="55"/>
    </row>
    <row r="214" spans="1:1">
      <c r="A214" s="55"/>
    </row>
    <row r="215" spans="1:1">
      <c r="A215" s="55"/>
    </row>
    <row r="216" spans="1:1">
      <c r="A216" s="55"/>
    </row>
    <row r="217" spans="1:1">
      <c r="A217" s="55"/>
    </row>
    <row r="218" spans="1:1">
      <c r="A218" s="55"/>
    </row>
    <row r="219" spans="1:1">
      <c r="A219" s="55"/>
    </row>
    <row r="220" spans="1:1">
      <c r="A220" s="55"/>
    </row>
    <row r="221" spans="1:1">
      <c r="A221" s="55"/>
    </row>
    <row r="222" spans="1:1">
      <c r="A222" s="55"/>
    </row>
    <row r="223" spans="1:1">
      <c r="A223" s="55"/>
    </row>
    <row r="224" spans="1:1">
      <c r="A224" s="55"/>
    </row>
    <row r="225" spans="1:1">
      <c r="A225" s="55"/>
    </row>
    <row r="226" spans="1:1">
      <c r="A226" s="55"/>
    </row>
    <row r="227" spans="1:1">
      <c r="A227" s="55"/>
    </row>
    <row r="228" spans="1:1">
      <c r="A228" s="55"/>
    </row>
    <row r="229" spans="1:1">
      <c r="A229" s="55"/>
    </row>
    <row r="230" spans="1:1">
      <c r="A230" s="55"/>
    </row>
    <row r="231" spans="1:1">
      <c r="A231" s="55"/>
    </row>
    <row r="232" spans="1:1">
      <c r="A232" s="55"/>
    </row>
    <row r="233" spans="1:1">
      <c r="A233" s="55"/>
    </row>
    <row r="234" spans="1:1">
      <c r="A234" s="55"/>
    </row>
    <row r="235" spans="1:1">
      <c r="A235" s="55"/>
    </row>
    <row r="236" spans="1:1">
      <c r="A236" s="55"/>
    </row>
    <row r="237" spans="1:1">
      <c r="A237" s="55"/>
    </row>
    <row r="238" spans="1:1">
      <c r="A238" s="55"/>
    </row>
    <row r="239" spans="1:1">
      <c r="A239" s="55"/>
    </row>
    <row r="240" spans="1:1">
      <c r="A240" s="55"/>
    </row>
    <row r="241" spans="1:1">
      <c r="A241" s="55"/>
    </row>
    <row r="242" spans="1:1">
      <c r="A242" s="55"/>
    </row>
    <row r="243" spans="1:1">
      <c r="A243" s="55"/>
    </row>
    <row r="244" spans="1:1">
      <c r="A244" s="55"/>
    </row>
    <row r="245" spans="1:1">
      <c r="A245" s="55"/>
    </row>
    <row r="246" spans="1:1">
      <c r="A246" s="55"/>
    </row>
    <row r="247" spans="1:1">
      <c r="A247" s="55"/>
    </row>
    <row r="248" spans="1:1">
      <c r="A248" s="55"/>
    </row>
    <row r="249" spans="1:1">
      <c r="A249" s="55"/>
    </row>
    <row r="250" spans="1:1">
      <c r="A250" s="55"/>
    </row>
    <row r="251" spans="1:1">
      <c r="A251" s="55"/>
    </row>
    <row r="252" spans="1:1">
      <c r="A252" s="55"/>
    </row>
    <row r="253" spans="1:1">
      <c r="A253" s="55"/>
    </row>
    <row r="254" spans="1:1">
      <c r="A254" s="55"/>
    </row>
    <row r="255" spans="1:1">
      <c r="A255" s="55"/>
    </row>
    <row r="256" spans="1:1">
      <c r="A256" s="55"/>
    </row>
    <row r="257" spans="1:1">
      <c r="A257" s="55"/>
    </row>
    <row r="258" spans="1:1">
      <c r="A258" s="55"/>
    </row>
    <row r="259" spans="1:1">
      <c r="A259" s="55"/>
    </row>
    <row r="260" spans="1:1">
      <c r="A260" s="55"/>
    </row>
    <row r="261" spans="1:1">
      <c r="A261" s="55"/>
    </row>
    <row r="262" spans="1:1">
      <c r="A262" s="55"/>
    </row>
    <row r="263" spans="1:1">
      <c r="A263" s="55"/>
    </row>
    <row r="264" spans="1:1">
      <c r="A264" s="55"/>
    </row>
    <row r="265" spans="1:1">
      <c r="A265" s="55"/>
    </row>
    <row r="266" spans="1:1">
      <c r="A266" s="55"/>
    </row>
    <row r="267" spans="1:1">
      <c r="A267" s="55"/>
    </row>
    <row r="268" spans="1:1">
      <c r="A268" s="55"/>
    </row>
    <row r="269" spans="1:1">
      <c r="A269" s="55"/>
    </row>
    <row r="270" spans="1:1">
      <c r="A270" s="55"/>
    </row>
    <row r="271" spans="1:1">
      <c r="A271" s="55"/>
    </row>
    <row r="272" spans="1:1">
      <c r="A272" s="55"/>
    </row>
    <row r="273" spans="1:1">
      <c r="A273" s="55"/>
    </row>
    <row r="274" spans="1:1">
      <c r="A274" s="55"/>
    </row>
    <row r="275" spans="1:1">
      <c r="A275" s="55"/>
    </row>
    <row r="276" spans="1:1">
      <c r="A276" s="55"/>
    </row>
    <row r="277" spans="1:1">
      <c r="A277" s="55"/>
    </row>
    <row r="278" spans="1:1">
      <c r="A278" s="55"/>
    </row>
    <row r="279" spans="1:1">
      <c r="A279" s="55"/>
    </row>
    <row r="280" spans="1:1">
      <c r="A280" s="55"/>
    </row>
    <row r="281" spans="1:1">
      <c r="A281" s="55"/>
    </row>
    <row r="282" spans="1:1">
      <c r="A282" s="55"/>
    </row>
    <row r="283" spans="1:1">
      <c r="A283" s="55"/>
    </row>
    <row r="284" spans="1:1">
      <c r="A284" s="55"/>
    </row>
    <row r="285" spans="1:1">
      <c r="A285" s="55"/>
    </row>
    <row r="286" spans="1:1">
      <c r="A286" s="55"/>
    </row>
    <row r="287" spans="1:1">
      <c r="A287" s="55"/>
    </row>
    <row r="288" spans="1:1">
      <c r="A288" s="55"/>
    </row>
    <row r="289" spans="1:1">
      <c r="A289" s="55"/>
    </row>
    <row r="290" spans="1:1">
      <c r="A290" s="55"/>
    </row>
    <row r="291" spans="1:1">
      <c r="A291" s="55"/>
    </row>
    <row r="292" spans="1:1">
      <c r="A292" s="55"/>
    </row>
    <row r="293" spans="1:1">
      <c r="A293" s="55"/>
    </row>
    <row r="294" spans="1:1">
      <c r="A294" s="55"/>
    </row>
    <row r="295" spans="1:1">
      <c r="A295" s="55"/>
    </row>
    <row r="296" spans="1:1">
      <c r="A296" s="55"/>
    </row>
    <row r="297" spans="1:1">
      <c r="A297" s="55"/>
    </row>
    <row r="298" spans="1:1">
      <c r="A298" s="55"/>
    </row>
    <row r="299" spans="1:1">
      <c r="A299" s="55"/>
    </row>
    <row r="300" spans="1:1">
      <c r="A300" s="55"/>
    </row>
    <row r="301" spans="1:1">
      <c r="A301" s="55"/>
    </row>
    <row r="302" spans="1:1">
      <c r="A302" s="55"/>
    </row>
    <row r="303" spans="1:1">
      <c r="A303" s="55"/>
    </row>
    <row r="304" spans="1:1">
      <c r="A304" s="55"/>
    </row>
    <row r="305" spans="1:1">
      <c r="A305" s="55"/>
    </row>
    <row r="306" spans="1:1">
      <c r="A306" s="55"/>
    </row>
    <row r="307" spans="1:1">
      <c r="A307" s="55"/>
    </row>
    <row r="308" spans="1:1">
      <c r="A308" s="55"/>
    </row>
    <row r="309" spans="1:1">
      <c r="A309" s="55"/>
    </row>
    <row r="310" spans="1:1">
      <c r="A310" s="55"/>
    </row>
    <row r="311" spans="1:1">
      <c r="A311" s="55"/>
    </row>
    <row r="312" spans="1:1">
      <c r="A312" s="55"/>
    </row>
    <row r="313" spans="1:1">
      <c r="A313" s="55"/>
    </row>
    <row r="314" spans="1:1">
      <c r="A314" s="55"/>
    </row>
    <row r="315" spans="1:1">
      <c r="A315" s="55"/>
    </row>
    <row r="316" spans="1:1">
      <c r="A316" s="55"/>
    </row>
    <row r="317" spans="1:1">
      <c r="A317" s="55"/>
    </row>
    <row r="318" spans="1:1">
      <c r="A318" s="55"/>
    </row>
    <row r="319" spans="1:1">
      <c r="A319" s="55"/>
    </row>
    <row r="320" spans="1:1">
      <c r="A320" s="55"/>
    </row>
    <row r="321" spans="1:1">
      <c r="A321" s="55"/>
    </row>
    <row r="322" spans="1:1">
      <c r="A322" s="55"/>
    </row>
    <row r="323" spans="1:1">
      <c r="A323" s="55"/>
    </row>
    <row r="324" spans="1:1">
      <c r="A324" s="55"/>
    </row>
    <row r="325" spans="1:1">
      <c r="A325" s="55"/>
    </row>
    <row r="326" spans="1:1">
      <c r="A326" s="55"/>
    </row>
    <row r="327" spans="1:1">
      <c r="A327" s="55"/>
    </row>
    <row r="328" spans="1:1">
      <c r="A328" s="55"/>
    </row>
    <row r="329" spans="1:1">
      <c r="A329" s="55"/>
    </row>
    <row r="330" spans="1:1">
      <c r="A330" s="55"/>
    </row>
    <row r="331" spans="1:1">
      <c r="A331" s="55"/>
    </row>
    <row r="332" spans="1:1">
      <c r="A332" s="55"/>
    </row>
    <row r="333" spans="1:1">
      <c r="A333" s="55"/>
    </row>
    <row r="334" spans="1:1">
      <c r="A334" s="55"/>
    </row>
    <row r="335" spans="1:1">
      <c r="A335" s="55"/>
    </row>
    <row r="336" spans="1:1">
      <c r="A336" s="55"/>
    </row>
    <row r="337" spans="1:1">
      <c r="A337" s="55"/>
    </row>
    <row r="338" spans="1:1">
      <c r="A338" s="55"/>
    </row>
    <row r="339" spans="1:1">
      <c r="A339" s="55"/>
    </row>
    <row r="340" spans="1:1">
      <c r="A340" s="55"/>
    </row>
    <row r="341" spans="1:1">
      <c r="A341" s="55"/>
    </row>
    <row r="342" spans="1:1">
      <c r="A342" s="55"/>
    </row>
    <row r="343" spans="1:1">
      <c r="A343" s="55"/>
    </row>
    <row r="344" spans="1:1">
      <c r="A344" s="55"/>
    </row>
    <row r="345" spans="1:1">
      <c r="A345" s="55"/>
    </row>
    <row r="346" spans="1:1">
      <c r="A346" s="55"/>
    </row>
    <row r="347" spans="1:1">
      <c r="A347" s="55"/>
    </row>
    <row r="348" spans="1:1">
      <c r="A348" s="55"/>
    </row>
    <row r="349" spans="1:1">
      <c r="A349" s="55"/>
    </row>
    <row r="350" spans="1:1">
      <c r="A350" s="55"/>
    </row>
    <row r="351" spans="1:1">
      <c r="A351" s="55"/>
    </row>
    <row r="352" spans="1:1">
      <c r="A352" s="55"/>
    </row>
    <row r="353" spans="1:1">
      <c r="A353" s="55"/>
    </row>
    <row r="354" spans="1:1">
      <c r="A354" s="55"/>
    </row>
    <row r="355" spans="1:1">
      <c r="A355" s="55"/>
    </row>
    <row r="356" spans="1:1">
      <c r="A356" s="55"/>
    </row>
    <row r="357" spans="1:1">
      <c r="A357" s="55"/>
    </row>
    <row r="358" spans="1:1">
      <c r="A358" s="55"/>
    </row>
    <row r="359" spans="1:1">
      <c r="A359" s="55"/>
    </row>
    <row r="360" spans="1:1">
      <c r="A360" s="55"/>
    </row>
    <row r="361" spans="1:1">
      <c r="A361" s="55"/>
    </row>
    <row r="362" spans="1:1">
      <c r="A362" s="55"/>
    </row>
    <row r="363" spans="1:1">
      <c r="A363" s="55"/>
    </row>
    <row r="364" spans="1:1">
      <c r="A364" s="55"/>
    </row>
    <row r="365" spans="1:1">
      <c r="A365" s="55"/>
    </row>
    <row r="366" spans="1:1">
      <c r="A366" s="55"/>
    </row>
    <row r="367" spans="1:1">
      <c r="A367" s="55"/>
    </row>
    <row r="368" spans="1:1">
      <c r="A368" s="55"/>
    </row>
    <row r="369" spans="1:1">
      <c r="A369" s="55"/>
    </row>
    <row r="370" spans="1:1">
      <c r="A370" s="55"/>
    </row>
    <row r="371" spans="1:1">
      <c r="A371" s="55"/>
    </row>
    <row r="372" spans="1:1">
      <c r="A372" s="55"/>
    </row>
    <row r="373" spans="1:1">
      <c r="A373" s="55"/>
    </row>
    <row r="374" spans="1:1">
      <c r="A374" s="55"/>
    </row>
    <row r="375" spans="1:1">
      <c r="A375" s="55"/>
    </row>
    <row r="376" spans="1:1">
      <c r="A376" s="55"/>
    </row>
    <row r="377" spans="1:1">
      <c r="A377" s="55"/>
    </row>
    <row r="378" spans="1:1">
      <c r="A378" s="55"/>
    </row>
    <row r="379" spans="1:1">
      <c r="A379" s="55"/>
    </row>
    <row r="380" spans="1:1">
      <c r="A380" s="55"/>
    </row>
    <row r="381" spans="1:1">
      <c r="A381" s="55"/>
    </row>
    <row r="382" spans="1:1">
      <c r="A382" s="55"/>
    </row>
    <row r="383" spans="1:1">
      <c r="A383" s="55"/>
    </row>
    <row r="384" spans="1:1">
      <c r="A384" s="55"/>
    </row>
    <row r="385" spans="1:1">
      <c r="A385" s="55"/>
    </row>
    <row r="386" spans="1:1">
      <c r="A386" s="55"/>
    </row>
    <row r="387" spans="1:1">
      <c r="A387" s="55"/>
    </row>
    <row r="388" spans="1:1">
      <c r="A388" s="55"/>
    </row>
    <row r="389" spans="1:1">
      <c r="A389" s="55"/>
    </row>
    <row r="390" spans="1:1">
      <c r="A390" s="55"/>
    </row>
    <row r="391" spans="1:1">
      <c r="A391" s="55"/>
    </row>
    <row r="392" spans="1:1">
      <c r="A392" s="55"/>
    </row>
    <row r="393" spans="1:1">
      <c r="A393" s="55"/>
    </row>
    <row r="394" spans="1:1">
      <c r="A394" s="55"/>
    </row>
    <row r="395" spans="1:1">
      <c r="A395" s="55"/>
    </row>
    <row r="396" spans="1:1">
      <c r="A396" s="55"/>
    </row>
    <row r="397" spans="1:1">
      <c r="A397" s="55"/>
    </row>
    <row r="398" spans="1:1">
      <c r="A398" s="55"/>
    </row>
    <row r="399" spans="1:1">
      <c r="A399" s="55"/>
    </row>
    <row r="400" spans="1:1">
      <c r="A400" s="55"/>
    </row>
    <row r="401" spans="1:1">
      <c r="A401" s="55"/>
    </row>
    <row r="402" spans="1:1">
      <c r="A402" s="55"/>
    </row>
    <row r="403" spans="1:1">
      <c r="A403" s="55"/>
    </row>
    <row r="404" spans="1:1">
      <c r="A404" s="55"/>
    </row>
    <row r="405" spans="1:1">
      <c r="A405" s="55"/>
    </row>
    <row r="406" spans="1:1">
      <c r="A406" s="55"/>
    </row>
    <row r="407" spans="1:1">
      <c r="A407" s="55"/>
    </row>
    <row r="408" spans="1:1">
      <c r="A408" s="55"/>
    </row>
    <row r="409" spans="1:1">
      <c r="A409" s="55"/>
    </row>
    <row r="410" spans="1:1">
      <c r="A410" s="55"/>
    </row>
    <row r="411" spans="1:1">
      <c r="A411" s="55"/>
    </row>
    <row r="412" spans="1:1">
      <c r="A412" s="55"/>
    </row>
    <row r="413" spans="1:1">
      <c r="A413" s="55"/>
    </row>
    <row r="414" spans="1:1">
      <c r="A414" s="55"/>
    </row>
    <row r="415" spans="1:1">
      <c r="A415" s="55"/>
    </row>
    <row r="416" spans="1:1">
      <c r="A416" s="55"/>
    </row>
    <row r="417" spans="1:1">
      <c r="A417" s="55"/>
    </row>
    <row r="418" spans="1:1">
      <c r="A418" s="55"/>
    </row>
    <row r="419" spans="1:1">
      <c r="A419" s="55"/>
    </row>
    <row r="420" spans="1:1">
      <c r="A420" s="55"/>
    </row>
    <row r="421" spans="1:1">
      <c r="A421" s="55"/>
    </row>
    <row r="422" spans="1:1">
      <c r="A422" s="55"/>
    </row>
    <row r="423" spans="1:1">
      <c r="A423" s="55"/>
    </row>
    <row r="424" spans="1:1">
      <c r="A424" s="55"/>
    </row>
    <row r="425" spans="1:1">
      <c r="A425" s="55"/>
    </row>
    <row r="426" spans="1:1">
      <c r="A426" s="55"/>
    </row>
    <row r="427" spans="1:1">
      <c r="A427" s="55"/>
    </row>
    <row r="428" spans="1:1">
      <c r="A428" s="55"/>
    </row>
    <row r="429" spans="1:1">
      <c r="A429" s="55"/>
    </row>
    <row r="430" spans="1:1">
      <c r="A430" s="55"/>
    </row>
    <row r="431" spans="1:1">
      <c r="A431" s="55"/>
    </row>
    <row r="432" spans="1:1">
      <c r="A432" s="55"/>
    </row>
    <row r="433" spans="1:1">
      <c r="A433" s="55"/>
    </row>
    <row r="434" spans="1:1">
      <c r="A434" s="55"/>
    </row>
    <row r="435" spans="1:1">
      <c r="A435" s="55"/>
    </row>
    <row r="436" spans="1:1">
      <c r="A436" s="55"/>
    </row>
    <row r="437" spans="1:1">
      <c r="A437" s="55"/>
    </row>
    <row r="438" spans="1:1">
      <c r="A438" s="55"/>
    </row>
    <row r="439" spans="1:1">
      <c r="A439" s="55"/>
    </row>
    <row r="440" spans="1:1">
      <c r="A440" s="55"/>
    </row>
    <row r="441" spans="1:1">
      <c r="A441" s="55"/>
    </row>
    <row r="442" spans="1:1">
      <c r="A442" s="55"/>
    </row>
    <row r="443" spans="1:1">
      <c r="A443" s="55"/>
    </row>
    <row r="444" spans="1:1">
      <c r="A444" s="55"/>
    </row>
    <row r="445" spans="1:1">
      <c r="A445" s="55"/>
    </row>
    <row r="446" spans="1:1">
      <c r="A446" s="55"/>
    </row>
    <row r="447" spans="1:1">
      <c r="A447" s="55"/>
    </row>
    <row r="448" spans="1:1">
      <c r="A448" s="55"/>
    </row>
    <row r="449" spans="1:1">
      <c r="A449" s="55"/>
    </row>
    <row r="450" spans="1:1">
      <c r="A450" s="55"/>
    </row>
    <row r="451" spans="1:1">
      <c r="A451" s="55"/>
    </row>
    <row r="452" spans="1:1">
      <c r="A452" s="55"/>
    </row>
    <row r="453" spans="1:1">
      <c r="A453" s="55"/>
    </row>
    <row r="454" spans="1:1">
      <c r="A454" s="55"/>
    </row>
    <row r="455" spans="1:1">
      <c r="A455" s="55"/>
    </row>
    <row r="456" spans="1:1">
      <c r="A456" s="55"/>
    </row>
    <row r="457" spans="1:1">
      <c r="A457" s="55"/>
    </row>
    <row r="458" spans="1:1">
      <c r="A458" s="55"/>
    </row>
    <row r="459" spans="1:1">
      <c r="A459" s="55"/>
    </row>
    <row r="460" spans="1:1">
      <c r="A460" s="55"/>
    </row>
    <row r="461" spans="1:1">
      <c r="A461" s="55"/>
    </row>
    <row r="462" spans="1:1">
      <c r="A462" s="55"/>
    </row>
    <row r="463" spans="1:1">
      <c r="A463" s="55"/>
    </row>
    <row r="464" spans="1:1">
      <c r="A464" s="55"/>
    </row>
    <row r="465" spans="1:1">
      <c r="A465" s="55"/>
    </row>
    <row r="466" spans="1:1">
      <c r="A466" s="55"/>
    </row>
    <row r="467" spans="1:1">
      <c r="A467" s="55"/>
    </row>
    <row r="468" spans="1:1">
      <c r="A468" s="55"/>
    </row>
    <row r="469" spans="1:1">
      <c r="A469" s="55"/>
    </row>
    <row r="470" spans="1:1">
      <c r="A470" s="55"/>
    </row>
    <row r="471" spans="1:1">
      <c r="A471" s="55"/>
    </row>
    <row r="472" spans="1:1">
      <c r="A472" s="55"/>
    </row>
    <row r="473" spans="1:1">
      <c r="A473" s="55"/>
    </row>
    <row r="474" spans="1:1">
      <c r="A474" s="55"/>
    </row>
    <row r="475" spans="1:1">
      <c r="A475" s="55"/>
    </row>
    <row r="476" spans="1:1">
      <c r="A476" s="55"/>
    </row>
    <row r="477" spans="1:1">
      <c r="A477" s="55"/>
    </row>
    <row r="478" spans="1:1">
      <c r="A478" s="55"/>
    </row>
    <row r="479" spans="1:1">
      <c r="A479" s="55"/>
    </row>
    <row r="480" spans="1:1">
      <c r="A480" s="55"/>
    </row>
    <row r="481" spans="1:1">
      <c r="A481" s="55"/>
    </row>
    <row r="482" spans="1:1">
      <c r="A482" s="55"/>
    </row>
    <row r="483" spans="1:1">
      <c r="A483" s="55"/>
    </row>
    <row r="484" spans="1:1">
      <c r="A484" s="55"/>
    </row>
    <row r="485" spans="1:1">
      <c r="A485" s="55"/>
    </row>
    <row r="486" spans="1:1">
      <c r="A486" s="55"/>
    </row>
    <row r="487" spans="1:1">
      <c r="A487" s="55"/>
    </row>
    <row r="488" spans="1:1">
      <c r="A488" s="55"/>
    </row>
    <row r="489" spans="1:1">
      <c r="A489" s="55"/>
    </row>
    <row r="490" spans="1:1">
      <c r="A490" s="55"/>
    </row>
    <row r="491" spans="1:1">
      <c r="A491" s="55"/>
    </row>
    <row r="492" spans="1:1">
      <c r="A492" s="55"/>
    </row>
    <row r="493" spans="1:1">
      <c r="A493" s="55"/>
    </row>
    <row r="494" spans="1:1">
      <c r="A494" s="55"/>
    </row>
    <row r="495" spans="1:1">
      <c r="A495" s="55"/>
    </row>
    <row r="496" spans="1:1">
      <c r="A496" s="55"/>
    </row>
    <row r="497" spans="1:1">
      <c r="A497" s="55"/>
    </row>
    <row r="498" spans="1:1">
      <c r="A498" s="55"/>
    </row>
    <row r="499" spans="1:1">
      <c r="A499" s="55"/>
    </row>
    <row r="500" spans="1:1">
      <c r="A500" s="55"/>
    </row>
    <row r="501" spans="1:1">
      <c r="A501" s="55"/>
    </row>
    <row r="502" spans="1:1">
      <c r="A502" s="55"/>
    </row>
    <row r="503" spans="1:1">
      <c r="A503" s="55"/>
    </row>
    <row r="504" spans="1:1">
      <c r="A504" s="55"/>
    </row>
    <row r="505" spans="1:1">
      <c r="A505" s="55"/>
    </row>
    <row r="506" spans="1:1">
      <c r="A506" s="55"/>
    </row>
    <row r="507" spans="1:1">
      <c r="A507" s="55"/>
    </row>
    <row r="508" spans="1:1">
      <c r="A508" s="55"/>
    </row>
    <row r="509" spans="1:1">
      <c r="A509" s="55"/>
    </row>
    <row r="510" spans="1:1">
      <c r="A510" s="55"/>
    </row>
    <row r="511" spans="1:1">
      <c r="A511" s="55"/>
    </row>
    <row r="512" spans="1:1">
      <c r="A512" s="55"/>
    </row>
    <row r="513" spans="1:1">
      <c r="A513" s="55"/>
    </row>
    <row r="514" spans="1:1">
      <c r="A514" s="55"/>
    </row>
    <row r="515" spans="1:1">
      <c r="A515" s="55"/>
    </row>
    <row r="516" spans="1:1">
      <c r="A516" s="55"/>
    </row>
    <row r="517" spans="1:1">
      <c r="A517" s="55"/>
    </row>
    <row r="518" spans="1:1">
      <c r="A518" s="55"/>
    </row>
    <row r="519" spans="1:1">
      <c r="A519" s="55"/>
    </row>
    <row r="520" spans="1:1">
      <c r="A520" s="55"/>
    </row>
    <row r="521" spans="1:1">
      <c r="A521" s="55"/>
    </row>
    <row r="522" spans="1:1">
      <c r="A522" s="55"/>
    </row>
    <row r="523" spans="1:1">
      <c r="A523" s="55"/>
    </row>
    <row r="524" spans="1:1">
      <c r="A524" s="55"/>
    </row>
    <row r="525" spans="1:1">
      <c r="A525" s="55"/>
    </row>
    <row r="526" spans="1:1">
      <c r="A526" s="55"/>
    </row>
    <row r="527" spans="1:1">
      <c r="A527" s="55"/>
    </row>
    <row r="528" spans="1:1">
      <c r="A528" s="55"/>
    </row>
    <row r="529" spans="1:1">
      <c r="A529" s="55"/>
    </row>
    <row r="530" spans="1:1">
      <c r="A530" s="55"/>
    </row>
    <row r="531" spans="1:1">
      <c r="A531" s="55"/>
    </row>
    <row r="532" spans="1:1">
      <c r="A532" s="55"/>
    </row>
    <row r="533" spans="1:1">
      <c r="A533" s="55"/>
    </row>
    <row r="534" spans="1:1">
      <c r="A534" s="55"/>
    </row>
    <row r="535" spans="1:1">
      <c r="A535" s="55"/>
    </row>
    <row r="536" spans="1:1">
      <c r="A536" s="55"/>
    </row>
    <row r="537" spans="1:1">
      <c r="A537" s="55"/>
    </row>
    <row r="538" spans="1:1">
      <c r="A538" s="55"/>
    </row>
    <row r="539" spans="1:1">
      <c r="A539" s="55"/>
    </row>
    <row r="540" spans="1:1">
      <c r="A540" s="55"/>
    </row>
    <row r="541" spans="1:1">
      <c r="A541" s="55"/>
    </row>
    <row r="542" spans="1:1">
      <c r="A542" s="55"/>
    </row>
    <row r="543" spans="1:1">
      <c r="A543" s="55"/>
    </row>
    <row r="544" spans="1:1">
      <c r="A544" s="55"/>
    </row>
    <row r="545" spans="1:1">
      <c r="A545" s="55"/>
    </row>
    <row r="546" spans="1:1">
      <c r="A546" s="55"/>
    </row>
    <row r="547" spans="1:1">
      <c r="A547" s="55"/>
    </row>
    <row r="548" spans="1:1">
      <c r="A548" s="55"/>
    </row>
    <row r="549" spans="1:1">
      <c r="A549" s="55"/>
    </row>
    <row r="550" spans="1:1">
      <c r="A550" s="55"/>
    </row>
    <row r="551" spans="1:1">
      <c r="A551" s="55"/>
    </row>
    <row r="552" spans="1:1">
      <c r="A552" s="55"/>
    </row>
    <row r="553" spans="1:1">
      <c r="A553" s="55"/>
    </row>
    <row r="554" spans="1:1">
      <c r="A554" s="55"/>
    </row>
    <row r="555" spans="1:1">
      <c r="A555" s="55"/>
    </row>
    <row r="556" spans="1:1">
      <c r="A556" s="55"/>
    </row>
    <row r="557" spans="1:1">
      <c r="A557" s="55"/>
    </row>
    <row r="558" spans="1:1">
      <c r="A558" s="55"/>
    </row>
    <row r="559" spans="1:1">
      <c r="A559" s="55"/>
    </row>
    <row r="560" spans="1:1">
      <c r="A560" s="55"/>
    </row>
    <row r="561" spans="1:1">
      <c r="A561" s="55"/>
    </row>
    <row r="562" spans="1:1">
      <c r="A562" s="55"/>
    </row>
    <row r="563" spans="1:1">
      <c r="A563" s="55"/>
    </row>
    <row r="564" spans="1:1">
      <c r="A564" s="55"/>
    </row>
    <row r="565" spans="1:1">
      <c r="A565" s="55"/>
    </row>
    <row r="566" spans="1:1">
      <c r="A566" s="55"/>
    </row>
    <row r="567" spans="1:1">
      <c r="A567" s="55"/>
    </row>
    <row r="568" spans="1:1">
      <c r="A568" s="55"/>
    </row>
    <row r="569" spans="1:1">
      <c r="A569" s="55"/>
    </row>
    <row r="570" spans="1:1">
      <c r="A570" s="55"/>
    </row>
    <row r="571" spans="1:1">
      <c r="A571" s="55"/>
    </row>
    <row r="572" spans="1:1">
      <c r="A572" s="55"/>
    </row>
    <row r="573" spans="1:1">
      <c r="A573" s="55"/>
    </row>
    <row r="574" spans="1:1">
      <c r="A574" s="55"/>
    </row>
    <row r="575" spans="1:1">
      <c r="A575" s="55"/>
    </row>
    <row r="576" spans="1:1">
      <c r="A576" s="55"/>
    </row>
    <row r="577" spans="1:1">
      <c r="A577" s="55"/>
    </row>
    <row r="578" spans="1:1">
      <c r="A578" s="55"/>
    </row>
    <row r="579" spans="1:1">
      <c r="A579" s="55"/>
    </row>
    <row r="580" spans="1:1">
      <c r="A580" s="55"/>
    </row>
    <row r="581" spans="1:1">
      <c r="A581" s="55"/>
    </row>
    <row r="582" spans="1:1">
      <c r="A582" s="55"/>
    </row>
    <row r="583" spans="1:1">
      <c r="A583" s="55"/>
    </row>
    <row r="584" spans="1:1">
      <c r="A584" s="55"/>
    </row>
    <row r="585" spans="1:1">
      <c r="A585" s="55"/>
    </row>
    <row r="586" spans="1:1">
      <c r="A586" s="55"/>
    </row>
    <row r="587" spans="1:1">
      <c r="A587" s="55"/>
    </row>
    <row r="588" spans="1:1">
      <c r="A588" s="55"/>
    </row>
    <row r="589" spans="1:1">
      <c r="A589" s="55"/>
    </row>
    <row r="590" spans="1:1">
      <c r="A590" s="55"/>
    </row>
    <row r="591" spans="1:1">
      <c r="A591" s="55"/>
    </row>
    <row r="592" spans="1:1">
      <c r="A592" s="55"/>
    </row>
    <row r="593" spans="1:1">
      <c r="A593" s="55"/>
    </row>
    <row r="594" spans="1:1">
      <c r="A594" s="55"/>
    </row>
    <row r="595" spans="1:1">
      <c r="A595" s="55"/>
    </row>
    <row r="596" spans="1:1">
      <c r="A596" s="55"/>
    </row>
    <row r="597" spans="1:1">
      <c r="A597" s="55"/>
    </row>
    <row r="598" spans="1:1">
      <c r="A598" s="55"/>
    </row>
    <row r="599" spans="1:1">
      <c r="A599" s="55"/>
    </row>
    <row r="600" spans="1:1">
      <c r="A600" s="55"/>
    </row>
    <row r="601" spans="1:1">
      <c r="A601" s="55"/>
    </row>
    <row r="602" spans="1:1">
      <c r="A602" s="55"/>
    </row>
    <row r="603" spans="1:1">
      <c r="A603" s="55"/>
    </row>
    <row r="604" spans="1:1">
      <c r="A604" s="55"/>
    </row>
    <row r="605" spans="1:1">
      <c r="A605" s="55"/>
    </row>
    <row r="606" spans="1:1">
      <c r="A606" s="55"/>
    </row>
    <row r="607" spans="1:1">
      <c r="A607" s="55"/>
    </row>
    <row r="608" spans="1:1">
      <c r="A608" s="55"/>
    </row>
    <row r="609" spans="1:1">
      <c r="A609" s="55"/>
    </row>
    <row r="610" spans="1:1">
      <c r="A610" s="55"/>
    </row>
    <row r="611" spans="1:1">
      <c r="A611" s="55"/>
    </row>
    <row r="612" spans="1:1">
      <c r="A612" s="55"/>
    </row>
    <row r="613" spans="1:1">
      <c r="A613" s="55"/>
    </row>
    <row r="614" spans="1:1">
      <c r="A614" s="55"/>
    </row>
    <row r="615" spans="1:1">
      <c r="A615" s="55"/>
    </row>
    <row r="616" spans="1:1">
      <c r="A616" s="55"/>
    </row>
    <row r="617" spans="1:1">
      <c r="A617" s="55"/>
    </row>
    <row r="618" spans="1:1">
      <c r="A618" s="55"/>
    </row>
    <row r="619" spans="1:1">
      <c r="A619" s="55"/>
    </row>
    <row r="620" spans="1:1">
      <c r="A620" s="55"/>
    </row>
    <row r="621" spans="1:1">
      <c r="A621" s="55"/>
    </row>
    <row r="622" spans="1:1">
      <c r="A622" s="55"/>
    </row>
    <row r="623" spans="1:1">
      <c r="A623" s="55"/>
    </row>
    <row r="624" spans="1:1">
      <c r="A624" s="55"/>
    </row>
    <row r="625" spans="1:1">
      <c r="A625" s="55"/>
    </row>
    <row r="626" spans="1:1">
      <c r="A626" s="55"/>
    </row>
    <row r="627" spans="1:1">
      <c r="A627" s="55"/>
    </row>
    <row r="628" spans="1:1">
      <c r="A628" s="55"/>
    </row>
    <row r="629" spans="1:1">
      <c r="A629" s="55"/>
    </row>
    <row r="630" spans="1:1">
      <c r="A630" s="55"/>
    </row>
    <row r="631" spans="1:1">
      <c r="A631" s="55"/>
    </row>
    <row r="632" spans="1:1">
      <c r="A632" s="55"/>
    </row>
    <row r="633" spans="1:1">
      <c r="A633" s="55"/>
    </row>
    <row r="634" spans="1:1">
      <c r="A634" s="55"/>
    </row>
    <row r="635" spans="1:1">
      <c r="A635" s="55"/>
    </row>
    <row r="636" spans="1:1">
      <c r="A636" s="55"/>
    </row>
    <row r="637" spans="1:1">
      <c r="A637" s="55"/>
    </row>
    <row r="638" spans="1:1">
      <c r="A638" s="55"/>
    </row>
    <row r="639" spans="1:1">
      <c r="A639" s="55"/>
    </row>
    <row r="640" spans="1:1">
      <c r="A640" s="55"/>
    </row>
    <row r="641" spans="1:1">
      <c r="A641" s="55"/>
    </row>
    <row r="642" spans="1:1">
      <c r="A642" s="55"/>
    </row>
    <row r="643" spans="1:1">
      <c r="A643" s="55"/>
    </row>
    <row r="644" spans="1:1">
      <c r="A644" s="55"/>
    </row>
    <row r="645" spans="1:1">
      <c r="A645" s="55"/>
    </row>
    <row r="646" spans="1:1">
      <c r="A646" s="55"/>
    </row>
    <row r="647" spans="1:1">
      <c r="A647" s="55"/>
    </row>
    <row r="648" spans="1:1">
      <c r="A648" s="55"/>
    </row>
    <row r="649" spans="1:1">
      <c r="A649" s="55"/>
    </row>
    <row r="650" spans="1:1">
      <c r="A650" s="55"/>
    </row>
    <row r="651" spans="1:1">
      <c r="A651" s="55"/>
    </row>
    <row r="652" spans="1:1">
      <c r="A652" s="55"/>
    </row>
    <row r="653" spans="1:1">
      <c r="A653" s="55"/>
    </row>
    <row r="654" spans="1:1">
      <c r="A654" s="55"/>
    </row>
    <row r="655" spans="1:1">
      <c r="A655" s="55"/>
    </row>
    <row r="656" spans="1:1">
      <c r="A656" s="55"/>
    </row>
    <row r="657" spans="1:1">
      <c r="A657" s="55"/>
    </row>
    <row r="658" spans="1:1">
      <c r="A658" s="55"/>
    </row>
    <row r="659" spans="1:1">
      <c r="A659" s="55"/>
    </row>
    <row r="660" spans="1:1">
      <c r="A660" s="55"/>
    </row>
    <row r="661" spans="1:1">
      <c r="A661" s="55"/>
    </row>
    <row r="662" spans="1:1">
      <c r="A662" s="55"/>
    </row>
    <row r="663" spans="1:1">
      <c r="A663" s="55"/>
    </row>
    <row r="664" spans="1:1">
      <c r="A664" s="55"/>
    </row>
    <row r="665" spans="1:1">
      <c r="A665" s="55"/>
    </row>
    <row r="666" spans="1:1">
      <c r="A666" s="55"/>
    </row>
    <row r="667" spans="1:1">
      <c r="A667" s="55"/>
    </row>
    <row r="668" spans="1:1">
      <c r="A668" s="55"/>
    </row>
    <row r="669" spans="1:1">
      <c r="A669" s="55"/>
    </row>
    <row r="670" spans="1:1">
      <c r="A670" s="55"/>
    </row>
    <row r="671" spans="1:1">
      <c r="A671" s="55"/>
    </row>
    <row r="672" spans="1:1">
      <c r="A672" s="55"/>
    </row>
    <row r="673" spans="1:1">
      <c r="A673" s="55"/>
    </row>
    <row r="674" spans="1:1">
      <c r="A674" s="55"/>
    </row>
    <row r="675" spans="1:1">
      <c r="A675" s="55"/>
    </row>
    <row r="676" spans="1:1">
      <c r="A676" s="55"/>
    </row>
    <row r="677" spans="1:1">
      <c r="A677" s="55"/>
    </row>
    <row r="678" spans="1:1">
      <c r="A678" s="55"/>
    </row>
    <row r="679" spans="1:1">
      <c r="A679" s="55"/>
    </row>
    <row r="680" spans="1:1">
      <c r="A680" s="55"/>
    </row>
    <row r="681" spans="1:1">
      <c r="A681" s="55"/>
    </row>
    <row r="682" spans="1:1">
      <c r="A682" s="55"/>
    </row>
    <row r="683" spans="1:1">
      <c r="A683" s="55"/>
    </row>
    <row r="684" spans="1:1">
      <c r="A684" s="55"/>
    </row>
    <row r="685" spans="1:1">
      <c r="A685" s="55"/>
    </row>
    <row r="686" spans="1:1">
      <c r="A686" s="55"/>
    </row>
    <row r="687" spans="1:1">
      <c r="A687" s="55"/>
    </row>
    <row r="688" spans="1:1">
      <c r="A688" s="55"/>
    </row>
    <row r="689" spans="1:1">
      <c r="A689" s="55"/>
    </row>
    <row r="690" spans="1:1">
      <c r="A690" s="55"/>
    </row>
    <row r="691" spans="1:1">
      <c r="A691" s="55"/>
    </row>
    <row r="692" spans="1:1">
      <c r="A692" s="55"/>
    </row>
    <row r="693" spans="1:1">
      <c r="A693" s="55"/>
    </row>
    <row r="694" spans="1:1">
      <c r="A694" s="55"/>
    </row>
    <row r="695" spans="1:1">
      <c r="A695" s="55"/>
    </row>
    <row r="696" spans="1:1">
      <c r="A696" s="55"/>
    </row>
    <row r="697" spans="1:1">
      <c r="A697" s="55"/>
    </row>
    <row r="698" spans="1:1">
      <c r="A698" s="55"/>
    </row>
    <row r="699" spans="1:1">
      <c r="A699" s="55"/>
    </row>
    <row r="700" spans="1:1">
      <c r="A700" s="55"/>
    </row>
    <row r="701" spans="1:1">
      <c r="A701" s="55"/>
    </row>
    <row r="702" spans="1:1">
      <c r="A702" s="55"/>
    </row>
    <row r="703" spans="1:1">
      <c r="A703" s="55"/>
    </row>
    <row r="704" spans="1:1">
      <c r="A704" s="55"/>
    </row>
    <row r="705" spans="1:1">
      <c r="A705" s="55"/>
    </row>
    <row r="706" spans="1:1">
      <c r="A706" s="55"/>
    </row>
    <row r="707" spans="1:1">
      <c r="A707" s="55"/>
    </row>
    <row r="708" spans="1:1">
      <c r="A708" s="55"/>
    </row>
    <row r="709" spans="1:1">
      <c r="A709" s="55"/>
    </row>
    <row r="710" spans="1:1">
      <c r="A710" s="55"/>
    </row>
    <row r="711" spans="1:1">
      <c r="A711" s="55"/>
    </row>
    <row r="712" spans="1:1">
      <c r="A712" s="55"/>
    </row>
    <row r="713" spans="1:1">
      <c r="A713" s="55"/>
    </row>
    <row r="714" spans="1:1">
      <c r="A714" s="55"/>
    </row>
    <row r="715" spans="1:1">
      <c r="A715" s="55"/>
    </row>
    <row r="716" spans="1:1">
      <c r="A716" s="55"/>
    </row>
    <row r="717" spans="1:1">
      <c r="A717" s="55"/>
    </row>
    <row r="718" spans="1:1">
      <c r="A718" s="55"/>
    </row>
    <row r="719" spans="1:1">
      <c r="A719" s="55"/>
    </row>
    <row r="720" spans="1:1">
      <c r="A720" s="55"/>
    </row>
    <row r="721" spans="1:1">
      <c r="A721" s="55"/>
    </row>
    <row r="722" spans="1:1">
      <c r="A722" s="55"/>
    </row>
    <row r="723" spans="1:1">
      <c r="A723" s="55"/>
    </row>
    <row r="724" spans="1:1">
      <c r="A724" s="55"/>
    </row>
    <row r="725" spans="1:1">
      <c r="A725" s="55"/>
    </row>
    <row r="726" spans="1:1">
      <c r="A726" s="55"/>
    </row>
    <row r="727" spans="1:1">
      <c r="A727" s="55"/>
    </row>
    <row r="728" spans="1:1">
      <c r="A728" s="55"/>
    </row>
    <row r="729" spans="1:1">
      <c r="A729" s="55"/>
    </row>
    <row r="730" spans="1:1">
      <c r="A730" s="55"/>
    </row>
    <row r="731" spans="1:1">
      <c r="A731" s="55"/>
    </row>
    <row r="732" spans="1:1">
      <c r="A732" s="55"/>
    </row>
    <row r="733" spans="1:1">
      <c r="A733" s="55"/>
    </row>
    <row r="734" spans="1:1">
      <c r="A734" s="55"/>
    </row>
    <row r="735" spans="1:1">
      <c r="A735" s="55"/>
    </row>
    <row r="736" spans="1:1">
      <c r="A736" s="55"/>
    </row>
    <row r="737" spans="1:1">
      <c r="A737" s="55"/>
    </row>
    <row r="738" spans="1:1">
      <c r="A738" s="55"/>
    </row>
    <row r="739" spans="1:1">
      <c r="A739" s="55"/>
    </row>
    <row r="740" spans="1:1">
      <c r="A740" s="55"/>
    </row>
    <row r="741" spans="1:1">
      <c r="A741" s="55"/>
    </row>
    <row r="742" spans="1:1">
      <c r="A742" s="55"/>
    </row>
    <row r="743" spans="1:1">
      <c r="A743" s="55"/>
    </row>
    <row r="744" spans="1:1">
      <c r="A744" s="55"/>
    </row>
    <row r="745" spans="1:1">
      <c r="A745" s="55"/>
    </row>
    <row r="746" spans="1:1">
      <c r="A746" s="55"/>
    </row>
    <row r="747" spans="1:1">
      <c r="A747" s="55"/>
    </row>
    <row r="748" spans="1:1">
      <c r="A748" s="55"/>
    </row>
    <row r="749" spans="1:1">
      <c r="A749" s="55"/>
    </row>
    <row r="750" spans="1:1">
      <c r="A750" s="55"/>
    </row>
    <row r="751" spans="1:1">
      <c r="A751" s="55"/>
    </row>
    <row r="752" spans="1:1">
      <c r="A752" s="55"/>
    </row>
    <row r="753" spans="1:1">
      <c r="A753" s="55"/>
    </row>
    <row r="754" spans="1:1">
      <c r="A754" s="55"/>
    </row>
    <row r="755" spans="1:1">
      <c r="A755" s="55"/>
    </row>
    <row r="756" spans="1:1">
      <c r="A756" s="55"/>
    </row>
    <row r="757" spans="1:1">
      <c r="A757" s="55"/>
    </row>
    <row r="758" spans="1:1">
      <c r="A758" s="55"/>
    </row>
    <row r="759" spans="1:1">
      <c r="A759" s="55"/>
    </row>
    <row r="760" spans="1:1">
      <c r="A760" s="55"/>
    </row>
    <row r="761" spans="1:1">
      <c r="A761" s="55"/>
    </row>
    <row r="762" spans="1:1">
      <c r="A762" s="55"/>
    </row>
    <row r="763" spans="1:1">
      <c r="A763" s="55"/>
    </row>
    <row r="764" spans="1:1">
      <c r="A764" s="55"/>
    </row>
    <row r="765" spans="1:1">
      <c r="A765" s="55"/>
    </row>
    <row r="766" spans="1:1">
      <c r="A766" s="55"/>
    </row>
    <row r="767" spans="1:1">
      <c r="A767" s="55"/>
    </row>
    <row r="768" spans="1:1">
      <c r="A768" s="55"/>
    </row>
    <row r="769" spans="1:1">
      <c r="A769" s="55"/>
    </row>
    <row r="770" spans="1:1">
      <c r="A770" s="55"/>
    </row>
    <row r="771" spans="1:1">
      <c r="A771" s="55"/>
    </row>
    <row r="772" spans="1:1">
      <c r="A772" s="55"/>
    </row>
    <row r="773" spans="1:1">
      <c r="A773" s="55"/>
    </row>
    <row r="774" spans="1:1">
      <c r="A774" s="55"/>
    </row>
    <row r="775" spans="1:1">
      <c r="A775" s="55"/>
    </row>
    <row r="776" spans="1:1">
      <c r="A776" s="55"/>
    </row>
    <row r="777" spans="1:1">
      <c r="A777" s="55"/>
    </row>
    <row r="778" spans="1:1">
      <c r="A778" s="55"/>
    </row>
    <row r="779" spans="1:1">
      <c r="A779" s="55"/>
    </row>
    <row r="780" spans="1:1">
      <c r="A780" s="55"/>
    </row>
    <row r="781" spans="1:1">
      <c r="A781" s="55"/>
    </row>
    <row r="782" spans="1:1">
      <c r="A782" s="55"/>
    </row>
    <row r="783" spans="1:1">
      <c r="A783" s="55"/>
    </row>
    <row r="784" spans="1:1">
      <c r="A784" s="55"/>
    </row>
    <row r="785" spans="1:1">
      <c r="A785" s="55"/>
    </row>
    <row r="786" spans="1:1">
      <c r="A786" s="55"/>
    </row>
    <row r="787" spans="1:1">
      <c r="A787" s="55"/>
    </row>
    <row r="788" spans="1:1">
      <c r="A788" s="55"/>
    </row>
    <row r="789" spans="1:1">
      <c r="A789" s="55"/>
    </row>
    <row r="790" spans="1:1">
      <c r="A790" s="55"/>
    </row>
    <row r="791" spans="1:1">
      <c r="A791" s="55"/>
    </row>
    <row r="792" spans="1:1">
      <c r="A792" s="55"/>
    </row>
    <row r="793" spans="1:1">
      <c r="A793" s="55"/>
    </row>
    <row r="794" spans="1:1">
      <c r="A794" s="55"/>
    </row>
    <row r="795" spans="1:1">
      <c r="A795" s="55"/>
    </row>
    <row r="796" spans="1:1">
      <c r="A796" s="55"/>
    </row>
    <row r="797" spans="1:1">
      <c r="A797" s="55"/>
    </row>
    <row r="798" spans="1:1">
      <c r="A798" s="55"/>
    </row>
    <row r="799" spans="1:1">
      <c r="A799" s="55"/>
    </row>
    <row r="800" spans="1:1">
      <c r="A800" s="55"/>
    </row>
    <row r="801" spans="1:1">
      <c r="A801" s="55"/>
    </row>
    <row r="802" spans="1:1">
      <c r="A802" s="55"/>
    </row>
    <row r="803" spans="1:1">
      <c r="A803" s="55"/>
    </row>
    <row r="804" spans="1:1">
      <c r="A804" s="55"/>
    </row>
    <row r="805" spans="1:1">
      <c r="A805" s="55"/>
    </row>
    <row r="806" spans="1:1">
      <c r="A806" s="55"/>
    </row>
    <row r="807" spans="1:1">
      <c r="A807" s="55"/>
    </row>
    <row r="808" spans="1:1">
      <c r="A808" s="55"/>
    </row>
    <row r="809" spans="1:1">
      <c r="A809" s="55"/>
    </row>
    <row r="810" spans="1:1">
      <c r="A810" s="55"/>
    </row>
    <row r="811" spans="1:1">
      <c r="A811" s="55"/>
    </row>
    <row r="812" spans="1:1">
      <c r="A812" s="55"/>
    </row>
    <row r="813" spans="1:1">
      <c r="A813" s="55"/>
    </row>
    <row r="814" spans="1:1">
      <c r="A814" s="55"/>
    </row>
    <row r="815" spans="1:1">
      <c r="A815" s="55"/>
    </row>
    <row r="816" spans="1:1">
      <c r="A816" s="55"/>
    </row>
    <row r="817" spans="1:1">
      <c r="A817" s="55"/>
    </row>
    <row r="818" spans="1:1">
      <c r="A818" s="55"/>
    </row>
    <row r="819" spans="1:1">
      <c r="A819" s="55"/>
    </row>
    <row r="820" spans="1:1">
      <c r="A820" s="55"/>
    </row>
    <row r="821" spans="1:1">
      <c r="A821" s="55"/>
    </row>
    <row r="822" spans="1:1">
      <c r="A822" s="55"/>
    </row>
    <row r="823" spans="1:1">
      <c r="A823" s="55"/>
    </row>
    <row r="824" spans="1:1">
      <c r="A824" s="55"/>
    </row>
    <row r="825" spans="1:1">
      <c r="A825" s="55"/>
    </row>
    <row r="826" spans="1:1">
      <c r="A826" s="55"/>
    </row>
    <row r="827" spans="1:1">
      <c r="A827" s="55"/>
    </row>
    <row r="828" spans="1:1">
      <c r="A828" s="55"/>
    </row>
    <row r="829" spans="1:1">
      <c r="A829" s="55"/>
    </row>
    <row r="830" spans="1:1">
      <c r="A830" s="55"/>
    </row>
    <row r="831" spans="1:1">
      <c r="A831" s="55"/>
    </row>
    <row r="832" spans="1:1">
      <c r="A832" s="55"/>
    </row>
    <row r="833" spans="1:1">
      <c r="A833" s="55"/>
    </row>
    <row r="834" spans="1:1">
      <c r="A834" s="55"/>
    </row>
    <row r="835" spans="1:1">
      <c r="A835" s="55"/>
    </row>
    <row r="836" spans="1:1">
      <c r="A836" s="55"/>
    </row>
    <row r="837" spans="1:1">
      <c r="A837" s="55"/>
    </row>
    <row r="838" spans="1:1">
      <c r="A838" s="55"/>
    </row>
    <row r="839" spans="1:1">
      <c r="A839" s="55"/>
    </row>
    <row r="840" spans="1:1">
      <c r="A840" s="55"/>
    </row>
    <row r="841" spans="1:1">
      <c r="A841" s="55"/>
    </row>
    <row r="842" spans="1:1">
      <c r="A842" s="55"/>
    </row>
    <row r="843" spans="1:1">
      <c r="A843" s="55"/>
    </row>
    <row r="844" spans="1:1">
      <c r="A844" s="55"/>
    </row>
    <row r="845" spans="1:1">
      <c r="A845" s="55"/>
    </row>
    <row r="846" spans="1:1">
      <c r="A846" s="55"/>
    </row>
    <row r="847" spans="1:1">
      <c r="A847" s="55"/>
    </row>
    <row r="848" spans="1:1">
      <c r="A848" s="55"/>
    </row>
    <row r="849" spans="1:1">
      <c r="A849" s="55"/>
    </row>
    <row r="850" spans="1:1">
      <c r="A850" s="55"/>
    </row>
    <row r="851" spans="1:1">
      <c r="A851" s="55"/>
    </row>
    <row r="852" spans="1:1">
      <c r="A852" s="55"/>
    </row>
    <row r="853" spans="1:1">
      <c r="A853" s="55"/>
    </row>
    <row r="854" spans="1:1">
      <c r="A854" s="55"/>
    </row>
    <row r="855" spans="1:1">
      <c r="A855" s="55"/>
    </row>
    <row r="856" spans="1:1">
      <c r="A856" s="55"/>
    </row>
    <row r="857" spans="1:1">
      <c r="A857" s="55"/>
    </row>
    <row r="858" spans="1:1">
      <c r="A858" s="55"/>
    </row>
    <row r="859" spans="1:1">
      <c r="A859" s="55"/>
    </row>
    <row r="860" spans="1:1">
      <c r="A860" s="55"/>
    </row>
    <row r="861" spans="1:1">
      <c r="A861" s="55"/>
    </row>
    <row r="862" spans="1:1">
      <c r="A862" s="55"/>
    </row>
    <row r="863" spans="1:1">
      <c r="A863" s="55"/>
    </row>
    <row r="864" spans="1:1">
      <c r="A864" s="55"/>
    </row>
    <row r="865" spans="1:1">
      <c r="A865" s="55"/>
    </row>
    <row r="866" spans="1:1">
      <c r="A866" s="55"/>
    </row>
    <row r="867" spans="1:1">
      <c r="A867" s="55"/>
    </row>
    <row r="868" spans="1:1">
      <c r="A868" s="55"/>
    </row>
    <row r="869" spans="1:1">
      <c r="A869" s="55"/>
    </row>
    <row r="870" spans="1:1">
      <c r="A870" s="55"/>
    </row>
    <row r="871" spans="1:1">
      <c r="A871" s="55"/>
    </row>
    <row r="872" spans="1:1">
      <c r="A872" s="55"/>
    </row>
    <row r="873" spans="1:1">
      <c r="A873" s="55"/>
    </row>
    <row r="874" spans="1:1">
      <c r="A874" s="55"/>
    </row>
    <row r="875" spans="1:1">
      <c r="A875" s="55"/>
    </row>
    <row r="876" spans="1:1">
      <c r="A876" s="55"/>
    </row>
    <row r="877" spans="1:1">
      <c r="A877" s="55"/>
    </row>
    <row r="878" spans="1:1">
      <c r="A878" s="55"/>
    </row>
    <row r="879" spans="1:1">
      <c r="A879" s="55"/>
    </row>
    <row r="880" spans="1:1">
      <c r="A880" s="55"/>
    </row>
    <row r="881" spans="1:1">
      <c r="A881" s="55"/>
    </row>
    <row r="882" spans="1:1">
      <c r="A882" s="55"/>
    </row>
    <row r="883" spans="1:1">
      <c r="A883" s="55"/>
    </row>
    <row r="884" spans="1:1">
      <c r="A884" s="55"/>
    </row>
    <row r="885" spans="1:1">
      <c r="A885" s="55"/>
    </row>
    <row r="886" spans="1:1">
      <c r="A886" s="55"/>
    </row>
    <row r="887" spans="1:1">
      <c r="A887" s="55"/>
    </row>
    <row r="888" spans="1:1">
      <c r="A888" s="55"/>
    </row>
    <row r="889" spans="1:1">
      <c r="A889" s="55"/>
    </row>
    <row r="890" spans="1:1">
      <c r="A890" s="55"/>
    </row>
    <row r="891" spans="1:1">
      <c r="A891" s="55"/>
    </row>
    <row r="892" spans="1:1">
      <c r="A892" s="55"/>
    </row>
    <row r="893" spans="1:1">
      <c r="A893" s="55"/>
    </row>
    <row r="894" spans="1:1">
      <c r="A894" s="55"/>
    </row>
    <row r="895" spans="1:1">
      <c r="A895" s="55"/>
    </row>
    <row r="896" spans="1:1">
      <c r="A896" s="55"/>
    </row>
    <row r="897" spans="1:1">
      <c r="A897" s="55"/>
    </row>
    <row r="898" spans="1:1">
      <c r="A898" s="55"/>
    </row>
    <row r="899" spans="1:1">
      <c r="A899" s="55"/>
    </row>
    <row r="900" spans="1:1">
      <c r="A900" s="55"/>
    </row>
    <row r="901" spans="1:1">
      <c r="A901" s="55"/>
    </row>
    <row r="902" spans="1:1">
      <c r="A902" s="55"/>
    </row>
    <row r="903" spans="1:1">
      <c r="A903" s="55"/>
    </row>
    <row r="904" spans="1:1">
      <c r="A904" s="55"/>
    </row>
    <row r="905" spans="1:1">
      <c r="A905" s="55"/>
    </row>
    <row r="906" spans="1:1">
      <c r="A906" s="55"/>
    </row>
    <row r="907" spans="1:1">
      <c r="A907" s="55"/>
    </row>
    <row r="908" spans="1:1">
      <c r="A908" s="55"/>
    </row>
    <row r="909" spans="1:1">
      <c r="A909" s="55"/>
    </row>
    <row r="910" spans="1:1">
      <c r="A910" s="55"/>
    </row>
    <row r="911" spans="1:1">
      <c r="A911" s="55"/>
    </row>
    <row r="912" spans="1:1">
      <c r="A912" s="55"/>
    </row>
    <row r="913" spans="1:1">
      <c r="A913" s="55"/>
    </row>
    <row r="914" spans="1:1">
      <c r="A914" s="55"/>
    </row>
    <row r="915" spans="1:1">
      <c r="A915" s="55"/>
    </row>
    <row r="916" spans="1:1">
      <c r="A916" s="55"/>
    </row>
    <row r="917" spans="1:1">
      <c r="A917" s="55"/>
    </row>
    <row r="918" spans="1:1">
      <c r="A918" s="55"/>
    </row>
    <row r="919" spans="1:1">
      <c r="A919" s="55"/>
    </row>
    <row r="920" spans="1:1">
      <c r="A920" s="55"/>
    </row>
    <row r="921" spans="1:1">
      <c r="A921" s="55"/>
    </row>
    <row r="922" spans="1:1">
      <c r="A922" s="55"/>
    </row>
    <row r="923" spans="1:1">
      <c r="A923" s="55"/>
    </row>
    <row r="924" spans="1:1">
      <c r="A924" s="55"/>
    </row>
    <row r="925" spans="1:1">
      <c r="A925" s="55"/>
    </row>
    <row r="926" spans="1:1">
      <c r="A926" s="55"/>
    </row>
    <row r="927" spans="1:1">
      <c r="A927" s="55"/>
    </row>
    <row r="928" spans="1:1">
      <c r="A928" s="55"/>
    </row>
    <row r="929" spans="1:1">
      <c r="A929" s="55"/>
    </row>
    <row r="930" spans="1:1">
      <c r="A930" s="55"/>
    </row>
    <row r="931" spans="1:1">
      <c r="A931" s="55"/>
    </row>
    <row r="932" spans="1:1">
      <c r="A932" s="55"/>
    </row>
    <row r="933" spans="1:1">
      <c r="A933" s="55"/>
    </row>
    <row r="934" spans="1:1">
      <c r="A934" s="55"/>
    </row>
    <row r="935" spans="1:1">
      <c r="A935" s="55"/>
    </row>
    <row r="936" spans="1:1">
      <c r="A936" s="55"/>
    </row>
    <row r="937" spans="1:1">
      <c r="A937" s="55"/>
    </row>
    <row r="938" spans="1:1">
      <c r="A938" s="55"/>
    </row>
    <row r="939" spans="1:1">
      <c r="A939" s="55"/>
    </row>
    <row r="940" spans="1:1">
      <c r="A940" s="55"/>
    </row>
    <row r="941" spans="1:1">
      <c r="A941" s="55"/>
    </row>
    <row r="942" spans="1:1">
      <c r="A942" s="55"/>
    </row>
    <row r="943" spans="1:1">
      <c r="A943" s="55"/>
    </row>
    <row r="944" spans="1:1">
      <c r="A944" s="55"/>
    </row>
    <row r="945" spans="1:1">
      <c r="A945" s="55"/>
    </row>
    <row r="946" spans="1:1">
      <c r="A946" s="55"/>
    </row>
    <row r="947" spans="1:1">
      <c r="A947" s="55"/>
    </row>
    <row r="948" spans="1:1">
      <c r="A948" s="55"/>
    </row>
    <row r="949" spans="1:1">
      <c r="A949" s="55"/>
    </row>
    <row r="950" spans="1:1">
      <c r="A950" s="55"/>
    </row>
    <row r="951" spans="1:1">
      <c r="A951" s="55"/>
    </row>
    <row r="952" spans="1:1">
      <c r="A952" s="55"/>
    </row>
    <row r="953" spans="1:1">
      <c r="A953" s="55"/>
    </row>
    <row r="954" spans="1:1">
      <c r="A954" s="55"/>
    </row>
    <row r="955" spans="1:1">
      <c r="A955" s="55"/>
    </row>
    <row r="956" spans="1:1">
      <c r="A956" s="55"/>
    </row>
    <row r="957" spans="1:1">
      <c r="A957" s="55"/>
    </row>
    <row r="958" spans="1:1">
      <c r="A958" s="55"/>
    </row>
    <row r="959" spans="1:1">
      <c r="A959" s="55"/>
    </row>
    <row r="960" spans="1:1">
      <c r="A960" s="55"/>
    </row>
    <row r="961" spans="1:1">
      <c r="A961" s="55"/>
    </row>
    <row r="962" spans="1:1">
      <c r="A962" s="55"/>
    </row>
    <row r="963" spans="1:1">
      <c r="A963" s="55"/>
    </row>
    <row r="964" spans="1:1">
      <c r="A964" s="55"/>
    </row>
    <row r="965" spans="1:1">
      <c r="A965" s="55"/>
    </row>
    <row r="966" spans="1:1">
      <c r="A966" s="55"/>
    </row>
    <row r="967" spans="1:1">
      <c r="A967" s="55"/>
    </row>
    <row r="968" spans="1:1">
      <c r="A968" s="55"/>
    </row>
    <row r="969" spans="1:1">
      <c r="A969" s="55"/>
    </row>
    <row r="970" spans="1:1">
      <c r="A970" s="55"/>
    </row>
    <row r="971" spans="1:1">
      <c r="A971" s="55"/>
    </row>
    <row r="972" spans="1:1">
      <c r="A972" s="55"/>
    </row>
    <row r="973" spans="1:1">
      <c r="A973" s="55"/>
    </row>
    <row r="974" spans="1:1">
      <c r="A974" s="55"/>
    </row>
    <row r="975" spans="1:1">
      <c r="A975" s="55"/>
    </row>
    <row r="976" spans="1:1">
      <c r="A976" s="55"/>
    </row>
    <row r="977" spans="1:1">
      <c r="A977" s="55"/>
    </row>
    <row r="978" spans="1:1">
      <c r="A978" s="55"/>
    </row>
    <row r="979" spans="1:1">
      <c r="A979" s="55"/>
    </row>
    <row r="980" spans="1:1">
      <c r="A980" s="55"/>
    </row>
    <row r="981" spans="1:1">
      <c r="A981" s="55"/>
    </row>
    <row r="982" spans="1:1">
      <c r="A982" s="55"/>
    </row>
    <row r="983" spans="1:1">
      <c r="A983" s="55"/>
    </row>
    <row r="984" spans="1:1">
      <c r="A984" s="55"/>
    </row>
    <row r="985" spans="1:1">
      <c r="A985" s="55"/>
    </row>
    <row r="986" spans="1:1">
      <c r="A986" s="55"/>
    </row>
    <row r="987" spans="1:1">
      <c r="A987" s="55"/>
    </row>
    <row r="988" spans="1:1">
      <c r="A988" s="55"/>
    </row>
    <row r="989" spans="1:1">
      <c r="A989" s="55"/>
    </row>
    <row r="990" spans="1:1">
      <c r="A990" s="55"/>
    </row>
    <row r="991" spans="1:1">
      <c r="A991" s="55"/>
    </row>
    <row r="992" spans="1:1">
      <c r="A992" s="55"/>
    </row>
    <row r="993" spans="1:1">
      <c r="A993" s="55"/>
    </row>
    <row r="994" spans="1:1">
      <c r="A994" s="55"/>
    </row>
    <row r="995" spans="1:1">
      <c r="A995" s="55"/>
    </row>
    <row r="996" spans="1:1">
      <c r="A996" s="55"/>
    </row>
    <row r="997" spans="1:1">
      <c r="A997" s="55"/>
    </row>
    <row r="998" spans="1:1">
      <c r="A998" s="55"/>
    </row>
    <row r="999" spans="1:1">
      <c r="A999" s="55"/>
    </row>
    <row r="1000" spans="1:1">
      <c r="A1000" s="55"/>
    </row>
    <row r="1001" spans="1:1">
      <c r="A1001" s="55"/>
    </row>
    <row r="1002" spans="1:1">
      <c r="A1002" s="55"/>
    </row>
    <row r="1003" spans="1:1">
      <c r="A1003" s="55"/>
    </row>
    <row r="1004" spans="1:1">
      <c r="A1004" s="55"/>
    </row>
    <row r="1005" spans="1:1">
      <c r="A1005" s="55"/>
    </row>
    <row r="1006" spans="1:1">
      <c r="A1006" s="55"/>
    </row>
    <row r="1007" spans="1:1">
      <c r="A1007" s="55"/>
    </row>
    <row r="1008" spans="1:1">
      <c r="A1008" s="55"/>
    </row>
    <row r="1009" spans="1:1">
      <c r="A1009" s="55"/>
    </row>
    <row r="1010" spans="1:1">
      <c r="A1010" s="55"/>
    </row>
    <row r="1011" spans="1:1">
      <c r="A1011" s="55"/>
    </row>
    <row r="1012" spans="1:1">
      <c r="A1012" s="55"/>
    </row>
    <row r="1013" spans="1:1">
      <c r="A1013" s="55"/>
    </row>
    <row r="1014" spans="1:1">
      <c r="A1014" s="55"/>
    </row>
    <row r="1015" spans="1:1">
      <c r="A1015" s="55"/>
    </row>
    <row r="1016" spans="1:1">
      <c r="A1016" s="55"/>
    </row>
    <row r="1017" spans="1:1">
      <c r="A1017" s="55"/>
    </row>
    <row r="1018" spans="1:1">
      <c r="A1018" s="55"/>
    </row>
    <row r="1019" spans="1:1">
      <c r="A1019" s="55"/>
    </row>
    <row r="1020" spans="1:1">
      <c r="A1020" s="55"/>
    </row>
    <row r="1021" spans="1:1">
      <c r="A1021" s="55"/>
    </row>
    <row r="1022" spans="1:1">
      <c r="A1022" s="55"/>
    </row>
    <row r="1023" spans="1:1">
      <c r="A1023" s="55"/>
    </row>
    <row r="1024" spans="1:1">
      <c r="A1024" s="55"/>
    </row>
    <row r="1025" spans="1:1">
      <c r="A1025" s="55"/>
    </row>
    <row r="1026" spans="1:1">
      <c r="A1026" s="55"/>
    </row>
    <row r="1027" spans="1:1">
      <c r="A1027" s="55"/>
    </row>
    <row r="1028" spans="1:1">
      <c r="A1028" s="55"/>
    </row>
    <row r="1029" spans="1:1">
      <c r="A1029" s="55"/>
    </row>
    <row r="1030" spans="1:1">
      <c r="A1030" s="55"/>
    </row>
    <row r="1031" spans="1:1">
      <c r="A1031" s="55"/>
    </row>
    <row r="1032" spans="1:1">
      <c r="A1032" s="55"/>
    </row>
    <row r="1033" spans="1:1">
      <c r="A1033" s="55"/>
    </row>
    <row r="1034" spans="1:1">
      <c r="A1034" s="55"/>
    </row>
    <row r="1035" spans="1:1">
      <c r="A1035" s="55"/>
    </row>
    <row r="1036" spans="1:1">
      <c r="A1036" s="55"/>
    </row>
    <row r="1037" spans="1:1">
      <c r="A1037" s="55"/>
    </row>
    <row r="1038" spans="1:1">
      <c r="A1038" s="55"/>
    </row>
    <row r="1039" spans="1:1">
      <c r="A1039" s="55"/>
    </row>
    <row r="1040" spans="1:1">
      <c r="A1040" s="55"/>
    </row>
    <row r="1041" spans="1:1">
      <c r="A1041" s="55"/>
    </row>
    <row r="1042" spans="1:1">
      <c r="A1042" s="55"/>
    </row>
    <row r="1043" spans="1:1">
      <c r="A1043" s="55"/>
    </row>
    <row r="1044" spans="1:1">
      <c r="A1044" s="55"/>
    </row>
    <row r="1045" spans="1:1">
      <c r="A1045" s="55"/>
    </row>
    <row r="1046" spans="1:1">
      <c r="A1046" s="55"/>
    </row>
    <row r="1047" spans="1:1">
      <c r="A1047" s="55"/>
    </row>
    <row r="1048" spans="1:1">
      <c r="A1048" s="55"/>
    </row>
    <row r="1049" spans="1:1">
      <c r="A1049" s="55"/>
    </row>
    <row r="1050" spans="1:1">
      <c r="A1050" s="55"/>
    </row>
    <row r="1051" spans="1:1">
      <c r="A1051" s="55"/>
    </row>
    <row r="1052" spans="1:1">
      <c r="A1052" s="55"/>
    </row>
    <row r="1053" spans="1:1">
      <c r="A1053" s="55"/>
    </row>
    <row r="1054" spans="1:1">
      <c r="A1054" s="55"/>
    </row>
    <row r="1055" spans="1:1">
      <c r="A1055" s="55"/>
    </row>
    <row r="1056" spans="1:1">
      <c r="A1056" s="55"/>
    </row>
    <row r="1057" spans="1:1">
      <c r="A1057" s="55"/>
    </row>
    <row r="1058" spans="1:1">
      <c r="A1058" s="55"/>
    </row>
    <row r="1059" spans="1:1">
      <c r="A1059" s="55"/>
    </row>
    <row r="1060" spans="1:1">
      <c r="A1060" s="55"/>
    </row>
    <row r="1061" spans="1:1">
      <c r="A1061" s="55"/>
    </row>
    <row r="1062" spans="1:1">
      <c r="A1062" s="55"/>
    </row>
    <row r="1063" spans="1:1">
      <c r="A1063" s="55"/>
    </row>
    <row r="1064" spans="1:1">
      <c r="A1064" s="55"/>
    </row>
    <row r="1065" spans="1:1">
      <c r="A1065" s="55"/>
    </row>
    <row r="1066" spans="1:1">
      <c r="A1066" s="55"/>
    </row>
    <row r="1067" spans="1:1">
      <c r="A1067" s="55"/>
    </row>
    <row r="1068" spans="1:1">
      <c r="A1068" s="55"/>
    </row>
    <row r="1069" spans="1:1">
      <c r="A1069" s="55"/>
    </row>
    <row r="1070" spans="1:1">
      <c r="A1070" s="55"/>
    </row>
    <row r="1071" spans="1:1">
      <c r="A1071" s="55"/>
    </row>
    <row r="1072" spans="1:1">
      <c r="A1072" s="55"/>
    </row>
    <row r="1073" spans="1:1">
      <c r="A1073" s="55"/>
    </row>
    <row r="1074" spans="1:1">
      <c r="A1074" s="55"/>
    </row>
    <row r="1075" spans="1:1">
      <c r="A1075" s="55"/>
    </row>
    <row r="1076" spans="1:1">
      <c r="A1076" s="55"/>
    </row>
    <row r="1077" spans="1:1">
      <c r="A1077" s="55"/>
    </row>
    <row r="1078" spans="1:1">
      <c r="A1078" s="55"/>
    </row>
    <row r="1079" spans="1:1">
      <c r="A1079" s="55"/>
    </row>
    <row r="1080" spans="1:1">
      <c r="A1080" s="55"/>
    </row>
    <row r="1081" spans="1:1">
      <c r="A1081" s="55"/>
    </row>
    <row r="1082" spans="1:1">
      <c r="A1082" s="55"/>
    </row>
    <row r="1083" spans="1:1">
      <c r="A1083" s="55"/>
    </row>
    <row r="1084" spans="1:1">
      <c r="A1084" s="55"/>
    </row>
    <row r="1085" spans="1:1">
      <c r="A1085" s="55"/>
    </row>
    <row r="1086" spans="1:1">
      <c r="A1086" s="55"/>
    </row>
    <row r="1087" spans="1:1">
      <c r="A1087" s="55"/>
    </row>
    <row r="1088" spans="1:1">
      <c r="A1088" s="55"/>
    </row>
    <row r="1089" spans="1:1">
      <c r="A1089" s="55"/>
    </row>
    <row r="1090" spans="1:1">
      <c r="A1090" s="55"/>
    </row>
    <row r="1091" spans="1:1">
      <c r="A1091" s="55"/>
    </row>
    <row r="1092" spans="1:1">
      <c r="A1092" s="55"/>
    </row>
    <row r="1093" spans="1:1">
      <c r="A1093" s="55"/>
    </row>
    <row r="1094" spans="1:1">
      <c r="A1094" s="55"/>
    </row>
    <row r="1095" spans="1:1">
      <c r="A1095" s="55"/>
    </row>
    <row r="1096" spans="1:1">
      <c r="A1096" s="55"/>
    </row>
    <row r="1097" spans="1:1">
      <c r="A1097" s="55"/>
    </row>
    <row r="1098" spans="1:1">
      <c r="A1098" s="55"/>
    </row>
    <row r="1099" spans="1:1">
      <c r="A1099" s="55"/>
    </row>
    <row r="1100" spans="1:1">
      <c r="A1100" s="55"/>
    </row>
    <row r="1101" spans="1:1">
      <c r="A1101" s="55"/>
    </row>
    <row r="1102" spans="1:1">
      <c r="A1102" s="55"/>
    </row>
    <row r="1103" spans="1:1">
      <c r="A1103" s="55"/>
    </row>
    <row r="1104" spans="1:1">
      <c r="A1104" s="55"/>
    </row>
    <row r="1105" spans="1:1">
      <c r="A1105" s="55"/>
    </row>
    <row r="1106" spans="1:1">
      <c r="A1106" s="55"/>
    </row>
    <row r="1107" spans="1:1">
      <c r="A1107" s="55"/>
    </row>
    <row r="1108" spans="1:1">
      <c r="A1108" s="55"/>
    </row>
    <row r="1109" spans="1:1">
      <c r="A1109" s="55"/>
    </row>
    <row r="1110" spans="1:1">
      <c r="A1110" s="55"/>
    </row>
    <row r="1111" spans="1:1">
      <c r="A1111" s="55"/>
    </row>
    <row r="1112" spans="1:1">
      <c r="A1112" s="55"/>
    </row>
    <row r="1113" spans="1:1">
      <c r="A1113" s="55"/>
    </row>
    <row r="1114" spans="1:1">
      <c r="A1114" s="55"/>
    </row>
    <row r="1115" spans="1:1">
      <c r="A1115" s="55"/>
    </row>
    <row r="1116" spans="1:1">
      <c r="A1116" s="55"/>
    </row>
    <row r="1117" spans="1:1">
      <c r="A1117" s="55"/>
    </row>
    <row r="1118" spans="1:1">
      <c r="A1118" s="55"/>
    </row>
    <row r="1119" spans="1:1">
      <c r="A1119" s="55"/>
    </row>
    <row r="1120" spans="1:1">
      <c r="A1120" s="55"/>
    </row>
    <row r="1121" spans="1:1">
      <c r="A1121" s="55"/>
    </row>
    <row r="1122" spans="1:1">
      <c r="A1122" s="55"/>
    </row>
    <row r="1123" spans="1:1">
      <c r="A1123" s="55"/>
    </row>
    <row r="1124" spans="1:1">
      <c r="A1124" s="55"/>
    </row>
    <row r="1125" spans="1:1">
      <c r="A1125" s="55"/>
    </row>
    <row r="1126" spans="1:1">
      <c r="A1126" s="55"/>
    </row>
    <row r="1127" spans="1:1">
      <c r="A1127" s="55"/>
    </row>
    <row r="1128" spans="1:1">
      <c r="A1128" s="55"/>
    </row>
    <row r="1129" spans="1:1">
      <c r="A1129" s="55"/>
    </row>
    <row r="1130" spans="1:1">
      <c r="A1130" s="55"/>
    </row>
    <row r="1131" spans="1:1">
      <c r="A1131" s="55"/>
    </row>
    <row r="1132" spans="1:1">
      <c r="A1132" s="55"/>
    </row>
    <row r="1133" spans="1:1">
      <c r="A1133" s="55"/>
    </row>
    <row r="1134" spans="1:1">
      <c r="A1134" s="55"/>
    </row>
    <row r="1135" spans="1:1">
      <c r="A1135" s="55"/>
    </row>
    <row r="1136" spans="1:1">
      <c r="A1136" s="55"/>
    </row>
    <row r="1137" spans="1:1">
      <c r="A1137" s="55"/>
    </row>
    <row r="1138" spans="1:1">
      <c r="A1138" s="55"/>
    </row>
    <row r="1139" spans="1:1">
      <c r="A1139" s="55"/>
    </row>
    <row r="1140" spans="1:1">
      <c r="A1140" s="55"/>
    </row>
    <row r="1141" spans="1:1">
      <c r="A1141" s="55"/>
    </row>
    <row r="1142" spans="1:1">
      <c r="A1142" s="55"/>
    </row>
    <row r="1143" spans="1:1">
      <c r="A1143" s="55"/>
    </row>
    <row r="1144" spans="1:1">
      <c r="A1144" s="55"/>
    </row>
    <row r="1145" spans="1:1">
      <c r="A1145" s="55"/>
    </row>
    <row r="1146" spans="1:1">
      <c r="A1146" s="55"/>
    </row>
    <row r="1147" spans="1:1">
      <c r="A1147" s="55"/>
    </row>
    <row r="1148" spans="1:1">
      <c r="A1148" s="55"/>
    </row>
    <row r="1149" spans="1:1">
      <c r="A1149" s="55"/>
    </row>
    <row r="1150" spans="1:1">
      <c r="A1150" s="55"/>
    </row>
    <row r="1151" spans="1:1">
      <c r="A1151" s="55"/>
    </row>
    <row r="1152" spans="1:1">
      <c r="A1152" s="55"/>
    </row>
    <row r="1153" spans="1:1">
      <c r="A1153" s="55"/>
    </row>
    <row r="1154" spans="1:1">
      <c r="A1154" s="55"/>
    </row>
    <row r="1155" spans="1:1">
      <c r="A1155" s="55"/>
    </row>
    <row r="1156" spans="1:1">
      <c r="A1156" s="55"/>
    </row>
    <row r="1157" spans="1:1">
      <c r="A1157" s="55"/>
    </row>
    <row r="1158" spans="1:1">
      <c r="A1158" s="55"/>
    </row>
    <row r="1159" spans="1:1">
      <c r="A1159" s="55"/>
    </row>
    <row r="1160" spans="1:1">
      <c r="A1160" s="55"/>
    </row>
    <row r="1161" spans="1:1">
      <c r="A1161" s="55"/>
    </row>
    <row r="1162" spans="1:1">
      <c r="A1162" s="55"/>
    </row>
    <row r="1163" spans="1:1">
      <c r="A1163" s="55"/>
    </row>
    <row r="1164" spans="1:1">
      <c r="A1164" s="55"/>
    </row>
    <row r="1165" spans="1:1">
      <c r="A1165" s="55"/>
    </row>
    <row r="1166" spans="1:1">
      <c r="A1166" s="55"/>
    </row>
    <row r="1167" spans="1:1">
      <c r="A1167" s="55"/>
    </row>
    <row r="1168" spans="1:1">
      <c r="A1168" s="55"/>
    </row>
    <row r="1169" spans="1:1">
      <c r="A1169" s="55"/>
    </row>
    <row r="1170" spans="1:1">
      <c r="A1170" s="55"/>
    </row>
    <row r="1171" spans="1:1">
      <c r="A1171" s="55"/>
    </row>
    <row r="1172" spans="1:1">
      <c r="A1172" s="55"/>
    </row>
    <row r="1173" spans="1:1">
      <c r="A1173" s="55"/>
    </row>
    <row r="1174" spans="1:1">
      <c r="A1174" s="55"/>
    </row>
    <row r="1175" spans="1:1">
      <c r="A1175" s="55"/>
    </row>
    <row r="1176" spans="1:1">
      <c r="A1176" s="55"/>
    </row>
    <row r="1177" spans="1:1">
      <c r="A1177" s="55"/>
    </row>
    <row r="1178" spans="1:1">
      <c r="A1178" s="55"/>
    </row>
    <row r="1179" spans="1:1">
      <c r="A1179" s="55"/>
    </row>
    <row r="1180" spans="1:1">
      <c r="A1180" s="55"/>
    </row>
    <row r="1181" spans="1:1">
      <c r="A1181" s="55"/>
    </row>
    <row r="1182" spans="1:1">
      <c r="A1182" s="55"/>
    </row>
    <row r="1183" spans="1:1">
      <c r="A1183" s="55"/>
    </row>
    <row r="1184" spans="1:1">
      <c r="A1184" s="55"/>
    </row>
    <row r="1185" spans="1:1">
      <c r="A1185" s="55"/>
    </row>
    <row r="1186" spans="1:1">
      <c r="A1186" s="55"/>
    </row>
    <row r="1187" spans="1:1">
      <c r="A1187" s="55"/>
    </row>
    <row r="1188" spans="1:1">
      <c r="A1188" s="55"/>
    </row>
    <row r="1189" spans="1:1">
      <c r="A1189" s="55"/>
    </row>
    <row r="1190" spans="1:1">
      <c r="A1190" s="55"/>
    </row>
    <row r="1191" spans="1:1">
      <c r="A1191" s="55"/>
    </row>
    <row r="1192" spans="1:1">
      <c r="A1192" s="55"/>
    </row>
    <row r="1193" spans="1:1">
      <c r="A1193" s="55"/>
    </row>
    <row r="1194" spans="1:1">
      <c r="A1194" s="55"/>
    </row>
    <row r="1195" spans="1:1">
      <c r="A1195" s="55"/>
    </row>
    <row r="1196" spans="1:1">
      <c r="A1196" s="55"/>
    </row>
    <row r="1197" spans="1:1">
      <c r="A1197" s="55"/>
    </row>
    <row r="1198" spans="1:1">
      <c r="A1198" s="55"/>
    </row>
    <row r="1199" spans="1:1">
      <c r="A1199" s="55"/>
    </row>
    <row r="1200" spans="1:1">
      <c r="A1200" s="55"/>
    </row>
    <row r="1201" spans="1:1">
      <c r="A1201" s="55"/>
    </row>
    <row r="1202" spans="1:1">
      <c r="A1202" s="55"/>
    </row>
    <row r="1203" spans="1:1">
      <c r="A1203" s="55"/>
    </row>
    <row r="1204" spans="1:1">
      <c r="A1204" s="55"/>
    </row>
    <row r="1205" spans="1:1">
      <c r="A1205" s="55"/>
    </row>
    <row r="1206" spans="1:1">
      <c r="A1206" s="55"/>
    </row>
    <row r="1207" spans="1:1">
      <c r="A1207" s="55"/>
    </row>
    <row r="1208" spans="1:1">
      <c r="A1208" s="55"/>
    </row>
    <row r="1209" spans="1:1">
      <c r="A1209" s="55"/>
    </row>
    <row r="1210" spans="1:1">
      <c r="A1210" s="55"/>
    </row>
    <row r="1211" spans="1:1">
      <c r="A1211" s="55"/>
    </row>
    <row r="1212" spans="1:1">
      <c r="A1212" s="55"/>
    </row>
    <row r="1213" spans="1:1">
      <c r="A1213" s="55"/>
    </row>
    <row r="1214" spans="1:1">
      <c r="A1214" s="55"/>
    </row>
    <row r="1215" spans="1:1">
      <c r="A1215" s="55"/>
    </row>
    <row r="1216" spans="1:1">
      <c r="A1216" s="55"/>
    </row>
    <row r="1217" spans="1:1">
      <c r="A1217" s="55"/>
    </row>
    <row r="1218" spans="1:1">
      <c r="A1218" s="55"/>
    </row>
    <row r="1219" spans="1:1">
      <c r="A1219" s="55"/>
    </row>
    <row r="1220" spans="1:1">
      <c r="A1220" s="55"/>
    </row>
    <row r="1221" spans="1:1">
      <c r="A1221" s="55"/>
    </row>
    <row r="1222" spans="1:1">
      <c r="A1222" s="55"/>
    </row>
    <row r="1223" spans="1:1">
      <c r="A1223" s="55"/>
    </row>
    <row r="1224" spans="1:1">
      <c r="A1224" s="55"/>
    </row>
    <row r="1225" spans="1:1">
      <c r="A1225" s="55"/>
    </row>
    <row r="1226" spans="1:1">
      <c r="A1226" s="55"/>
    </row>
    <row r="1227" spans="1:1">
      <c r="A1227" s="55"/>
    </row>
    <row r="1228" spans="1:1">
      <c r="A1228" s="55"/>
    </row>
    <row r="1229" spans="1:1">
      <c r="A1229" s="55"/>
    </row>
    <row r="1230" spans="1:1">
      <c r="A1230" s="55"/>
    </row>
    <row r="1231" spans="1:1">
      <c r="A1231" s="55"/>
    </row>
    <row r="1232" spans="1:1">
      <c r="A1232" s="55"/>
    </row>
    <row r="1233" spans="1:1">
      <c r="A1233" s="55"/>
    </row>
    <row r="1234" spans="1:1">
      <c r="A1234" s="55"/>
    </row>
    <row r="1235" spans="1:1">
      <c r="A1235" s="55"/>
    </row>
    <row r="1236" spans="1:1">
      <c r="A1236" s="55"/>
    </row>
    <row r="1237" spans="1:1">
      <c r="A1237" s="55"/>
    </row>
    <row r="1238" spans="1:1">
      <c r="A1238" s="55"/>
    </row>
    <row r="1239" spans="1:1">
      <c r="A1239" s="55"/>
    </row>
    <row r="1240" spans="1:1">
      <c r="A1240" s="55"/>
    </row>
    <row r="1241" spans="1:1">
      <c r="A1241" s="55"/>
    </row>
    <row r="1242" spans="1:1">
      <c r="A1242" s="55"/>
    </row>
    <row r="1243" spans="1:1">
      <c r="A1243" s="55"/>
    </row>
    <row r="1244" spans="1:1">
      <c r="A1244" s="55"/>
    </row>
    <row r="1245" spans="1:1">
      <c r="A1245" s="55"/>
    </row>
    <row r="1246" spans="1:1">
      <c r="A1246" s="55"/>
    </row>
    <row r="1247" spans="1:1">
      <c r="A1247" s="55"/>
    </row>
    <row r="1248" spans="1:1">
      <c r="A1248" s="55"/>
    </row>
    <row r="1249" spans="1:1">
      <c r="A1249" s="55"/>
    </row>
    <row r="1250" spans="1:1">
      <c r="A1250" s="55"/>
    </row>
    <row r="1251" spans="1:1">
      <c r="A1251" s="55"/>
    </row>
    <row r="1252" spans="1:1">
      <c r="A1252" s="55"/>
    </row>
    <row r="1253" spans="1:1">
      <c r="A1253" s="55"/>
    </row>
    <row r="1254" spans="1:1">
      <c r="A1254" s="55"/>
    </row>
    <row r="1255" spans="1:1">
      <c r="A1255" s="55"/>
    </row>
    <row r="1256" spans="1:1">
      <c r="A1256" s="55"/>
    </row>
    <row r="1257" spans="1:1">
      <c r="A1257" s="55"/>
    </row>
    <row r="1258" spans="1:1">
      <c r="A1258" s="55"/>
    </row>
    <row r="1259" spans="1:1">
      <c r="A1259" s="55"/>
    </row>
    <row r="1260" spans="1:1">
      <c r="A1260" s="55"/>
    </row>
    <row r="1261" spans="1:1">
      <c r="A1261" s="55"/>
    </row>
    <row r="1262" spans="1:1">
      <c r="A1262" s="55"/>
    </row>
    <row r="1263" spans="1:1">
      <c r="A1263" s="55"/>
    </row>
    <row r="1264" spans="1:1">
      <c r="A1264" s="55"/>
    </row>
    <row r="1265" spans="1:1">
      <c r="A1265" s="55"/>
    </row>
    <row r="1266" spans="1:1">
      <c r="A1266" s="55"/>
    </row>
    <row r="1267" spans="1:1">
      <c r="A1267" s="55"/>
    </row>
    <row r="1268" spans="1:1">
      <c r="A1268" s="55"/>
    </row>
    <row r="1269" spans="1:1">
      <c r="A1269" s="55"/>
    </row>
    <row r="1270" spans="1:1">
      <c r="A1270" s="55"/>
    </row>
    <row r="1271" spans="1:1">
      <c r="A1271" s="55"/>
    </row>
    <row r="1272" spans="1:1">
      <c r="A1272" s="55"/>
    </row>
    <row r="1273" spans="1:1">
      <c r="A1273" s="55"/>
    </row>
    <row r="1274" spans="1:1">
      <c r="A1274" s="55"/>
    </row>
    <row r="1275" spans="1:1">
      <c r="A1275" s="55"/>
    </row>
    <row r="1276" spans="1:1">
      <c r="A1276" s="55"/>
    </row>
    <row r="1277" spans="1:1">
      <c r="A1277" s="55"/>
    </row>
    <row r="1278" spans="1:1">
      <c r="A1278" s="55"/>
    </row>
    <row r="1279" spans="1:1">
      <c r="A1279" s="55"/>
    </row>
    <row r="1280" spans="1:1">
      <c r="A1280" s="55"/>
    </row>
    <row r="1281" spans="1:1">
      <c r="A1281" s="55"/>
    </row>
    <row r="1282" spans="1:1">
      <c r="A1282" s="55"/>
    </row>
    <row r="1283" spans="1:1">
      <c r="A1283" s="55"/>
    </row>
    <row r="1284" spans="1:1">
      <c r="A1284" s="55"/>
    </row>
    <row r="1285" spans="1:1">
      <c r="A1285" s="55"/>
    </row>
    <row r="1286" spans="1:1">
      <c r="A1286" s="55"/>
    </row>
    <row r="1287" spans="1:1">
      <c r="A1287" s="55"/>
    </row>
    <row r="1288" spans="1:1">
      <c r="A1288" s="55"/>
    </row>
    <row r="1289" spans="1:1">
      <c r="A1289" s="55"/>
    </row>
    <row r="1290" spans="1:1">
      <c r="A1290" s="55"/>
    </row>
    <row r="1291" spans="1:1">
      <c r="A1291" s="55"/>
    </row>
    <row r="1292" spans="1:1">
      <c r="A1292" s="55"/>
    </row>
    <row r="1293" spans="1:1">
      <c r="A1293" s="55"/>
    </row>
    <row r="1294" spans="1:1">
      <c r="A1294" s="55"/>
    </row>
    <row r="1295" spans="1:1">
      <c r="A1295" s="55"/>
    </row>
    <row r="1296" spans="1:1">
      <c r="A1296" s="55"/>
    </row>
    <row r="1297" spans="1:1">
      <c r="A1297" s="55"/>
    </row>
    <row r="1298" spans="1:1">
      <c r="A1298" s="55"/>
    </row>
    <row r="1299" spans="1:1">
      <c r="A1299" s="55"/>
    </row>
    <row r="1300" spans="1:1">
      <c r="A1300" s="55"/>
    </row>
    <row r="1301" spans="1:1">
      <c r="A1301" s="55"/>
    </row>
    <row r="1302" spans="1:1">
      <c r="A1302" s="55"/>
    </row>
    <row r="1303" spans="1:1">
      <c r="A1303" s="55"/>
    </row>
    <row r="1304" spans="1:1">
      <c r="A1304" s="55"/>
    </row>
    <row r="1305" spans="1:1">
      <c r="A1305" s="55"/>
    </row>
    <row r="1306" spans="1:1">
      <c r="A1306" s="55"/>
    </row>
    <row r="1307" spans="1:1">
      <c r="A1307" s="55"/>
    </row>
    <row r="1308" spans="1:1">
      <c r="A1308" s="55"/>
    </row>
    <row r="1309" spans="1:1">
      <c r="A1309" s="55"/>
    </row>
    <row r="1310" spans="1:1">
      <c r="A1310" s="55"/>
    </row>
    <row r="1311" spans="1:1">
      <c r="A1311" s="55"/>
    </row>
    <row r="1312" spans="1:1">
      <c r="A1312" s="55"/>
    </row>
    <row r="1313" spans="1:1">
      <c r="A1313" s="55"/>
    </row>
    <row r="1314" spans="1:1">
      <c r="A1314" s="55"/>
    </row>
    <row r="1315" spans="1:1">
      <c r="A1315" s="55"/>
    </row>
    <row r="1316" spans="1:1">
      <c r="A1316" s="55"/>
    </row>
    <row r="1317" spans="1:1">
      <c r="A1317" s="55"/>
    </row>
    <row r="1318" spans="1:1">
      <c r="A1318" s="55"/>
    </row>
    <row r="1319" spans="1:1">
      <c r="A1319" s="55"/>
    </row>
    <row r="1320" spans="1:1">
      <c r="A1320" s="55"/>
    </row>
    <row r="1321" spans="1:1">
      <c r="A1321" s="55"/>
    </row>
    <row r="1322" spans="1:1">
      <c r="A1322" s="55"/>
    </row>
    <row r="1323" spans="1:1">
      <c r="A1323" s="55"/>
    </row>
    <row r="1324" spans="1:1">
      <c r="A1324" s="55"/>
    </row>
    <row r="1325" spans="1:1">
      <c r="A1325" s="55"/>
    </row>
    <row r="1326" spans="1:1">
      <c r="A1326" s="55"/>
    </row>
    <row r="1327" spans="1:1">
      <c r="A1327" s="55"/>
    </row>
    <row r="1328" spans="1:1">
      <c r="A1328" s="55"/>
    </row>
    <row r="1329" spans="1:1">
      <c r="A1329" s="55"/>
    </row>
    <row r="1330" spans="1:1">
      <c r="A1330" s="55"/>
    </row>
    <row r="1331" spans="1:1">
      <c r="A1331" s="55"/>
    </row>
    <row r="1332" spans="1:1">
      <c r="A1332" s="55"/>
    </row>
    <row r="1333" spans="1:1">
      <c r="A1333" s="55"/>
    </row>
    <row r="1334" spans="1:1">
      <c r="A1334" s="55"/>
    </row>
    <row r="1335" spans="1:1">
      <c r="A1335" s="55"/>
    </row>
    <row r="1336" spans="1:1">
      <c r="A1336" s="55"/>
    </row>
    <row r="1337" spans="1:1">
      <c r="A1337" s="55"/>
    </row>
    <row r="1338" spans="1:1">
      <c r="A1338" s="55"/>
    </row>
    <row r="1339" spans="1:1">
      <c r="A1339" s="55"/>
    </row>
    <row r="1340" spans="1:1">
      <c r="A1340" s="55"/>
    </row>
    <row r="1341" spans="1:1">
      <c r="A1341" s="55"/>
    </row>
    <row r="1342" spans="1:1">
      <c r="A1342" s="55"/>
    </row>
    <row r="1343" spans="1:1">
      <c r="A1343" s="55"/>
    </row>
    <row r="1344" spans="1:1">
      <c r="A1344" s="55"/>
    </row>
    <row r="1345" spans="1:1">
      <c r="A1345" s="55"/>
    </row>
    <row r="1346" spans="1:1">
      <c r="A1346" s="55"/>
    </row>
    <row r="1347" spans="1:1">
      <c r="A1347" s="55"/>
    </row>
    <row r="1348" spans="1:1">
      <c r="A1348" s="55"/>
    </row>
    <row r="1349" spans="1:1">
      <c r="A1349" s="55"/>
    </row>
    <row r="1350" spans="1:1">
      <c r="A1350" s="55"/>
    </row>
    <row r="1351" spans="1:1">
      <c r="A1351" s="55"/>
    </row>
    <row r="1352" spans="1:1">
      <c r="A1352" s="55"/>
    </row>
    <row r="1353" spans="1:1">
      <c r="A1353" s="55"/>
    </row>
    <row r="1354" spans="1:1">
      <c r="A1354" s="55"/>
    </row>
    <row r="1355" spans="1:1">
      <c r="A1355" s="55"/>
    </row>
    <row r="1356" spans="1:1">
      <c r="A1356" s="55"/>
    </row>
    <row r="1357" spans="1:1">
      <c r="A1357" s="55"/>
    </row>
    <row r="1358" spans="1:1">
      <c r="A1358" s="55"/>
    </row>
    <row r="1359" spans="1:1">
      <c r="A1359" s="55"/>
    </row>
    <row r="1360" spans="1:1">
      <c r="A1360" s="55"/>
    </row>
    <row r="1361" spans="1:1">
      <c r="A1361" s="55"/>
    </row>
    <row r="1362" spans="1:1">
      <c r="A1362" s="55"/>
    </row>
    <row r="1363" spans="1:1">
      <c r="A1363" s="55"/>
    </row>
    <row r="1364" spans="1:1">
      <c r="A1364" s="55"/>
    </row>
    <row r="1365" spans="1:1">
      <c r="A1365" s="55"/>
    </row>
    <row r="1366" spans="1:1">
      <c r="A1366" s="55"/>
    </row>
    <row r="1367" spans="1:1">
      <c r="A1367" s="55"/>
    </row>
    <row r="1368" spans="1:1">
      <c r="A1368" s="55"/>
    </row>
    <row r="1369" spans="1:1">
      <c r="A1369" s="55"/>
    </row>
    <row r="1370" spans="1:1">
      <c r="A1370" s="55"/>
    </row>
    <row r="1371" spans="1:1">
      <c r="A1371" s="55"/>
    </row>
    <row r="1372" spans="1:1">
      <c r="A1372" s="55"/>
    </row>
    <row r="1373" spans="1:1">
      <c r="A1373" s="55"/>
    </row>
    <row r="1374" spans="1:1">
      <c r="A1374" s="55"/>
    </row>
    <row r="1375" spans="1:1">
      <c r="A1375" s="55"/>
    </row>
    <row r="1376" spans="1:1">
      <c r="A1376" s="55"/>
    </row>
    <row r="1377" spans="1:1">
      <c r="A1377" s="55"/>
    </row>
    <row r="1378" spans="1:1">
      <c r="A1378" s="55"/>
    </row>
    <row r="1379" spans="1:1">
      <c r="A1379" s="55"/>
    </row>
    <row r="1380" spans="1:1">
      <c r="A1380" s="55"/>
    </row>
    <row r="1381" spans="1:1">
      <c r="A1381" s="55"/>
    </row>
    <row r="1382" spans="1:1">
      <c r="A1382" s="55"/>
    </row>
    <row r="1383" spans="1:1">
      <c r="A1383" s="55"/>
    </row>
    <row r="1384" spans="1:1">
      <c r="A1384" s="55"/>
    </row>
    <row r="1385" spans="1:1">
      <c r="A1385" s="55"/>
    </row>
    <row r="1386" spans="1:1">
      <c r="A1386" s="55"/>
    </row>
    <row r="1387" spans="1:1">
      <c r="A1387" s="55"/>
    </row>
    <row r="1388" spans="1:1">
      <c r="A1388" s="55"/>
    </row>
    <row r="1389" spans="1:1">
      <c r="A1389" s="55"/>
    </row>
    <row r="1390" spans="1:1">
      <c r="A1390" s="55"/>
    </row>
    <row r="1391" spans="1:1">
      <c r="A1391" s="55"/>
    </row>
    <row r="1392" spans="1:1">
      <c r="A1392" s="55"/>
    </row>
    <row r="1393" spans="1:1">
      <c r="A1393" s="55"/>
    </row>
    <row r="1394" spans="1:1">
      <c r="A1394" s="55"/>
    </row>
    <row r="1395" spans="1:1">
      <c r="A1395" s="55"/>
    </row>
    <row r="1396" spans="1:1">
      <c r="A1396" s="55"/>
    </row>
    <row r="1397" spans="1:1">
      <c r="A1397" s="55"/>
    </row>
    <row r="1398" spans="1:1">
      <c r="A1398" s="55"/>
    </row>
    <row r="1399" spans="1:1">
      <c r="A1399" s="55"/>
    </row>
    <row r="1400" spans="1:1">
      <c r="A1400" s="55"/>
    </row>
    <row r="1401" spans="1:1">
      <c r="A1401" s="55"/>
    </row>
    <row r="1402" spans="1:1">
      <c r="A1402" s="55"/>
    </row>
    <row r="1403" spans="1:1">
      <c r="A1403" s="55"/>
    </row>
    <row r="1404" spans="1:1">
      <c r="A1404" s="55"/>
    </row>
    <row r="1405" spans="1:1">
      <c r="A1405" s="55"/>
    </row>
    <row r="1406" spans="1:1">
      <c r="A1406" s="55"/>
    </row>
    <row r="1407" spans="1:1">
      <c r="A1407" s="55"/>
    </row>
    <row r="1408" spans="1:1">
      <c r="A1408" s="55"/>
    </row>
    <row r="1409" spans="1:1">
      <c r="A1409" s="55"/>
    </row>
    <row r="1410" spans="1:1">
      <c r="A1410" s="55"/>
    </row>
    <row r="1411" spans="1:1">
      <c r="A1411" s="55"/>
    </row>
    <row r="1412" spans="1:1">
      <c r="A1412" s="55"/>
    </row>
    <row r="1413" spans="1:1">
      <c r="A1413" s="55"/>
    </row>
    <row r="1414" spans="1:1">
      <c r="A1414" s="55"/>
    </row>
    <row r="1415" spans="1:1">
      <c r="A1415" s="55"/>
    </row>
    <row r="1416" spans="1:1">
      <c r="A1416" s="55"/>
    </row>
    <row r="1417" spans="1:1">
      <c r="A1417" s="55"/>
    </row>
    <row r="1418" spans="1:1">
      <c r="A1418" s="55"/>
    </row>
    <row r="1419" spans="1:1">
      <c r="A1419" s="55"/>
    </row>
    <row r="1420" spans="1:1">
      <c r="A1420" s="55"/>
    </row>
    <row r="1421" spans="1:1">
      <c r="A1421" s="55"/>
    </row>
    <row r="1422" spans="1:1">
      <c r="A1422" s="55"/>
    </row>
    <row r="1423" spans="1:1">
      <c r="A1423" s="55"/>
    </row>
    <row r="1424" spans="1:1">
      <c r="A1424" s="55"/>
    </row>
    <row r="1425" spans="1:1">
      <c r="A1425" s="55"/>
    </row>
    <row r="1426" spans="1:1">
      <c r="A1426" s="55"/>
    </row>
    <row r="1427" spans="1:1">
      <c r="A1427" s="55"/>
    </row>
    <row r="1428" spans="1:1">
      <c r="A1428" s="55"/>
    </row>
    <row r="1429" spans="1:1">
      <c r="A1429" s="55"/>
    </row>
    <row r="1430" spans="1:1">
      <c r="A1430" s="55"/>
    </row>
    <row r="1431" spans="1:1">
      <c r="A1431" s="55"/>
    </row>
    <row r="1432" spans="1:1">
      <c r="A1432" s="55"/>
    </row>
    <row r="1433" spans="1:1">
      <c r="A1433" s="55"/>
    </row>
    <row r="1434" spans="1:1">
      <c r="A1434" s="55"/>
    </row>
    <row r="1435" spans="1:1">
      <c r="A1435" s="55"/>
    </row>
    <row r="1436" spans="1:1">
      <c r="A1436" s="55"/>
    </row>
    <row r="1437" spans="1:1">
      <c r="A1437" s="55"/>
    </row>
    <row r="1438" spans="1:1">
      <c r="A1438" s="55"/>
    </row>
    <row r="1439" spans="1:1">
      <c r="A1439" s="55"/>
    </row>
    <row r="1440" spans="1:1">
      <c r="A1440" s="55"/>
    </row>
    <row r="1441" spans="1:1">
      <c r="A1441" s="55"/>
    </row>
    <row r="1442" spans="1:1">
      <c r="A1442" s="55"/>
    </row>
    <row r="1443" spans="1:1">
      <c r="A1443" s="55"/>
    </row>
    <row r="1444" spans="1:1">
      <c r="A1444" s="55"/>
    </row>
    <row r="1445" spans="1:1">
      <c r="A1445" s="55"/>
    </row>
    <row r="1446" spans="1:1">
      <c r="A1446" s="55"/>
    </row>
    <row r="1447" spans="1:1">
      <c r="A1447" s="55"/>
    </row>
    <row r="1448" spans="1:1">
      <c r="A1448" s="55"/>
    </row>
    <row r="1449" spans="1:1">
      <c r="A1449" s="55"/>
    </row>
    <row r="1450" spans="1:1">
      <c r="A1450" s="55"/>
    </row>
    <row r="1451" spans="1:1">
      <c r="A1451" s="55"/>
    </row>
    <row r="1452" spans="1:1">
      <c r="A1452" s="55"/>
    </row>
    <row r="1453" spans="1:1">
      <c r="A1453" s="55"/>
    </row>
    <row r="1454" spans="1:1">
      <c r="A1454" s="55"/>
    </row>
    <row r="1455" spans="1:1">
      <c r="A1455" s="55"/>
    </row>
    <row r="1456" spans="1:1">
      <c r="A1456" s="55"/>
    </row>
    <row r="1457" spans="1:1">
      <c r="A1457" s="55"/>
    </row>
    <row r="1458" spans="1:1">
      <c r="A1458" s="55"/>
    </row>
    <row r="1459" spans="1:1">
      <c r="A1459" s="55"/>
    </row>
    <row r="1460" spans="1:1">
      <c r="A1460" s="55"/>
    </row>
    <row r="1461" spans="1:1">
      <c r="A1461" s="55"/>
    </row>
    <row r="1462" spans="1:1">
      <c r="A1462" s="55"/>
    </row>
    <row r="1463" spans="1:1">
      <c r="A1463" s="55"/>
    </row>
    <row r="1464" spans="1:1">
      <c r="A1464" s="55"/>
    </row>
    <row r="1465" spans="1:1">
      <c r="A1465" s="55"/>
    </row>
    <row r="1466" spans="1:1">
      <c r="A1466" s="55"/>
    </row>
    <row r="1467" spans="1:1">
      <c r="A1467" s="55"/>
    </row>
    <row r="1468" spans="1:1">
      <c r="A1468" s="55"/>
    </row>
    <row r="1469" spans="1:1">
      <c r="A1469" s="55"/>
    </row>
    <row r="1470" spans="1:1">
      <c r="A1470" s="55"/>
    </row>
    <row r="1471" spans="1:1">
      <c r="A1471" s="55"/>
    </row>
    <row r="1472" spans="1:1">
      <c r="A1472" s="55"/>
    </row>
    <row r="1473" spans="1:1">
      <c r="A1473" s="55"/>
    </row>
    <row r="1474" spans="1:1">
      <c r="A1474" s="55"/>
    </row>
    <row r="1475" spans="1:1">
      <c r="A1475" s="55"/>
    </row>
    <row r="1476" spans="1:1">
      <c r="A1476" s="55"/>
    </row>
    <row r="1477" spans="1:1">
      <c r="A1477" s="55"/>
    </row>
    <row r="1478" spans="1:1">
      <c r="A1478" s="55"/>
    </row>
    <row r="1479" spans="1:1">
      <c r="A1479" s="55"/>
    </row>
    <row r="1480" spans="1:1">
      <c r="A1480" s="55"/>
    </row>
    <row r="1481" spans="1:1">
      <c r="A1481" s="55"/>
    </row>
    <row r="1482" spans="1:1">
      <c r="A1482" s="55"/>
    </row>
    <row r="1483" spans="1:1">
      <c r="A1483" s="55"/>
    </row>
    <row r="1484" spans="1:1">
      <c r="A1484" s="55"/>
    </row>
    <row r="1485" spans="1:1">
      <c r="A1485" s="55"/>
    </row>
    <row r="1486" spans="1:1">
      <c r="A1486" s="55"/>
    </row>
    <row r="1487" spans="1:1">
      <c r="A1487" s="55"/>
    </row>
    <row r="1488" spans="1:1">
      <c r="A1488" s="55"/>
    </row>
    <row r="1489" spans="1:1">
      <c r="A1489" s="55"/>
    </row>
    <row r="1490" spans="1:1">
      <c r="A1490" s="55"/>
    </row>
    <row r="1491" spans="1:1">
      <c r="A1491" s="55"/>
    </row>
    <row r="1492" spans="1:1">
      <c r="A1492" s="55"/>
    </row>
    <row r="1493" spans="1:1">
      <c r="A1493" s="55"/>
    </row>
    <row r="1494" spans="1:1">
      <c r="A1494" s="55"/>
    </row>
    <row r="1495" spans="1:1">
      <c r="A1495" s="55"/>
    </row>
    <row r="1496" spans="1:1">
      <c r="A1496" s="55"/>
    </row>
    <row r="1497" spans="1:1">
      <c r="A1497" s="55"/>
    </row>
    <row r="1498" spans="1:1">
      <c r="A1498" s="55"/>
    </row>
    <row r="1499" spans="1:1">
      <c r="A1499" s="55"/>
    </row>
    <row r="1500" spans="1:1">
      <c r="A1500" s="55"/>
    </row>
    <row r="1501" spans="1:1">
      <c r="A1501" s="55"/>
    </row>
    <row r="1502" spans="1:1">
      <c r="A1502" s="55"/>
    </row>
    <row r="1503" spans="1:1">
      <c r="A1503" s="55"/>
    </row>
    <row r="1504" spans="1:1">
      <c r="A1504" s="55"/>
    </row>
    <row r="1505" spans="1:1">
      <c r="A1505" s="55"/>
    </row>
    <row r="1506" spans="1:1">
      <c r="A1506" s="55"/>
    </row>
    <row r="1507" spans="1:1">
      <c r="A1507" s="55"/>
    </row>
    <row r="1508" spans="1:1">
      <c r="A1508" s="55"/>
    </row>
    <row r="1509" spans="1:1">
      <c r="A1509" s="55"/>
    </row>
    <row r="1510" spans="1:1">
      <c r="A1510" s="55"/>
    </row>
    <row r="1511" spans="1:1">
      <c r="A1511" s="55"/>
    </row>
    <row r="1512" spans="1:1">
      <c r="A1512" s="55"/>
    </row>
    <row r="1513" spans="1:1">
      <c r="A1513" s="55"/>
    </row>
    <row r="1514" spans="1:1">
      <c r="A1514" s="55"/>
    </row>
    <row r="1515" spans="1:1">
      <c r="A1515" s="55"/>
    </row>
    <row r="1516" spans="1:1">
      <c r="A1516" s="55"/>
    </row>
    <row r="1517" spans="1:1">
      <c r="A1517" s="55"/>
    </row>
    <row r="1518" spans="1:1">
      <c r="A1518" s="55"/>
    </row>
    <row r="1519" spans="1:1">
      <c r="A1519" s="55"/>
    </row>
    <row r="1520" spans="1:1">
      <c r="A1520" s="55"/>
    </row>
    <row r="1521" spans="1:1">
      <c r="A1521" s="55"/>
    </row>
    <row r="1522" spans="1:1">
      <c r="A1522" s="55"/>
    </row>
    <row r="1523" spans="1:1">
      <c r="A1523" s="55"/>
    </row>
    <row r="1524" spans="1:1">
      <c r="A1524" s="55"/>
    </row>
    <row r="1525" spans="1:1">
      <c r="A1525" s="55"/>
    </row>
    <row r="1526" spans="1:1">
      <c r="A1526" s="55"/>
    </row>
    <row r="1527" spans="1:1">
      <c r="A1527" s="55"/>
    </row>
    <row r="1528" spans="1:1">
      <c r="A1528" s="55"/>
    </row>
    <row r="1529" spans="1:1">
      <c r="A1529" s="55"/>
    </row>
    <row r="1530" spans="1:1">
      <c r="A1530" s="55"/>
    </row>
    <row r="1531" spans="1:1">
      <c r="A1531" s="55"/>
    </row>
    <row r="1532" spans="1:1">
      <c r="A1532" s="55"/>
    </row>
    <row r="1533" spans="1:1">
      <c r="A1533" s="55"/>
    </row>
    <row r="1534" spans="1:1">
      <c r="A1534" s="55"/>
    </row>
    <row r="1535" spans="1:1">
      <c r="A1535" s="55"/>
    </row>
    <row r="1536" spans="1:1">
      <c r="A1536" s="55"/>
    </row>
    <row r="1537" spans="1:1">
      <c r="A1537" s="55"/>
    </row>
    <row r="1538" spans="1:1">
      <c r="A1538" s="55"/>
    </row>
    <row r="1539" spans="1:1">
      <c r="A1539" s="55"/>
    </row>
    <row r="1540" spans="1:1">
      <c r="A1540" s="55"/>
    </row>
    <row r="1541" spans="1:1">
      <c r="A1541" s="55"/>
    </row>
    <row r="1542" spans="1:1">
      <c r="A1542" s="55"/>
    </row>
    <row r="1543" spans="1:1">
      <c r="A1543" s="55"/>
    </row>
    <row r="1544" spans="1:1">
      <c r="A1544" s="55"/>
    </row>
    <row r="1545" spans="1:1">
      <c r="A1545" s="55"/>
    </row>
    <row r="1546" spans="1:1">
      <c r="A1546" s="55"/>
    </row>
    <row r="1547" spans="1:1">
      <c r="A1547" s="55"/>
    </row>
    <row r="1548" spans="1:1">
      <c r="A1548" s="55"/>
    </row>
    <row r="1549" spans="1:1">
      <c r="A1549" s="55"/>
    </row>
    <row r="1550" spans="1:1">
      <c r="A1550" s="55"/>
    </row>
    <row r="1551" spans="1:1">
      <c r="A1551" s="55"/>
    </row>
    <row r="1552" spans="1:1">
      <c r="A1552" s="55"/>
    </row>
    <row r="1553" spans="1:1">
      <c r="A1553" s="55"/>
    </row>
    <row r="1554" spans="1:1">
      <c r="A1554" s="55"/>
    </row>
    <row r="1555" spans="1:1">
      <c r="A1555" s="55"/>
    </row>
    <row r="1556" spans="1:1">
      <c r="A1556" s="55"/>
    </row>
    <row r="1557" spans="1:1">
      <c r="A1557" s="55"/>
    </row>
    <row r="1558" spans="1:1">
      <c r="A1558" s="55"/>
    </row>
    <row r="1559" spans="1:1">
      <c r="A1559" s="55"/>
    </row>
    <row r="1560" spans="1:1">
      <c r="A1560" s="55"/>
    </row>
    <row r="1561" spans="1:1">
      <c r="A1561" s="55"/>
    </row>
    <row r="1562" spans="1:1">
      <c r="A1562" s="55"/>
    </row>
    <row r="1563" spans="1:1">
      <c r="A1563" s="55"/>
    </row>
    <row r="1564" spans="1:1">
      <c r="A1564" s="55"/>
    </row>
    <row r="1565" spans="1:1">
      <c r="A1565" s="55"/>
    </row>
    <row r="1566" spans="1:1">
      <c r="A1566" s="55"/>
    </row>
    <row r="1567" spans="1:1">
      <c r="A1567" s="55"/>
    </row>
    <row r="1568" spans="1:1">
      <c r="A1568" s="55"/>
    </row>
    <row r="1569" spans="1:1">
      <c r="A1569" s="55"/>
    </row>
    <row r="1570" spans="1:1">
      <c r="A1570" s="55"/>
    </row>
    <row r="1571" spans="1:1">
      <c r="A1571" s="55"/>
    </row>
    <row r="1572" spans="1:1">
      <c r="A1572" s="55"/>
    </row>
    <row r="1573" spans="1:1">
      <c r="A1573" s="55"/>
    </row>
    <row r="1574" spans="1:1">
      <c r="A1574" s="55"/>
    </row>
    <row r="1575" spans="1:1">
      <c r="A1575" s="55"/>
    </row>
    <row r="1576" spans="1:1">
      <c r="A1576" s="55"/>
    </row>
    <row r="1577" spans="1:1">
      <c r="A1577" s="55"/>
    </row>
    <row r="1578" spans="1:1">
      <c r="A1578" s="55"/>
    </row>
    <row r="1579" spans="1:1">
      <c r="A1579" s="55"/>
    </row>
    <row r="1580" spans="1:1">
      <c r="A1580" s="55"/>
    </row>
    <row r="1581" spans="1:1">
      <c r="A1581" s="55"/>
    </row>
    <row r="1582" spans="1:1">
      <c r="A1582" s="55"/>
    </row>
    <row r="1583" spans="1:1">
      <c r="A1583" s="55"/>
    </row>
    <row r="1584" spans="1:1">
      <c r="A1584" s="55"/>
    </row>
    <row r="1585" spans="1:1">
      <c r="A1585" s="55"/>
    </row>
    <row r="1586" spans="1:1">
      <c r="A1586" s="55"/>
    </row>
    <row r="1587" spans="1:1">
      <c r="A1587" s="55"/>
    </row>
    <row r="1588" spans="1:1">
      <c r="A1588" s="55"/>
    </row>
    <row r="1589" spans="1:1">
      <c r="A1589" s="55"/>
    </row>
    <row r="1590" spans="1:1">
      <c r="A1590" s="55"/>
    </row>
    <row r="1591" spans="1:1">
      <c r="A1591" s="55"/>
    </row>
    <row r="1592" spans="1:1">
      <c r="A1592" s="55"/>
    </row>
    <row r="1593" spans="1:1">
      <c r="A1593" s="55"/>
    </row>
    <row r="1594" spans="1:1">
      <c r="A1594" s="55"/>
    </row>
    <row r="1595" spans="1:1">
      <c r="A1595" s="55"/>
    </row>
    <row r="1596" spans="1:1">
      <c r="A1596" s="55"/>
    </row>
    <row r="1597" spans="1:1">
      <c r="A1597" s="55"/>
    </row>
    <row r="1598" spans="1:1">
      <c r="A1598" s="55"/>
    </row>
    <row r="1599" spans="1:1">
      <c r="A1599" s="55"/>
    </row>
    <row r="1600" spans="1:1">
      <c r="A1600" s="55"/>
    </row>
    <row r="1601" spans="1:1">
      <c r="A1601" s="55"/>
    </row>
    <row r="1602" spans="1:1">
      <c r="A1602" s="55"/>
    </row>
    <row r="1603" spans="1:1">
      <c r="A1603" s="55"/>
    </row>
    <row r="1604" spans="1:1">
      <c r="A1604" s="55"/>
    </row>
    <row r="1605" spans="1:1">
      <c r="A1605" s="55"/>
    </row>
    <row r="1606" spans="1:1">
      <c r="A1606" s="55"/>
    </row>
    <row r="1607" spans="1:1">
      <c r="A1607" s="55"/>
    </row>
    <row r="1608" spans="1:1">
      <c r="A1608" s="55"/>
    </row>
    <row r="1609" spans="1:1">
      <c r="A1609" s="55"/>
    </row>
    <row r="1610" spans="1:1">
      <c r="A1610" s="55"/>
    </row>
    <row r="1611" spans="1:1">
      <c r="A1611" s="55"/>
    </row>
    <row r="1612" spans="1:1">
      <c r="A1612" s="55"/>
    </row>
    <row r="1613" spans="1:1">
      <c r="A1613" s="55"/>
    </row>
    <row r="1614" spans="1:1">
      <c r="A1614" s="55"/>
    </row>
    <row r="1615" spans="1:1">
      <c r="A1615" s="55"/>
    </row>
    <row r="1616" spans="1:1">
      <c r="A1616" s="55"/>
    </row>
    <row r="1617" spans="1:1">
      <c r="A1617" s="55"/>
    </row>
    <row r="1618" spans="1:1">
      <c r="A1618" s="55"/>
    </row>
    <row r="1619" spans="1:1">
      <c r="A1619" s="55"/>
    </row>
    <row r="1620" spans="1:1">
      <c r="A1620" s="55"/>
    </row>
    <row r="1621" spans="1:1">
      <c r="A1621" s="55"/>
    </row>
    <row r="1622" spans="1:1">
      <c r="A1622" s="55"/>
    </row>
    <row r="1623" spans="1:1">
      <c r="A1623" s="55"/>
    </row>
    <row r="1624" spans="1:1">
      <c r="A1624" s="55"/>
    </row>
    <row r="1625" spans="1:1">
      <c r="A1625" s="55"/>
    </row>
    <row r="1626" spans="1:1">
      <c r="A1626" s="55"/>
    </row>
    <row r="1627" spans="1:1">
      <c r="A1627" s="55"/>
    </row>
    <row r="1628" spans="1:1">
      <c r="A1628" s="55"/>
    </row>
    <row r="1629" spans="1:1">
      <c r="A1629" s="55"/>
    </row>
    <row r="1630" spans="1:1">
      <c r="A1630" s="55"/>
    </row>
    <row r="1631" spans="1:1">
      <c r="A1631" s="55"/>
    </row>
    <row r="1632" spans="1:1">
      <c r="A1632" s="55"/>
    </row>
    <row r="1633" spans="1:1">
      <c r="A1633" s="55"/>
    </row>
    <row r="1634" spans="1:1">
      <c r="A1634" s="55"/>
    </row>
    <row r="1635" spans="1:1">
      <c r="A1635" s="55"/>
    </row>
    <row r="1636" spans="1:1">
      <c r="A1636" s="55"/>
    </row>
    <row r="1637" spans="1:1">
      <c r="A1637" s="55"/>
    </row>
    <row r="1638" spans="1:1">
      <c r="A1638" s="55"/>
    </row>
    <row r="1639" spans="1:1">
      <c r="A1639" s="55"/>
    </row>
    <row r="1640" spans="1:1">
      <c r="A1640" s="55"/>
    </row>
    <row r="1641" spans="1:1">
      <c r="A1641" s="55"/>
    </row>
    <row r="1642" spans="1:1">
      <c r="A1642" s="55"/>
    </row>
    <row r="1643" spans="1:1">
      <c r="A1643" s="55"/>
    </row>
    <row r="1644" spans="1:1">
      <c r="A1644" s="55"/>
    </row>
    <row r="1645" spans="1:1">
      <c r="A1645" s="55"/>
    </row>
    <row r="1646" spans="1:1">
      <c r="A1646" s="55"/>
    </row>
    <row r="1647" spans="1:1">
      <c r="A1647" s="55"/>
    </row>
    <row r="1648" spans="1:1">
      <c r="A1648" s="55"/>
    </row>
    <row r="1649" spans="1:1">
      <c r="A1649" s="55"/>
    </row>
    <row r="1650" spans="1:1">
      <c r="A1650" s="55"/>
    </row>
    <row r="1651" spans="1:1">
      <c r="A1651" s="55"/>
    </row>
    <row r="1652" spans="1:1">
      <c r="A1652" s="55"/>
    </row>
    <row r="1653" spans="1:1">
      <c r="A1653" s="55"/>
    </row>
    <row r="1654" spans="1:1">
      <c r="A1654" s="55"/>
    </row>
    <row r="1655" spans="1:1">
      <c r="A1655" s="55"/>
    </row>
    <row r="1656" spans="1:1">
      <c r="A1656" s="55"/>
    </row>
    <row r="1657" spans="1:1">
      <c r="A1657" s="55"/>
    </row>
    <row r="1658" spans="1:1">
      <c r="A1658" s="55"/>
    </row>
    <row r="1659" spans="1:1">
      <c r="A1659" s="55"/>
    </row>
    <row r="1660" spans="1:1">
      <c r="A1660" s="55"/>
    </row>
    <row r="1661" spans="1:1">
      <c r="A1661" s="55"/>
    </row>
    <row r="1662" spans="1:1">
      <c r="A1662" s="55"/>
    </row>
    <row r="1663" spans="1:1">
      <c r="A1663" s="55"/>
    </row>
    <row r="1664" spans="1:1">
      <c r="A1664" s="55"/>
    </row>
    <row r="1665" spans="1:1">
      <c r="A1665" s="55"/>
    </row>
    <row r="1666" spans="1:1">
      <c r="A1666" s="55"/>
    </row>
    <row r="1667" spans="1:1">
      <c r="A1667" s="55"/>
    </row>
    <row r="1668" spans="1:1">
      <c r="A1668" s="55"/>
    </row>
    <row r="1669" spans="1:1">
      <c r="A1669" s="55"/>
    </row>
    <row r="1670" spans="1:1">
      <c r="A1670" s="55"/>
    </row>
    <row r="1671" spans="1:1">
      <c r="A1671" s="55"/>
    </row>
    <row r="1672" spans="1:1">
      <c r="A1672" s="55"/>
    </row>
    <row r="1673" spans="1:1">
      <c r="A1673" s="55"/>
    </row>
    <row r="1674" spans="1:1">
      <c r="A1674" s="55"/>
    </row>
    <row r="1675" spans="1:1">
      <c r="A1675" s="55"/>
    </row>
    <row r="1676" spans="1:1">
      <c r="A1676" s="55"/>
    </row>
    <row r="1677" spans="1:1">
      <c r="A1677" s="55"/>
    </row>
    <row r="1678" spans="1:1">
      <c r="A1678" s="55"/>
    </row>
    <row r="1679" spans="1:1">
      <c r="A1679" s="55"/>
    </row>
    <row r="1680" spans="1:1">
      <c r="A1680" s="55"/>
    </row>
    <row r="1681" spans="1:1">
      <c r="A1681" s="55"/>
    </row>
    <row r="1682" spans="1:1">
      <c r="A1682" s="55"/>
    </row>
    <row r="1683" spans="1:1">
      <c r="A1683" s="55"/>
    </row>
    <row r="1684" spans="1:1">
      <c r="A1684" s="55"/>
    </row>
    <row r="1685" spans="1:1">
      <c r="A1685" s="55"/>
    </row>
    <row r="1686" spans="1:1">
      <c r="A1686" s="55"/>
    </row>
    <row r="1687" spans="1:1">
      <c r="A1687" s="55"/>
    </row>
    <row r="1688" spans="1:1">
      <c r="A1688" s="55"/>
    </row>
    <row r="1689" spans="1:1">
      <c r="A1689" s="55"/>
    </row>
    <row r="1690" spans="1:1">
      <c r="A1690" s="55"/>
    </row>
    <row r="1691" spans="1:1">
      <c r="A1691" s="55"/>
    </row>
    <row r="1692" spans="1:1">
      <c r="A1692" s="55"/>
    </row>
    <row r="1693" spans="1:1">
      <c r="A1693" s="55"/>
    </row>
    <row r="1694" spans="1:1">
      <c r="A1694" s="55"/>
    </row>
    <row r="1695" spans="1:1">
      <c r="A1695" s="55"/>
    </row>
    <row r="1696" spans="1:1">
      <c r="A1696" s="55"/>
    </row>
    <row r="1697" spans="1:1">
      <c r="A1697" s="55"/>
    </row>
    <row r="1698" spans="1:1">
      <c r="A1698" s="55"/>
    </row>
    <row r="1699" spans="1:1">
      <c r="A1699" s="55"/>
    </row>
    <row r="1700" spans="1:1">
      <c r="A1700" s="55"/>
    </row>
    <row r="1701" spans="1:1">
      <c r="A1701" s="55"/>
    </row>
    <row r="1702" spans="1:1">
      <c r="A1702" s="55"/>
    </row>
    <row r="1703" spans="1:1">
      <c r="A1703" s="55"/>
    </row>
    <row r="1704" spans="1:1">
      <c r="A1704" s="55"/>
    </row>
    <row r="1705" spans="1:1">
      <c r="A1705" s="55"/>
    </row>
    <row r="1706" spans="1:1">
      <c r="A1706" s="55"/>
    </row>
    <row r="1707" spans="1:1">
      <c r="A1707" s="55"/>
    </row>
    <row r="1708" spans="1:1">
      <c r="A1708" s="55"/>
    </row>
    <row r="1709" spans="1:1">
      <c r="A1709" s="55"/>
    </row>
    <row r="1710" spans="1:1">
      <c r="A1710" s="55"/>
    </row>
    <row r="1711" spans="1:1">
      <c r="A1711" s="55"/>
    </row>
    <row r="1712" spans="1:1">
      <c r="A1712" s="55"/>
    </row>
    <row r="1713" spans="1:1">
      <c r="A1713" s="55"/>
    </row>
    <row r="1714" spans="1:1">
      <c r="A1714" s="55"/>
    </row>
    <row r="1715" spans="1:1">
      <c r="A1715" s="55"/>
    </row>
    <row r="1716" spans="1:1">
      <c r="A1716" s="55"/>
    </row>
    <row r="1717" spans="1:1">
      <c r="A1717" s="55"/>
    </row>
    <row r="1718" spans="1:1">
      <c r="A1718" s="55"/>
    </row>
    <row r="1719" spans="1:1">
      <c r="A1719" s="55"/>
    </row>
    <row r="1720" spans="1:1">
      <c r="A1720" s="55"/>
    </row>
    <row r="1721" spans="1:1">
      <c r="A1721" s="55"/>
    </row>
    <row r="1722" spans="1:1">
      <c r="A1722" s="55"/>
    </row>
    <row r="1723" spans="1:1">
      <c r="A1723" s="55"/>
    </row>
    <row r="1724" spans="1:1">
      <c r="A1724" s="55"/>
    </row>
    <row r="1725" spans="1:1">
      <c r="A1725" s="55"/>
    </row>
    <row r="1726" spans="1:1">
      <c r="A1726" s="55"/>
    </row>
    <row r="1727" spans="1:1">
      <c r="A1727" s="55"/>
    </row>
    <row r="1728" spans="1:1">
      <c r="A1728" s="55"/>
    </row>
    <row r="1729" spans="1:1">
      <c r="A1729" s="55"/>
    </row>
    <row r="1730" spans="1:1">
      <c r="A1730" s="55"/>
    </row>
    <row r="1731" spans="1:1">
      <c r="A1731" s="55"/>
    </row>
    <row r="1732" spans="1:1">
      <c r="A1732" s="55"/>
    </row>
    <row r="1733" spans="1:1">
      <c r="A1733" s="55"/>
    </row>
    <row r="1734" spans="1:1">
      <c r="A1734" s="55"/>
    </row>
    <row r="1735" spans="1:1">
      <c r="A1735" s="55"/>
    </row>
    <row r="1736" spans="1:1">
      <c r="A1736" s="55"/>
    </row>
    <row r="1737" spans="1:1">
      <c r="A1737" s="55"/>
    </row>
    <row r="1738" spans="1:1">
      <c r="A1738" s="55"/>
    </row>
    <row r="1739" spans="1:1">
      <c r="A1739" s="55"/>
    </row>
    <row r="1740" spans="1:1">
      <c r="A1740" s="55"/>
    </row>
    <row r="1741" spans="1:1">
      <c r="A1741" s="55"/>
    </row>
    <row r="1742" spans="1:1">
      <c r="A1742" s="55"/>
    </row>
    <row r="1743" spans="1:1">
      <c r="A1743" s="55"/>
    </row>
    <row r="1744" spans="1:1">
      <c r="A1744" s="55"/>
    </row>
    <row r="1745" spans="1:1">
      <c r="A1745" s="55"/>
    </row>
    <row r="1746" spans="1:1">
      <c r="A1746" s="55"/>
    </row>
    <row r="1747" spans="1:1">
      <c r="A1747" s="55"/>
    </row>
    <row r="1748" spans="1:1">
      <c r="A1748" s="55"/>
    </row>
    <row r="1749" spans="1:1">
      <c r="A1749" s="55"/>
    </row>
    <row r="1750" spans="1:1">
      <c r="A1750" s="55"/>
    </row>
    <row r="1751" spans="1:1">
      <c r="A1751" s="55"/>
    </row>
    <row r="1752" spans="1:1">
      <c r="A1752" s="55"/>
    </row>
    <row r="1753" spans="1:1">
      <c r="A1753" s="55"/>
    </row>
    <row r="1754" spans="1:1">
      <c r="A1754" s="55"/>
    </row>
    <row r="1755" spans="1:1">
      <c r="A1755" s="55"/>
    </row>
    <row r="1756" spans="1:1">
      <c r="A1756" s="55"/>
    </row>
    <row r="1757" spans="1:1">
      <c r="A1757" s="55"/>
    </row>
    <row r="1758" spans="1:1">
      <c r="A1758" s="55"/>
    </row>
    <row r="1759" spans="1:1">
      <c r="A1759" s="55"/>
    </row>
    <row r="1760" spans="1:1">
      <c r="A1760" s="55"/>
    </row>
    <row r="1761" spans="1:1">
      <c r="A1761" s="55"/>
    </row>
    <row r="1762" spans="1:1">
      <c r="A1762" s="55"/>
    </row>
    <row r="1763" spans="1:1">
      <c r="A1763" s="55"/>
    </row>
    <row r="1764" spans="1:1">
      <c r="A1764" s="55"/>
    </row>
    <row r="1765" spans="1:1">
      <c r="A1765" s="55"/>
    </row>
    <row r="1766" spans="1:1">
      <c r="A1766" s="55"/>
    </row>
    <row r="1767" spans="1:1">
      <c r="A1767" s="55"/>
    </row>
    <row r="1768" spans="1:1">
      <c r="A1768" s="55"/>
    </row>
    <row r="1769" spans="1:1">
      <c r="A1769" s="55"/>
    </row>
    <row r="1770" spans="1:1">
      <c r="A1770" s="55"/>
    </row>
    <row r="1771" spans="1:1">
      <c r="A1771" s="55"/>
    </row>
    <row r="1772" spans="1:1">
      <c r="A1772" s="55"/>
    </row>
    <row r="1773" spans="1:1">
      <c r="A1773" s="55"/>
    </row>
    <row r="1774" spans="1:1">
      <c r="A1774" s="55"/>
    </row>
    <row r="1775" spans="1:1">
      <c r="A1775" s="55"/>
    </row>
    <row r="1776" spans="1:1">
      <c r="A1776" s="55"/>
    </row>
    <row r="1777" spans="1:1">
      <c r="A1777" s="55"/>
    </row>
    <row r="1778" spans="1:1">
      <c r="A1778" s="55"/>
    </row>
    <row r="1779" spans="1:1">
      <c r="A1779" s="55"/>
    </row>
    <row r="1780" spans="1:1">
      <c r="A1780" s="55"/>
    </row>
    <row r="1781" spans="1:1">
      <c r="A1781" s="55"/>
    </row>
    <row r="1782" spans="1:1">
      <c r="A1782" s="55"/>
    </row>
    <row r="1783" spans="1:1">
      <c r="A1783" s="55"/>
    </row>
    <row r="1784" spans="1:1">
      <c r="A1784" s="55"/>
    </row>
    <row r="1785" spans="1:1">
      <c r="A1785" s="55"/>
    </row>
    <row r="1786" spans="1:1">
      <c r="A1786" s="55"/>
    </row>
    <row r="1787" spans="1:1">
      <c r="A1787" s="55"/>
    </row>
    <row r="1788" spans="1:1">
      <c r="A1788" s="55"/>
    </row>
    <row r="1789" spans="1:1">
      <c r="A1789" s="55"/>
    </row>
    <row r="1790" spans="1:1">
      <c r="A1790" s="55"/>
    </row>
    <row r="1791" spans="1:1">
      <c r="A1791" s="55"/>
    </row>
    <row r="1792" spans="1:1">
      <c r="A1792" s="55"/>
    </row>
    <row r="1793" spans="1:1">
      <c r="A1793" s="55"/>
    </row>
    <row r="1794" spans="1:1">
      <c r="A1794" s="55"/>
    </row>
    <row r="1795" spans="1:1">
      <c r="A1795" s="55"/>
    </row>
    <row r="1796" spans="1:1">
      <c r="A1796" s="55"/>
    </row>
    <row r="1797" spans="1:1">
      <c r="A1797" s="55"/>
    </row>
    <row r="1798" spans="1:1">
      <c r="A1798" s="55"/>
    </row>
    <row r="1799" spans="1:1">
      <c r="A1799" s="55"/>
    </row>
    <row r="1800" spans="1:1">
      <c r="A1800" s="55"/>
    </row>
    <row r="1801" spans="1:1">
      <c r="A1801" s="55"/>
    </row>
    <row r="1802" spans="1:1">
      <c r="A1802" s="55"/>
    </row>
    <row r="1803" spans="1:1">
      <c r="A1803" s="55"/>
    </row>
    <row r="1804" spans="1:1">
      <c r="A1804" s="55"/>
    </row>
    <row r="1805" spans="1:1">
      <c r="A1805" s="55"/>
    </row>
    <row r="1806" spans="1:1">
      <c r="A1806" s="55"/>
    </row>
    <row r="1807" spans="1:1">
      <c r="A1807" s="55"/>
    </row>
    <row r="1808" spans="1:1">
      <c r="A1808" s="55"/>
    </row>
    <row r="1809" spans="1:1">
      <c r="A1809" s="55"/>
    </row>
    <row r="1810" spans="1:1">
      <c r="A1810" s="55"/>
    </row>
    <row r="1811" spans="1:1">
      <c r="A1811" s="55"/>
    </row>
    <row r="1812" spans="1:1">
      <c r="A1812" s="55"/>
    </row>
    <row r="1813" spans="1:1">
      <c r="A1813" s="55"/>
    </row>
    <row r="1814" spans="1:1">
      <c r="A1814" s="55"/>
    </row>
    <row r="1815" spans="1:1">
      <c r="A1815" s="55"/>
    </row>
    <row r="1816" spans="1:1">
      <c r="A1816" s="55"/>
    </row>
    <row r="1817" spans="1:1">
      <c r="A1817" s="55"/>
    </row>
    <row r="1818" spans="1:1">
      <c r="A1818" s="55"/>
    </row>
    <row r="1819" spans="1:1">
      <c r="A1819" s="55"/>
    </row>
    <row r="1820" spans="1:1">
      <c r="A1820" s="55"/>
    </row>
    <row r="1821" spans="1:1">
      <c r="A1821" s="55"/>
    </row>
    <row r="1822" spans="1:1">
      <c r="A1822" s="55"/>
    </row>
    <row r="1823" spans="1:1">
      <c r="A1823" s="55"/>
    </row>
    <row r="1824" spans="1:1">
      <c r="A1824" s="55"/>
    </row>
    <row r="1825" spans="1:1">
      <c r="A1825" s="55"/>
    </row>
    <row r="1826" spans="1:1">
      <c r="A1826" s="55"/>
    </row>
    <row r="1827" spans="1:1">
      <c r="A1827" s="55"/>
    </row>
    <row r="1828" spans="1:1">
      <c r="A1828" s="55"/>
    </row>
    <row r="1829" spans="1:1">
      <c r="A1829" s="55"/>
    </row>
    <row r="1830" spans="1:1">
      <c r="A1830" s="55"/>
    </row>
    <row r="1831" spans="1:1">
      <c r="A1831" s="55"/>
    </row>
    <row r="1832" spans="1:1">
      <c r="A1832" s="55"/>
    </row>
    <row r="1833" spans="1:1">
      <c r="A1833" s="55"/>
    </row>
    <row r="1834" spans="1:1">
      <c r="A1834" s="55"/>
    </row>
    <row r="1835" spans="1:1">
      <c r="A1835" s="55"/>
    </row>
    <row r="1836" spans="1:1">
      <c r="A1836" s="55"/>
    </row>
    <row r="1837" spans="1:1">
      <c r="A1837" s="55"/>
    </row>
    <row r="1838" spans="1:1">
      <c r="A1838" s="55"/>
    </row>
    <row r="1839" spans="1:1">
      <c r="A1839" s="55"/>
    </row>
    <row r="1840" spans="1:1">
      <c r="A1840" s="55"/>
    </row>
    <row r="1841" spans="1:1">
      <c r="A1841" s="55"/>
    </row>
    <row r="1842" spans="1:1">
      <c r="A1842" s="55"/>
    </row>
    <row r="1843" spans="1:1">
      <c r="A1843" s="55"/>
    </row>
    <row r="1844" spans="1:1">
      <c r="A1844" s="55"/>
    </row>
    <row r="1845" spans="1:1">
      <c r="A1845" s="55"/>
    </row>
    <row r="1846" spans="1:1">
      <c r="A1846" s="55"/>
    </row>
    <row r="1847" spans="1:1">
      <c r="A1847" s="55"/>
    </row>
    <row r="1848" spans="1:1">
      <c r="A1848" s="55"/>
    </row>
    <row r="1849" spans="1:1">
      <c r="A1849" s="55"/>
    </row>
    <row r="1850" spans="1:1">
      <c r="A1850" s="55"/>
    </row>
    <row r="1851" spans="1:1">
      <c r="A1851" s="55"/>
    </row>
    <row r="1852" spans="1:1">
      <c r="A1852" s="55"/>
    </row>
    <row r="1853" spans="1:1">
      <c r="A1853" s="55"/>
    </row>
    <row r="1854" spans="1:1">
      <c r="A1854" s="55"/>
    </row>
    <row r="1855" spans="1:1">
      <c r="A1855" s="55"/>
    </row>
    <row r="1856" spans="1:1">
      <c r="A1856" s="55"/>
    </row>
    <row r="1857" spans="1:1">
      <c r="A1857" s="55"/>
    </row>
    <row r="1858" spans="1:1">
      <c r="A1858" s="55"/>
    </row>
    <row r="1859" spans="1:1">
      <c r="A1859" s="55"/>
    </row>
    <row r="1860" spans="1:1">
      <c r="A1860" s="55"/>
    </row>
    <row r="1861" spans="1:1">
      <c r="A1861" s="55"/>
    </row>
    <row r="1862" spans="1:1">
      <c r="A1862" s="55"/>
    </row>
    <row r="1863" spans="1:1">
      <c r="A1863" s="55"/>
    </row>
    <row r="1864" spans="1:1">
      <c r="A1864" s="55"/>
    </row>
    <row r="1865" spans="1:1">
      <c r="A1865" s="55"/>
    </row>
    <row r="1866" spans="1:1">
      <c r="A1866" s="55"/>
    </row>
    <row r="1867" spans="1:1">
      <c r="A1867" s="55"/>
    </row>
    <row r="1868" spans="1:1">
      <c r="A1868" s="55"/>
    </row>
    <row r="1869" spans="1:1">
      <c r="A1869" s="55"/>
    </row>
    <row r="1870" spans="1:1">
      <c r="A1870" s="55"/>
    </row>
    <row r="1871" spans="1:1">
      <c r="A1871" s="55"/>
    </row>
    <row r="1872" spans="1:1">
      <c r="A1872" s="55"/>
    </row>
    <row r="1873" spans="1:1">
      <c r="A1873" s="55"/>
    </row>
    <row r="1874" spans="1:1">
      <c r="A1874" s="55"/>
    </row>
    <row r="1875" spans="1:1">
      <c r="A1875" s="55"/>
    </row>
    <row r="1876" spans="1:1">
      <c r="A1876" s="55"/>
    </row>
    <row r="1877" spans="1:1">
      <c r="A1877" s="55"/>
    </row>
    <row r="1878" spans="1:1">
      <c r="A1878" s="55"/>
    </row>
    <row r="1879" spans="1:1">
      <c r="A1879" s="55"/>
    </row>
    <row r="1880" spans="1:1">
      <c r="A1880" s="55"/>
    </row>
    <row r="1881" spans="1:1">
      <c r="A1881" s="55"/>
    </row>
    <row r="1882" spans="1:1">
      <c r="A1882" s="55"/>
    </row>
    <row r="1883" spans="1:1">
      <c r="A1883" s="55"/>
    </row>
    <row r="1884" spans="1:1">
      <c r="A1884" s="55"/>
    </row>
    <row r="1885" spans="1:1">
      <c r="A1885" s="55"/>
    </row>
    <row r="1886" spans="1:1">
      <c r="A1886" s="55"/>
    </row>
    <row r="1887" spans="1:1">
      <c r="A1887" s="55"/>
    </row>
    <row r="1888" spans="1:1">
      <c r="A1888" s="55"/>
    </row>
    <row r="1889" spans="1:1">
      <c r="A1889" s="55"/>
    </row>
    <row r="1890" spans="1:1">
      <c r="A1890" s="55"/>
    </row>
    <row r="1891" spans="1:1">
      <c r="A1891" s="55"/>
    </row>
    <row r="1892" spans="1:1">
      <c r="A1892" s="55"/>
    </row>
    <row r="1893" spans="1:1">
      <c r="A1893" s="55"/>
    </row>
    <row r="1894" spans="1:1">
      <c r="A1894" s="55"/>
    </row>
    <row r="1895" spans="1:1">
      <c r="A1895" s="55"/>
    </row>
    <row r="1896" spans="1:1">
      <c r="A1896" s="55"/>
    </row>
    <row r="1897" spans="1:1">
      <c r="A1897" s="55"/>
    </row>
    <row r="1898" spans="1:1">
      <c r="A1898" s="55"/>
    </row>
    <row r="1899" spans="1:1">
      <c r="A1899" s="55"/>
    </row>
    <row r="1900" spans="1:1">
      <c r="A1900" s="55"/>
    </row>
    <row r="1901" spans="1:1">
      <c r="A1901" s="55"/>
    </row>
    <row r="1902" spans="1:1">
      <c r="A1902" s="55"/>
    </row>
    <row r="1903" spans="1:1">
      <c r="A1903" s="55"/>
    </row>
    <row r="1904" spans="1:1">
      <c r="A1904" s="55"/>
    </row>
    <row r="1905" spans="1:1">
      <c r="A1905" s="55"/>
    </row>
    <row r="1906" spans="1:1">
      <c r="A1906" s="55"/>
    </row>
    <row r="1907" spans="1:1">
      <c r="A1907" s="55"/>
    </row>
    <row r="1908" spans="1:1">
      <c r="A1908" s="55"/>
    </row>
    <row r="1909" spans="1:1">
      <c r="A1909" s="55"/>
    </row>
    <row r="1910" spans="1:1">
      <c r="A1910" s="55"/>
    </row>
    <row r="1911" spans="1:1">
      <c r="A1911" s="55"/>
    </row>
    <row r="1912" spans="1:1">
      <c r="A1912" s="55"/>
    </row>
    <row r="1913" spans="1:1">
      <c r="A1913" s="55"/>
    </row>
    <row r="1914" spans="1:1">
      <c r="A1914" s="55"/>
    </row>
    <row r="1915" spans="1:1">
      <c r="A1915" s="55"/>
    </row>
    <row r="1916" spans="1:1">
      <c r="A1916" s="55"/>
    </row>
    <row r="1917" spans="1:1">
      <c r="A1917" s="55"/>
    </row>
    <row r="1918" spans="1:1">
      <c r="A1918" s="55"/>
    </row>
    <row r="1919" spans="1:1">
      <c r="A1919" s="55"/>
    </row>
    <row r="1920" spans="1:1">
      <c r="A1920" s="55"/>
    </row>
    <row r="1921" spans="1:1">
      <c r="A1921" s="55"/>
    </row>
    <row r="1922" spans="1:1">
      <c r="A1922" s="55"/>
    </row>
    <row r="1923" spans="1:1">
      <c r="A1923" s="55"/>
    </row>
    <row r="1924" spans="1:1">
      <c r="A1924" s="55"/>
    </row>
    <row r="1925" spans="1:1">
      <c r="A1925" s="55"/>
    </row>
    <row r="1926" spans="1:1">
      <c r="A1926" s="55"/>
    </row>
    <row r="1927" spans="1:1">
      <c r="A1927" s="55"/>
    </row>
    <row r="1928" spans="1:1">
      <c r="A1928" s="55"/>
    </row>
    <row r="1929" spans="1:1">
      <c r="A1929" s="55"/>
    </row>
    <row r="1930" spans="1:1">
      <c r="A1930" s="55"/>
    </row>
    <row r="1931" spans="1:1">
      <c r="A1931" s="55"/>
    </row>
    <row r="1932" spans="1:1">
      <c r="A1932" s="55"/>
    </row>
    <row r="1933" spans="1:1">
      <c r="A1933" s="55"/>
    </row>
    <row r="1934" spans="1:1">
      <c r="A1934" s="55"/>
    </row>
    <row r="1935" spans="1:1">
      <c r="A1935" s="55"/>
    </row>
    <row r="1936" spans="1:1">
      <c r="A1936" s="55"/>
    </row>
    <row r="1937" spans="1:1">
      <c r="A1937" s="55"/>
    </row>
    <row r="1938" spans="1:1">
      <c r="A1938" s="55"/>
    </row>
    <row r="1939" spans="1:1">
      <c r="A1939" s="55"/>
    </row>
    <row r="1940" spans="1:1">
      <c r="A1940" s="55"/>
    </row>
    <row r="1941" spans="1:1">
      <c r="A1941" s="55"/>
    </row>
    <row r="1942" spans="1:1">
      <c r="A1942" s="55"/>
    </row>
    <row r="1943" spans="1:1">
      <c r="A1943" s="55"/>
    </row>
    <row r="1944" spans="1:1">
      <c r="A1944" s="55"/>
    </row>
    <row r="1945" spans="1:1">
      <c r="A1945" s="55"/>
    </row>
    <row r="1946" spans="1:1">
      <c r="A1946" s="55"/>
    </row>
    <row r="1947" spans="1:1">
      <c r="A1947" s="55"/>
    </row>
    <row r="1948" spans="1:1">
      <c r="A1948" s="55"/>
    </row>
    <row r="1949" spans="1:1">
      <c r="A1949" s="55"/>
    </row>
    <row r="1950" spans="1:1">
      <c r="A1950" s="55"/>
    </row>
    <row r="1951" spans="1:1">
      <c r="A1951" s="55"/>
    </row>
    <row r="1952" spans="1:1">
      <c r="A1952" s="55"/>
    </row>
    <row r="1953" spans="1:1">
      <c r="A1953" s="55"/>
    </row>
    <row r="1954" spans="1:1">
      <c r="A1954" s="55"/>
    </row>
    <row r="1955" spans="1:1">
      <c r="A1955" s="55"/>
    </row>
    <row r="1956" spans="1:1">
      <c r="A1956" s="55"/>
    </row>
    <row r="1957" spans="1:1">
      <c r="A1957" s="55"/>
    </row>
    <row r="1958" spans="1:1">
      <c r="A1958" s="55"/>
    </row>
    <row r="1959" spans="1:1">
      <c r="A1959" s="55"/>
    </row>
    <row r="1960" spans="1:1">
      <c r="A1960" s="55"/>
    </row>
    <row r="1961" spans="1:1">
      <c r="A1961" s="55"/>
    </row>
    <row r="1962" spans="1:1">
      <c r="A1962" s="55"/>
    </row>
    <row r="1963" spans="1:1">
      <c r="A1963" s="55"/>
    </row>
    <row r="1964" spans="1:1">
      <c r="A1964" s="55"/>
    </row>
    <row r="1965" spans="1:1">
      <c r="A1965" s="55"/>
    </row>
    <row r="1966" spans="1:1">
      <c r="A1966" s="55"/>
    </row>
    <row r="1967" spans="1:1">
      <c r="A1967" s="55"/>
    </row>
    <row r="1968" spans="1:1">
      <c r="A1968" s="55"/>
    </row>
    <row r="1969" spans="1:1">
      <c r="A1969" s="55"/>
    </row>
    <row r="1970" spans="1:1">
      <c r="A1970" s="55"/>
    </row>
    <row r="1971" spans="1:1">
      <c r="A1971" s="55"/>
    </row>
    <row r="1972" spans="1:1">
      <c r="A1972" s="55"/>
    </row>
    <row r="1973" spans="1:1">
      <c r="A1973" s="55"/>
    </row>
    <row r="1974" spans="1:1">
      <c r="A1974" s="55"/>
    </row>
    <row r="1975" spans="1:1">
      <c r="A1975" s="55"/>
    </row>
    <row r="1976" spans="1:1">
      <c r="A1976" s="55"/>
    </row>
    <row r="1977" spans="1:1">
      <c r="A1977" s="55"/>
    </row>
    <row r="1978" spans="1:1">
      <c r="A1978" s="55"/>
    </row>
    <row r="1979" spans="1:1">
      <c r="A1979" s="55"/>
    </row>
    <row r="1980" spans="1:1">
      <c r="A1980" s="55"/>
    </row>
    <row r="1981" spans="1:1">
      <c r="A1981" s="55"/>
    </row>
    <row r="1982" spans="1:1">
      <c r="A1982" s="55"/>
    </row>
    <row r="1983" spans="1:1">
      <c r="A1983" s="55"/>
    </row>
    <row r="1984" spans="1:1">
      <c r="A1984" s="55"/>
    </row>
    <row r="1985" spans="1:1">
      <c r="A1985" s="55"/>
    </row>
    <row r="1986" spans="1:1">
      <c r="A1986" s="55"/>
    </row>
    <row r="1987" spans="1:1">
      <c r="A1987" s="55"/>
    </row>
    <row r="1988" spans="1:1">
      <c r="A1988" s="55"/>
    </row>
    <row r="1989" spans="1:1">
      <c r="A1989" s="55"/>
    </row>
    <row r="1990" spans="1:1">
      <c r="A1990" s="55"/>
    </row>
    <row r="1991" spans="1:1">
      <c r="A1991" s="55"/>
    </row>
    <row r="1992" spans="1:1">
      <c r="A1992" s="55"/>
    </row>
    <row r="1993" spans="1:1">
      <c r="A1993" s="55"/>
    </row>
    <row r="1994" spans="1:1">
      <c r="A1994" s="55"/>
    </row>
    <row r="1995" spans="1:1">
      <c r="A1995" s="55"/>
    </row>
    <row r="1996" spans="1:1">
      <c r="A1996" s="55"/>
    </row>
    <row r="1997" spans="1:1">
      <c r="A1997" s="55"/>
    </row>
    <row r="1998" spans="1:1">
      <c r="A1998" s="55"/>
    </row>
    <row r="1999" spans="1:1">
      <c r="A1999" s="55"/>
    </row>
    <row r="2000" spans="1:1">
      <c r="A2000" s="55"/>
    </row>
    <row r="2001" spans="1:1">
      <c r="A2001" s="55"/>
    </row>
    <row r="2002" spans="1:1">
      <c r="A2002" s="55"/>
    </row>
    <row r="2003" spans="1:1">
      <c r="A2003" s="55"/>
    </row>
    <row r="2004" spans="1:1">
      <c r="A2004" s="55"/>
    </row>
    <row r="2005" spans="1:1">
      <c r="A2005" s="55"/>
    </row>
    <row r="2006" spans="1:1">
      <c r="A2006" s="55"/>
    </row>
    <row r="2007" spans="1:1">
      <c r="A2007" s="55"/>
    </row>
    <row r="2008" spans="1:1">
      <c r="A2008" s="55"/>
    </row>
    <row r="2009" spans="1:1">
      <c r="A2009" s="55"/>
    </row>
    <row r="2010" spans="1:1">
      <c r="A2010" s="55"/>
    </row>
    <row r="2011" spans="1:1">
      <c r="A2011" s="55"/>
    </row>
    <row r="2012" spans="1:1">
      <c r="A2012" s="55"/>
    </row>
    <row r="2013" spans="1:1">
      <c r="A2013" s="55"/>
    </row>
    <row r="2014" spans="1:1">
      <c r="A2014" s="55"/>
    </row>
    <row r="2015" spans="1:1">
      <c r="A2015" s="55"/>
    </row>
    <row r="2016" spans="1:1">
      <c r="A2016" s="55"/>
    </row>
    <row r="2017" spans="1:1">
      <c r="A2017" s="55"/>
    </row>
    <row r="2018" spans="1:1">
      <c r="A2018" s="55"/>
    </row>
    <row r="2019" spans="1:1">
      <c r="A2019" s="55"/>
    </row>
    <row r="2020" spans="1:1">
      <c r="A2020" s="55"/>
    </row>
    <row r="2021" spans="1:1">
      <c r="A2021" s="55"/>
    </row>
    <row r="2022" spans="1:1">
      <c r="A2022" s="55"/>
    </row>
    <row r="2023" spans="1:1">
      <c r="A2023" s="55"/>
    </row>
    <row r="2024" spans="1:1">
      <c r="A2024" s="55"/>
    </row>
    <row r="2025" spans="1:1">
      <c r="A2025" s="55"/>
    </row>
    <row r="2026" spans="1:1">
      <c r="A2026" s="55"/>
    </row>
    <row r="2027" spans="1:1">
      <c r="A2027" s="55"/>
    </row>
    <row r="2028" spans="1:1">
      <c r="A2028" s="55"/>
    </row>
    <row r="2029" spans="1:1">
      <c r="A2029" s="55"/>
    </row>
    <row r="2030" spans="1:1">
      <c r="A2030" s="55"/>
    </row>
    <row r="2031" spans="1:1">
      <c r="A2031" s="55"/>
    </row>
    <row r="2032" spans="1:1">
      <c r="A2032" s="55"/>
    </row>
    <row r="2033" spans="1:1">
      <c r="A2033" s="55"/>
    </row>
    <row r="2034" spans="1:1">
      <c r="A2034" s="55"/>
    </row>
    <row r="2035" spans="1:1">
      <c r="A2035" s="55"/>
    </row>
    <row r="2036" spans="1:1">
      <c r="A2036" s="55"/>
    </row>
    <row r="2037" spans="1:1">
      <c r="A2037" s="55"/>
    </row>
    <row r="2038" spans="1:1">
      <c r="A2038" s="55"/>
    </row>
    <row r="2039" spans="1:1">
      <c r="A2039" s="55"/>
    </row>
    <row r="2040" spans="1:1">
      <c r="A2040" s="55"/>
    </row>
    <row r="2041" spans="1:1">
      <c r="A2041" s="55"/>
    </row>
    <row r="2042" spans="1:1">
      <c r="A2042" s="55"/>
    </row>
    <row r="2043" spans="1:1">
      <c r="A2043" s="55"/>
    </row>
    <row r="2044" spans="1:1">
      <c r="A2044" s="55"/>
    </row>
    <row r="2045" spans="1:1">
      <c r="A2045" s="55"/>
    </row>
    <row r="2046" spans="1:1">
      <c r="A2046" s="55"/>
    </row>
    <row r="2047" spans="1:1">
      <c r="A2047" s="55"/>
    </row>
    <row r="2048" spans="1:1">
      <c r="A2048" s="55"/>
    </row>
    <row r="2049" spans="1:1">
      <c r="A2049" s="55"/>
    </row>
    <row r="2050" spans="1:1">
      <c r="A2050" s="55"/>
    </row>
    <row r="2051" spans="1:1">
      <c r="A2051" s="55"/>
    </row>
    <row r="2052" spans="1:1">
      <c r="A2052" s="55"/>
    </row>
    <row r="2053" spans="1:1">
      <c r="A2053" s="55"/>
    </row>
    <row r="2054" spans="1:1">
      <c r="A2054" s="55"/>
    </row>
    <row r="2055" spans="1:1">
      <c r="A2055" s="55"/>
    </row>
    <row r="2056" spans="1:1">
      <c r="A2056" s="55"/>
    </row>
    <row r="2057" spans="1:1">
      <c r="A2057" s="55"/>
    </row>
    <row r="2058" spans="1:1">
      <c r="A2058" s="55"/>
    </row>
    <row r="2059" spans="1:1">
      <c r="A2059" s="55"/>
    </row>
    <row r="2060" spans="1:1">
      <c r="A2060" s="55"/>
    </row>
    <row r="2061" spans="1:1">
      <c r="A2061" s="55"/>
    </row>
    <row r="2062" spans="1:1">
      <c r="A2062" s="55"/>
    </row>
    <row r="2063" spans="1:1">
      <c r="A2063" s="55"/>
    </row>
    <row r="2064" spans="1:1">
      <c r="A2064" s="55"/>
    </row>
    <row r="2065" spans="1:1">
      <c r="A2065" s="55"/>
    </row>
    <row r="2066" spans="1:1">
      <c r="A2066" s="55"/>
    </row>
    <row r="2067" spans="1:1">
      <c r="A2067" s="55"/>
    </row>
    <row r="2068" spans="1:1">
      <c r="A2068" s="55"/>
    </row>
    <row r="2069" spans="1:1">
      <c r="A2069" s="55"/>
    </row>
    <row r="2070" spans="1:1">
      <c r="A2070" s="55"/>
    </row>
    <row r="2071" spans="1:1">
      <c r="A2071" s="55"/>
    </row>
    <row r="2072" spans="1:1">
      <c r="A2072" s="55"/>
    </row>
    <row r="2073" spans="1:1">
      <c r="A2073" s="55"/>
    </row>
    <row r="2074" spans="1:1">
      <c r="A2074" s="55"/>
    </row>
    <row r="2075" spans="1:1">
      <c r="A2075" s="55"/>
    </row>
    <row r="2076" spans="1:1">
      <c r="A2076" s="55"/>
    </row>
    <row r="2077" spans="1:1">
      <c r="A2077" s="55"/>
    </row>
    <row r="2078" spans="1:1">
      <c r="A2078" s="55"/>
    </row>
    <row r="2079" spans="1:1">
      <c r="A2079" s="55"/>
    </row>
    <row r="2080" spans="1:1">
      <c r="A2080" s="55"/>
    </row>
    <row r="2081" spans="1:1">
      <c r="A2081" s="55"/>
    </row>
    <row r="2082" spans="1:1">
      <c r="A2082" s="55"/>
    </row>
    <row r="2083" spans="1:1">
      <c r="A2083" s="55"/>
    </row>
    <row r="2084" spans="1:1">
      <c r="A2084" s="55"/>
    </row>
    <row r="2085" spans="1:1">
      <c r="A2085" s="55"/>
    </row>
    <row r="2086" spans="1:1">
      <c r="A2086" s="55"/>
    </row>
    <row r="2087" spans="1:1">
      <c r="A2087" s="55"/>
    </row>
    <row r="2088" spans="1:1">
      <c r="A2088" s="55"/>
    </row>
    <row r="2089" spans="1:1">
      <c r="A2089" s="55"/>
    </row>
    <row r="2090" spans="1:1">
      <c r="A2090" s="55"/>
    </row>
    <row r="2091" spans="1:1">
      <c r="A2091" s="55"/>
    </row>
    <row r="2092" spans="1:1">
      <c r="A2092" s="55"/>
    </row>
    <row r="2093" spans="1:1">
      <c r="A2093" s="55"/>
    </row>
    <row r="2094" spans="1:1">
      <c r="A2094" s="55"/>
    </row>
    <row r="2095" spans="1:1">
      <c r="A2095" s="55"/>
    </row>
    <row r="2096" spans="1:1">
      <c r="A2096" s="55"/>
    </row>
    <row r="2097" spans="1:1">
      <c r="A2097" s="55"/>
    </row>
    <row r="2098" spans="1:1">
      <c r="A2098" s="55"/>
    </row>
    <row r="2099" spans="1:1">
      <c r="A2099" s="55"/>
    </row>
    <row r="2100" spans="1:1">
      <c r="A2100" s="55"/>
    </row>
    <row r="2101" spans="1:1">
      <c r="A2101" s="55"/>
    </row>
    <row r="2102" spans="1:1">
      <c r="A2102" s="55"/>
    </row>
    <row r="2103" spans="1:1">
      <c r="A2103" s="55"/>
    </row>
    <row r="2104" spans="1:1">
      <c r="A2104" s="55"/>
    </row>
    <row r="2105" spans="1:1">
      <c r="A2105" s="55"/>
    </row>
    <row r="2106" spans="1:1">
      <c r="A2106" s="55"/>
    </row>
    <row r="2107" spans="1:1">
      <c r="A2107" s="55"/>
    </row>
    <row r="2108" spans="1:1">
      <c r="A2108" s="55"/>
    </row>
    <row r="2109" spans="1:1">
      <c r="A2109" s="55"/>
    </row>
    <row r="2110" spans="1:1">
      <c r="A2110" s="55"/>
    </row>
    <row r="2111" spans="1:1">
      <c r="A2111" s="55"/>
    </row>
    <row r="2112" spans="1:1">
      <c r="A2112" s="55"/>
    </row>
    <row r="2113" spans="1:1">
      <c r="A2113" s="55"/>
    </row>
    <row r="2114" spans="1:1">
      <c r="A2114" s="55"/>
    </row>
    <row r="2115" spans="1:1">
      <c r="A2115" s="55"/>
    </row>
    <row r="2116" spans="1:1">
      <c r="A2116" s="55"/>
    </row>
    <row r="2117" spans="1:1">
      <c r="A2117" s="55"/>
    </row>
    <row r="2118" spans="1:1">
      <c r="A2118" s="55"/>
    </row>
    <row r="2119" spans="1:1">
      <c r="A2119" s="55"/>
    </row>
    <row r="2120" spans="1:1">
      <c r="A2120" s="55"/>
    </row>
    <row r="2121" spans="1:1">
      <c r="A2121" s="55"/>
    </row>
    <row r="2122" spans="1:1">
      <c r="A2122" s="55"/>
    </row>
    <row r="2123" spans="1:1">
      <c r="A2123" s="55"/>
    </row>
    <row r="2124" spans="1:1">
      <c r="A2124" s="55"/>
    </row>
    <row r="2125" spans="1:1">
      <c r="A2125" s="55"/>
    </row>
    <row r="2126" spans="1:1">
      <c r="A2126" s="55"/>
    </row>
    <row r="2127" spans="1:1">
      <c r="A2127" s="55"/>
    </row>
    <row r="2128" spans="1:1">
      <c r="A2128" s="55"/>
    </row>
    <row r="2129" spans="1:1">
      <c r="A2129" s="55"/>
    </row>
    <row r="2130" spans="1:1">
      <c r="A2130" s="55"/>
    </row>
    <row r="2131" spans="1:1">
      <c r="A2131" s="55"/>
    </row>
    <row r="2132" spans="1:1">
      <c r="A2132" s="55"/>
    </row>
    <row r="2133" spans="1:1">
      <c r="A2133" s="55"/>
    </row>
    <row r="2134" spans="1:1">
      <c r="A2134" s="55"/>
    </row>
    <row r="2135" spans="1:1">
      <c r="A2135" s="55"/>
    </row>
    <row r="2136" spans="1:1">
      <c r="A2136" s="55"/>
    </row>
    <row r="2137" spans="1:1">
      <c r="A2137" s="55"/>
    </row>
    <row r="2138" spans="1:1">
      <c r="A2138" s="55"/>
    </row>
    <row r="2139" spans="1:1">
      <c r="A2139" s="55"/>
    </row>
    <row r="2140" spans="1:1">
      <c r="A2140" s="55"/>
    </row>
    <row r="2141" spans="1:1">
      <c r="A2141" s="55"/>
    </row>
    <row r="2142" spans="1:1">
      <c r="A2142" s="55"/>
    </row>
    <row r="2143" spans="1:1">
      <c r="A2143" s="55"/>
    </row>
    <row r="2144" spans="1:1">
      <c r="A2144" s="55"/>
    </row>
    <row r="2145" spans="1:1">
      <c r="A2145" s="55"/>
    </row>
    <row r="2146" spans="1:1">
      <c r="A2146" s="55"/>
    </row>
    <row r="2147" spans="1:1">
      <c r="A2147" s="55"/>
    </row>
    <row r="2148" spans="1:1">
      <c r="A2148" s="55"/>
    </row>
    <row r="2149" spans="1:1">
      <c r="A2149" s="55"/>
    </row>
    <row r="2150" spans="1:1">
      <c r="A2150" s="55"/>
    </row>
    <row r="2151" spans="1:1">
      <c r="A2151" s="55"/>
    </row>
    <row r="2152" spans="1:1">
      <c r="A2152" s="55"/>
    </row>
    <row r="2153" spans="1:1">
      <c r="A2153" s="55"/>
    </row>
    <row r="2154" spans="1:1">
      <c r="A2154" s="55"/>
    </row>
    <row r="2155" spans="1:1">
      <c r="A2155" s="55"/>
    </row>
    <row r="2156" spans="1:1">
      <c r="A2156" s="55"/>
    </row>
    <row r="2157" spans="1:1">
      <c r="A2157" s="55"/>
    </row>
    <row r="2158" spans="1:1">
      <c r="A2158" s="55"/>
    </row>
    <row r="2159" spans="1:1">
      <c r="A2159" s="55"/>
    </row>
    <row r="2160" spans="1:1">
      <c r="A2160" s="55"/>
    </row>
    <row r="2161" spans="1:1">
      <c r="A2161" s="55"/>
    </row>
    <row r="2162" spans="1:1">
      <c r="A2162" s="55"/>
    </row>
    <row r="2163" spans="1:1">
      <c r="A2163" s="55"/>
    </row>
    <row r="2164" spans="1:1">
      <c r="A2164" s="55"/>
    </row>
    <row r="2165" spans="1:1">
      <c r="A2165" s="55"/>
    </row>
    <row r="2166" spans="1:1">
      <c r="A2166" s="55"/>
    </row>
    <row r="2167" spans="1:1">
      <c r="A2167" s="55"/>
    </row>
    <row r="2168" spans="1:1">
      <c r="A2168" s="55"/>
    </row>
    <row r="2169" spans="1:1">
      <c r="A2169" s="55"/>
    </row>
    <row r="2170" spans="1:1">
      <c r="A2170" s="55"/>
    </row>
    <row r="2171" spans="1:1">
      <c r="A2171" s="55"/>
    </row>
    <row r="2172" spans="1:1">
      <c r="A2172" s="55"/>
    </row>
    <row r="2173" spans="1:1">
      <c r="A2173" s="55"/>
    </row>
    <row r="2174" spans="1:1">
      <c r="A2174" s="55"/>
    </row>
    <row r="2175" spans="1:1">
      <c r="A2175" s="55"/>
    </row>
    <row r="2176" spans="1:1">
      <c r="A2176" s="55"/>
    </row>
    <row r="2177" spans="1:1">
      <c r="A2177" s="55"/>
    </row>
    <row r="2178" spans="1:1">
      <c r="A2178" s="55"/>
    </row>
    <row r="2179" spans="1:1">
      <c r="A2179" s="55"/>
    </row>
    <row r="2180" spans="1:1">
      <c r="A2180" s="55"/>
    </row>
    <row r="2181" spans="1:1">
      <c r="A2181" s="55"/>
    </row>
    <row r="2182" spans="1:1">
      <c r="A2182" s="55"/>
    </row>
    <row r="2183" spans="1:1">
      <c r="A2183" s="55"/>
    </row>
    <row r="2184" spans="1:1">
      <c r="A2184" s="55"/>
    </row>
    <row r="2185" spans="1:1">
      <c r="A2185" s="55"/>
    </row>
    <row r="2186" spans="1:1">
      <c r="A2186" s="55"/>
    </row>
    <row r="2187" spans="1:1">
      <c r="A2187" s="55"/>
    </row>
    <row r="2188" spans="1:1">
      <c r="A2188" s="55"/>
    </row>
    <row r="2189" spans="1:1">
      <c r="A2189" s="55"/>
    </row>
    <row r="2190" spans="1:1">
      <c r="A2190" s="55"/>
    </row>
    <row r="2191" spans="1:1">
      <c r="A2191" s="55"/>
    </row>
    <row r="2192" spans="1:1">
      <c r="A2192" s="55"/>
    </row>
    <row r="2193" spans="1:1">
      <c r="A2193" s="55"/>
    </row>
    <row r="2194" spans="1:1">
      <c r="A2194" s="55"/>
    </row>
    <row r="2195" spans="1:1">
      <c r="A2195" s="55"/>
    </row>
    <row r="2196" spans="1:1">
      <c r="A2196" s="55"/>
    </row>
    <row r="2197" spans="1:1">
      <c r="A2197" s="55"/>
    </row>
    <row r="2198" spans="1:1">
      <c r="A2198" s="55"/>
    </row>
    <row r="2199" spans="1:1">
      <c r="A2199" s="55"/>
    </row>
    <row r="2200" spans="1:1">
      <c r="A2200" s="55"/>
    </row>
    <row r="2201" spans="1:1">
      <c r="A2201" s="55"/>
    </row>
    <row r="2202" spans="1:1">
      <c r="A2202" s="55"/>
    </row>
    <row r="2203" spans="1:1">
      <c r="A2203" s="55"/>
    </row>
  </sheetData>
  <mergeCells count="39">
    <mergeCell ref="AF5:AG5"/>
    <mergeCell ref="C21:E21"/>
    <mergeCell ref="BD5:BE5"/>
    <mergeCell ref="C13:E13"/>
    <mergeCell ref="C14:E14"/>
    <mergeCell ref="C18:E18"/>
    <mergeCell ref="C19:E19"/>
    <mergeCell ref="C20:E20"/>
    <mergeCell ref="BF5:BG5"/>
    <mergeCell ref="C9:E9"/>
    <mergeCell ref="C10:E10"/>
    <mergeCell ref="C11:E11"/>
    <mergeCell ref="C12:E12"/>
    <mergeCell ref="AH5:AI5"/>
    <mergeCell ref="AQ5:AR5"/>
    <mergeCell ref="AS5:AT5"/>
    <mergeCell ref="AU5:AV5"/>
    <mergeCell ref="AW5:AY5"/>
    <mergeCell ref="BB5:BC5"/>
    <mergeCell ref="T5:U5"/>
    <mergeCell ref="V5:W5"/>
    <mergeCell ref="X5:Y5"/>
    <mergeCell ref="Z5:AB5"/>
    <mergeCell ref="AD5:AE5"/>
    <mergeCell ref="C22:E22"/>
    <mergeCell ref="C23:E23"/>
    <mergeCell ref="B39:F40"/>
    <mergeCell ref="T43:U43"/>
    <mergeCell ref="V43:W43"/>
    <mergeCell ref="BB43:BC43"/>
    <mergeCell ref="B44:F45"/>
    <mergeCell ref="B49:F50"/>
    <mergeCell ref="Z43:AB43"/>
    <mergeCell ref="AE43:AF43"/>
    <mergeCell ref="AQ43:AR43"/>
    <mergeCell ref="AS43:AT43"/>
    <mergeCell ref="AU43:AV43"/>
    <mergeCell ref="AW43:AY43"/>
    <mergeCell ref="X43:Y43"/>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05722-63D5-48AD-A447-06F42CC678F6}">
  <dimension ref="A1:AB92"/>
  <sheetViews>
    <sheetView zoomScaleNormal="100" workbookViewId="0">
      <selection activeCell="B4" sqref="B4"/>
    </sheetView>
  </sheetViews>
  <sheetFormatPr defaultColWidth="8.88671875" defaultRowHeight="15.6"/>
  <cols>
    <col min="1" max="1" width="3.5546875" style="52" customWidth="1"/>
    <col min="2" max="2" width="11.109375" style="52" customWidth="1"/>
    <col min="3" max="3" width="19.44140625" style="52" customWidth="1"/>
    <col min="4" max="4" width="23" style="52" customWidth="1"/>
    <col min="5" max="5" width="16.109375" style="52" customWidth="1"/>
    <col min="6" max="6" width="12.88671875" style="52" customWidth="1"/>
    <col min="7" max="7" width="16.6640625" style="52" bestFit="1" customWidth="1"/>
    <col min="8" max="8" width="12.88671875" style="52" customWidth="1"/>
    <col min="9" max="9" width="26.44140625" style="52" customWidth="1"/>
    <col min="10" max="10" width="12.88671875" style="52" customWidth="1"/>
    <col min="11" max="11" width="12.5546875" style="52" bestFit="1" customWidth="1"/>
    <col min="12" max="12" width="2.5546875" style="52" customWidth="1"/>
    <col min="13" max="13" width="54.33203125" style="4" customWidth="1"/>
    <col min="14" max="14" width="53.109375" style="4" bestFit="1" customWidth="1"/>
    <col min="15" max="16" width="19.33203125" style="4" bestFit="1" customWidth="1"/>
    <col min="17" max="17" width="14.88671875" style="4" customWidth="1"/>
    <col min="18" max="18" width="19.44140625" style="4" bestFit="1" customWidth="1"/>
    <col min="19" max="19" width="22" style="4" bestFit="1" customWidth="1"/>
    <col min="20" max="20" width="19.6640625" style="4" customWidth="1"/>
    <col min="21" max="21" width="14.88671875" style="4" customWidth="1"/>
    <col min="22" max="22" width="8.88671875" style="4"/>
    <col min="23" max="23" width="22" style="4" bestFit="1" customWidth="1"/>
    <col min="24" max="24" width="15" style="4" bestFit="1" customWidth="1"/>
    <col min="25" max="26" width="14" style="4" bestFit="1" customWidth="1"/>
    <col min="27" max="27" width="17.88671875" style="4" customWidth="1"/>
    <col min="28" max="28" width="13.6640625" style="4" bestFit="1" customWidth="1"/>
    <col min="29" max="29" width="11.33203125" style="4" bestFit="1" customWidth="1"/>
    <col min="30" max="16384" width="8.88671875" style="4"/>
  </cols>
  <sheetData>
    <row r="1" spans="1:24">
      <c r="A1" s="51" t="s">
        <v>33</v>
      </c>
      <c r="B1" s="51"/>
      <c r="M1" s="4" t="s">
        <v>33</v>
      </c>
    </row>
    <row r="2" spans="1:24">
      <c r="A2" s="51" t="s">
        <v>34</v>
      </c>
      <c r="B2" s="51"/>
      <c r="M2" s="4" t="s">
        <v>34</v>
      </c>
    </row>
    <row r="3" spans="1:24" ht="18.45" customHeight="1">
      <c r="A3" s="53"/>
    </row>
    <row r="4" spans="1:24" ht="18.45" customHeight="1">
      <c r="A4" s="51"/>
      <c r="M4" s="4" t="s">
        <v>35</v>
      </c>
      <c r="O4" s="54"/>
      <c r="U4"/>
      <c r="V4"/>
      <c r="W4"/>
      <c r="X4"/>
    </row>
    <row r="5" spans="1:24">
      <c r="A5" s="51"/>
      <c r="B5" s="55" t="s">
        <v>36</v>
      </c>
      <c r="C5" s="1566" t="s">
        <v>37</v>
      </c>
      <c r="D5" s="1566"/>
      <c r="E5" s="1566"/>
      <c r="F5" s="1566"/>
      <c r="G5" s="1566"/>
      <c r="H5" s="1566"/>
      <c r="I5" s="1566"/>
      <c r="J5" s="1566"/>
      <c r="K5" s="1566"/>
      <c r="U5"/>
      <c r="V5"/>
      <c r="W5"/>
      <c r="X5"/>
    </row>
    <row r="6" spans="1:24">
      <c r="N6" s="56"/>
      <c r="U6"/>
      <c r="V6"/>
      <c r="W6"/>
      <c r="X6"/>
    </row>
    <row r="7" spans="1:24">
      <c r="C7" s="57" t="s">
        <v>38</v>
      </c>
      <c r="O7" s="58"/>
      <c r="P7" s="54"/>
      <c r="R7" s="59"/>
      <c r="U7"/>
      <c r="V7"/>
      <c r="W7"/>
      <c r="X7"/>
    </row>
    <row r="8" spans="1:24" ht="15.6" customHeight="1">
      <c r="C8" s="1445" t="s">
        <v>39</v>
      </c>
      <c r="D8" s="1446"/>
      <c r="E8" s="1544" t="s">
        <v>40</v>
      </c>
      <c r="F8" s="1545"/>
      <c r="G8" s="1545"/>
      <c r="H8" s="1567"/>
      <c r="O8" s="58"/>
      <c r="P8" s="54"/>
      <c r="U8"/>
      <c r="V8"/>
      <c r="W8"/>
      <c r="X8"/>
    </row>
    <row r="9" spans="1:24" ht="15.6" customHeight="1">
      <c r="C9" s="1449"/>
      <c r="D9" s="1450"/>
      <c r="E9" s="1557"/>
      <c r="F9" s="1568"/>
      <c r="G9" s="1568"/>
      <c r="H9" s="1569"/>
      <c r="O9" s="58"/>
      <c r="P9" s="54"/>
      <c r="U9"/>
      <c r="V9"/>
      <c r="W9"/>
      <c r="X9"/>
    </row>
    <row r="10" spans="1:24">
      <c r="C10" s="1443" t="s">
        <v>41</v>
      </c>
      <c r="D10" s="1443"/>
      <c r="E10" s="1463" t="s">
        <v>42</v>
      </c>
      <c r="F10" s="1468"/>
      <c r="G10" s="1468"/>
      <c r="H10" s="1464"/>
      <c r="O10" s="58"/>
      <c r="U10"/>
      <c r="V10"/>
      <c r="W10"/>
      <c r="X10"/>
    </row>
    <row r="11" spans="1:24">
      <c r="C11" s="1443" t="s">
        <v>43</v>
      </c>
      <c r="D11" s="1443"/>
      <c r="E11" s="1463">
        <v>65</v>
      </c>
      <c r="F11" s="1468"/>
      <c r="G11" s="1468"/>
      <c r="H11" s="1464"/>
      <c r="O11" s="58"/>
      <c r="U11"/>
      <c r="V11"/>
      <c r="W11"/>
      <c r="X11"/>
    </row>
    <row r="12" spans="1:24" ht="111.6" customHeight="1">
      <c r="C12" s="1463" t="s">
        <v>44</v>
      </c>
      <c r="D12" s="1464"/>
      <c r="E12" s="1465" t="s">
        <v>45</v>
      </c>
      <c r="F12" s="1466"/>
      <c r="G12" s="1466"/>
      <c r="H12" s="1467"/>
      <c r="O12" s="58"/>
      <c r="U12"/>
      <c r="V12"/>
      <c r="W12"/>
      <c r="X12"/>
    </row>
    <row r="13" spans="1:24" ht="34.950000000000003" customHeight="1">
      <c r="C13" s="1443" t="s">
        <v>46</v>
      </c>
      <c r="D13" s="1443"/>
      <c r="E13" s="1465" t="s">
        <v>47</v>
      </c>
      <c r="F13" s="1466"/>
      <c r="G13" s="1466"/>
      <c r="H13" s="1467"/>
      <c r="O13" s="58"/>
      <c r="P13" s="54"/>
      <c r="U13"/>
      <c r="V13"/>
      <c r="W13"/>
      <c r="X13"/>
    </row>
    <row r="14" spans="1:24" ht="31.5" customHeight="1">
      <c r="C14" s="1443" t="s">
        <v>48</v>
      </c>
      <c r="D14" s="1443"/>
      <c r="E14" s="1465" t="s">
        <v>49</v>
      </c>
      <c r="F14" s="1466"/>
      <c r="G14" s="1466"/>
      <c r="H14" s="1467"/>
      <c r="O14" s="58"/>
      <c r="U14"/>
      <c r="V14"/>
      <c r="W14"/>
      <c r="X14"/>
    </row>
    <row r="15" spans="1:24">
      <c r="O15" s="58"/>
      <c r="U15"/>
      <c r="V15"/>
      <c r="W15"/>
      <c r="X15"/>
    </row>
    <row r="16" spans="1:24">
      <c r="C16" s="57" t="s">
        <v>50</v>
      </c>
      <c r="O16" s="58"/>
      <c r="P16" s="54"/>
      <c r="U16"/>
      <c r="V16"/>
      <c r="W16"/>
      <c r="X16"/>
    </row>
    <row r="17" spans="3:27">
      <c r="C17" s="1440" t="s">
        <v>51</v>
      </c>
      <c r="D17" s="1441"/>
      <c r="E17" s="62">
        <v>0.05</v>
      </c>
      <c r="F17" s="1570" t="s">
        <v>52</v>
      </c>
      <c r="G17" s="1570"/>
      <c r="H17" s="1571"/>
      <c r="O17" s="58"/>
      <c r="P17" s="54"/>
      <c r="U17"/>
      <c r="V17"/>
      <c r="W17"/>
      <c r="X17"/>
    </row>
    <row r="18" spans="3:27">
      <c r="C18" s="60" t="s">
        <v>53</v>
      </c>
      <c r="D18" s="61"/>
      <c r="E18" s="62">
        <v>0.03</v>
      </c>
      <c r="F18" s="63" t="s">
        <v>52</v>
      </c>
      <c r="G18" s="63"/>
      <c r="H18" s="64"/>
    </row>
    <row r="19" spans="3:27">
      <c r="C19" s="1445" t="s">
        <v>54</v>
      </c>
      <c r="D19" s="1446"/>
      <c r="E19" s="1572" t="s">
        <v>55</v>
      </c>
      <c r="F19" s="1572"/>
      <c r="G19" s="1572" t="s">
        <v>56</v>
      </c>
      <c r="H19" s="1572"/>
      <c r="I19" s="65"/>
      <c r="J19" s="65"/>
      <c r="O19" s="58"/>
    </row>
    <row r="20" spans="3:27">
      <c r="C20" s="1447"/>
      <c r="D20" s="1448"/>
      <c r="E20" s="1463">
        <v>62</v>
      </c>
      <c r="F20" s="1464"/>
      <c r="G20" s="1573">
        <v>0.5</v>
      </c>
      <c r="H20" s="1464"/>
      <c r="I20" s="65"/>
      <c r="J20" s="65"/>
      <c r="O20" s="58"/>
    </row>
    <row r="21" spans="3:27">
      <c r="C21" s="1447"/>
      <c r="D21" s="1448"/>
      <c r="E21" s="1443">
        <v>63</v>
      </c>
      <c r="F21" s="1443"/>
      <c r="G21" s="1574">
        <v>0.5</v>
      </c>
      <c r="H21" s="1574"/>
      <c r="I21" s="65"/>
      <c r="J21" s="65"/>
    </row>
    <row r="22" spans="3:27">
      <c r="C22" s="1447"/>
      <c r="D22" s="1448"/>
      <c r="E22" s="1443">
        <v>64</v>
      </c>
      <c r="F22" s="1443"/>
      <c r="G22" s="1574">
        <v>0.5</v>
      </c>
      <c r="H22" s="1574"/>
      <c r="I22" s="65"/>
      <c r="J22" s="65"/>
    </row>
    <row r="23" spans="3:27">
      <c r="C23" s="1449"/>
      <c r="D23" s="1450"/>
      <c r="E23" s="1443">
        <v>65</v>
      </c>
      <c r="F23" s="1443"/>
      <c r="G23" s="1574">
        <v>1</v>
      </c>
      <c r="H23" s="1443"/>
      <c r="I23" s="65"/>
      <c r="J23" s="65"/>
      <c r="N23" s="56"/>
      <c r="O23" s="58"/>
      <c r="Z23" s="59"/>
      <c r="AA23" s="59"/>
    </row>
    <row r="24" spans="3:27">
      <c r="C24" s="1576" t="s">
        <v>57</v>
      </c>
      <c r="D24" s="1550"/>
      <c r="E24" s="1572" t="s">
        <v>55</v>
      </c>
      <c r="F24" s="1572"/>
      <c r="G24" s="1579" t="s">
        <v>56</v>
      </c>
      <c r="H24" s="1580"/>
      <c r="I24" s="65"/>
      <c r="J24" s="65"/>
      <c r="O24" s="58"/>
    </row>
    <row r="25" spans="3:27">
      <c r="C25" s="1577"/>
      <c r="D25" s="1578"/>
      <c r="E25" s="1443">
        <v>45</v>
      </c>
      <c r="F25" s="1443"/>
      <c r="G25" s="1581">
        <v>0.02</v>
      </c>
      <c r="H25" s="1582"/>
      <c r="I25" s="65"/>
      <c r="J25" s="65"/>
      <c r="O25" s="58"/>
    </row>
    <row r="26" spans="3:27">
      <c r="C26" s="1577"/>
      <c r="D26" s="1578"/>
      <c r="E26" s="1463">
        <v>50</v>
      </c>
      <c r="F26" s="1464"/>
      <c r="G26" s="1583">
        <v>0.01</v>
      </c>
      <c r="H26" s="1582"/>
      <c r="I26" s="65"/>
      <c r="J26" s="65"/>
      <c r="O26" s="58"/>
      <c r="P26" s="54"/>
    </row>
    <row r="27" spans="3:27">
      <c r="C27" s="1440" t="s">
        <v>58</v>
      </c>
      <c r="D27" s="1441"/>
      <c r="E27" s="1440" t="s">
        <v>59</v>
      </c>
      <c r="F27" s="1442"/>
      <c r="G27" s="1442"/>
      <c r="H27" s="1441"/>
    </row>
    <row r="28" spans="3:27">
      <c r="C28" s="60" t="s">
        <v>60</v>
      </c>
      <c r="D28" s="61"/>
      <c r="E28" s="60" t="s">
        <v>61</v>
      </c>
      <c r="F28" s="70"/>
      <c r="G28" s="70"/>
      <c r="H28" s="61"/>
      <c r="N28" s="56"/>
      <c r="O28" s="59"/>
    </row>
    <row r="29" spans="3:27">
      <c r="C29" s="60" t="s">
        <v>62</v>
      </c>
      <c r="D29" s="61"/>
      <c r="E29" s="60" t="s">
        <v>63</v>
      </c>
      <c r="F29" s="70"/>
      <c r="G29" s="70"/>
      <c r="H29" s="61"/>
      <c r="O29" s="56"/>
      <c r="P29" s="71"/>
      <c r="R29" s="59"/>
      <c r="S29" s="72"/>
      <c r="T29" s="59"/>
      <c r="Z29" s="59"/>
    </row>
    <row r="30" spans="3:27">
      <c r="C30" s="1440" t="s">
        <v>64</v>
      </c>
      <c r="D30" s="1441"/>
      <c r="E30" s="1440" t="s">
        <v>65</v>
      </c>
      <c r="F30" s="1442"/>
      <c r="G30" s="1442"/>
      <c r="H30" s="1441"/>
      <c r="O30" s="58"/>
      <c r="P30" s="58"/>
      <c r="R30" s="59"/>
      <c r="S30" s="72"/>
      <c r="T30" s="59"/>
      <c r="X30" s="73"/>
      <c r="Z30" s="59"/>
      <c r="AA30" s="59"/>
    </row>
    <row r="31" spans="3:27">
      <c r="O31" s="58"/>
      <c r="P31" s="58"/>
      <c r="R31" s="59"/>
      <c r="S31" s="72"/>
      <c r="T31" s="59"/>
      <c r="X31" s="73"/>
      <c r="Z31" s="59"/>
      <c r="AA31" s="59"/>
    </row>
    <row r="32" spans="3:27">
      <c r="C32" s="57" t="s">
        <v>66</v>
      </c>
      <c r="G32" s="57"/>
      <c r="O32" s="58"/>
      <c r="P32" s="58"/>
      <c r="Q32" s="54"/>
      <c r="R32" s="59"/>
      <c r="S32" s="72"/>
      <c r="T32" s="59"/>
      <c r="Z32" s="59"/>
      <c r="AA32" s="59"/>
    </row>
    <row r="33" spans="3:27">
      <c r="C33" s="74"/>
      <c r="D33" s="75" t="s">
        <v>67</v>
      </c>
      <c r="E33" s="75" t="s">
        <v>68</v>
      </c>
      <c r="F33" s="76"/>
      <c r="J33" s="77"/>
      <c r="Q33" s="54"/>
    </row>
    <row r="34" spans="3:27">
      <c r="C34" s="74" t="s">
        <v>55</v>
      </c>
      <c r="D34" s="78">
        <v>62</v>
      </c>
      <c r="E34" s="78">
        <v>45</v>
      </c>
      <c r="F34" s="79"/>
      <c r="J34" s="80"/>
      <c r="P34" s="81"/>
      <c r="R34" s="59"/>
      <c r="S34" s="72"/>
      <c r="T34" s="59"/>
      <c r="Z34" s="59"/>
      <c r="AA34" s="59"/>
    </row>
    <row r="35" spans="3:27">
      <c r="C35" s="74" t="s">
        <v>69</v>
      </c>
      <c r="D35" s="78">
        <v>25</v>
      </c>
      <c r="E35" s="78">
        <v>5</v>
      </c>
      <c r="F35" s="79"/>
      <c r="J35" s="80"/>
      <c r="P35" s="81"/>
      <c r="R35" s="59"/>
      <c r="S35" s="72"/>
      <c r="T35" s="59"/>
      <c r="Z35" s="59"/>
      <c r="AA35" s="59"/>
    </row>
    <row r="36" spans="3:27">
      <c r="C36" s="74" t="s">
        <v>70</v>
      </c>
      <c r="D36" s="82">
        <v>85000</v>
      </c>
      <c r="E36" s="82">
        <v>60000</v>
      </c>
      <c r="F36" s="479"/>
      <c r="G36" s="83"/>
      <c r="J36" s="80"/>
      <c r="K36" s="83"/>
      <c r="N36" s="56"/>
      <c r="P36" s="81"/>
      <c r="R36" s="59"/>
      <c r="S36" s="72"/>
      <c r="T36" s="59"/>
      <c r="Z36" s="59"/>
      <c r="AA36" s="59"/>
    </row>
    <row r="37" spans="3:27">
      <c r="C37" s="74" t="s">
        <v>71</v>
      </c>
      <c r="D37" s="82">
        <v>90000</v>
      </c>
      <c r="E37" s="480" t="s">
        <v>72</v>
      </c>
      <c r="F37" s="479"/>
      <c r="G37" s="83"/>
      <c r="J37" s="80"/>
      <c r="K37" s="83"/>
      <c r="O37" s="58"/>
    </row>
    <row r="38" spans="3:27">
      <c r="F38" s="479"/>
      <c r="G38" s="84"/>
      <c r="I38" s="85"/>
      <c r="J38" s="86"/>
      <c r="K38" s="84"/>
      <c r="O38" s="58"/>
      <c r="P38" s="58"/>
      <c r="R38" s="54"/>
    </row>
    <row r="39" spans="3:27">
      <c r="G39" s="84"/>
      <c r="H39" s="481"/>
      <c r="I39" s="87"/>
      <c r="J39" s="86"/>
      <c r="K39" s="87"/>
    </row>
    <row r="40" spans="3:27">
      <c r="C40" s="88" t="s">
        <v>73</v>
      </c>
      <c r="D40" s="89"/>
      <c r="E40" s="80"/>
      <c r="F40" s="80"/>
      <c r="G40" s="80"/>
      <c r="H40" s="80"/>
      <c r="I40" s="80"/>
      <c r="J40" s="80"/>
      <c r="N40" s="56"/>
      <c r="P40" s="81"/>
      <c r="R40" s="59"/>
      <c r="S40" s="72"/>
      <c r="T40" s="59"/>
    </row>
    <row r="41" spans="3:27" ht="19.8">
      <c r="C41" s="90" t="s">
        <v>74</v>
      </c>
      <c r="D41" s="91">
        <v>14.3</v>
      </c>
      <c r="E41" s="90" t="s">
        <v>637</v>
      </c>
      <c r="F41" s="91">
        <v>2.8</v>
      </c>
      <c r="G41" s="80"/>
      <c r="H41" s="89"/>
      <c r="I41" s="80"/>
      <c r="J41" s="80"/>
      <c r="O41" s="59"/>
    </row>
    <row r="42" spans="3:27" ht="19.8">
      <c r="C42" s="90" t="s">
        <v>75</v>
      </c>
      <c r="D42" s="92">
        <v>14</v>
      </c>
      <c r="E42" s="90" t="s">
        <v>638</v>
      </c>
      <c r="F42" s="91">
        <v>1.9</v>
      </c>
      <c r="G42" s="80"/>
      <c r="H42" s="80"/>
      <c r="I42" s="80"/>
      <c r="J42" s="80"/>
      <c r="P42" s="81"/>
      <c r="R42" s="59"/>
      <c r="S42" s="72"/>
      <c r="T42" s="59"/>
      <c r="V42" s="93"/>
      <c r="X42" s="73"/>
      <c r="Z42" s="59"/>
      <c r="AA42" s="59"/>
    </row>
    <row r="43" spans="3:27" ht="19.8">
      <c r="C43" s="90" t="s">
        <v>76</v>
      </c>
      <c r="D43" s="92">
        <v>13.8</v>
      </c>
      <c r="E43" s="90" t="s">
        <v>637</v>
      </c>
      <c r="F43" s="91">
        <v>0.9</v>
      </c>
      <c r="G43" s="80"/>
      <c r="H43" s="80"/>
      <c r="I43" s="80"/>
      <c r="J43" s="80"/>
      <c r="P43" s="81"/>
      <c r="R43" s="59"/>
      <c r="S43" s="72"/>
      <c r="T43" s="59"/>
      <c r="V43" s="93"/>
      <c r="X43" s="73"/>
      <c r="Z43" s="59"/>
      <c r="AA43" s="59"/>
    </row>
    <row r="44" spans="3:27" ht="19.8">
      <c r="C44" s="90" t="s">
        <v>77</v>
      </c>
      <c r="D44" s="91">
        <v>13.5</v>
      </c>
      <c r="E44" s="80"/>
      <c r="F44" s="80"/>
      <c r="G44" s="80"/>
      <c r="H44" s="80"/>
      <c r="I44" s="80"/>
      <c r="J44" s="80"/>
      <c r="P44" s="81"/>
      <c r="R44" s="59"/>
      <c r="S44" s="72"/>
      <c r="T44" s="59"/>
      <c r="V44" s="93"/>
      <c r="Z44" s="94"/>
      <c r="AA44" s="59"/>
    </row>
    <row r="45" spans="3:27">
      <c r="G45" s="80"/>
      <c r="H45" s="80"/>
      <c r="I45" s="80"/>
      <c r="J45" s="80"/>
      <c r="Z45" s="59"/>
      <c r="AA45" s="54"/>
    </row>
    <row r="46" spans="3:27">
      <c r="C46" s="52" t="s">
        <v>78</v>
      </c>
      <c r="G46" s="80"/>
      <c r="H46" s="80"/>
      <c r="I46" s="80"/>
      <c r="J46" s="80"/>
    </row>
    <row r="47" spans="3:27">
      <c r="G47" s="80"/>
      <c r="H47" s="80"/>
      <c r="I47" s="80"/>
      <c r="J47" s="80"/>
      <c r="N47" s="56"/>
      <c r="P47" s="81"/>
      <c r="R47" s="59"/>
      <c r="S47" s="72"/>
      <c r="T47" s="59"/>
      <c r="AA47" s="59"/>
    </row>
    <row r="48" spans="3:27">
      <c r="C48" s="60"/>
      <c r="D48" s="61"/>
      <c r="E48" s="95" t="s">
        <v>67</v>
      </c>
      <c r="F48" s="95" t="s">
        <v>68</v>
      </c>
      <c r="G48" s="80"/>
      <c r="H48" s="80"/>
      <c r="I48" s="80"/>
      <c r="J48" s="80"/>
      <c r="O48" s="59"/>
    </row>
    <row r="49" spans="3:27">
      <c r="C49" s="1440" t="s">
        <v>79</v>
      </c>
      <c r="D49" s="1441"/>
      <c r="E49" s="82">
        <v>443825.84</v>
      </c>
      <c r="F49" s="82">
        <v>41448.269999999997</v>
      </c>
      <c r="G49" s="80"/>
      <c r="H49" s="80"/>
      <c r="I49" s="80"/>
      <c r="J49" s="80"/>
      <c r="P49" s="58"/>
      <c r="R49" s="59"/>
      <c r="S49" s="72"/>
      <c r="T49" s="59"/>
      <c r="Z49" s="59"/>
      <c r="AA49" s="59"/>
    </row>
    <row r="50" spans="3:27">
      <c r="C50" s="60" t="s">
        <v>80</v>
      </c>
      <c r="D50" s="61"/>
      <c r="E50" s="82">
        <v>17753.03</v>
      </c>
      <c r="F50" s="82">
        <v>8198.07</v>
      </c>
      <c r="G50" s="80"/>
      <c r="H50" s="80"/>
      <c r="I50" s="80"/>
      <c r="J50" s="80"/>
      <c r="P50" s="81"/>
      <c r="R50" s="59"/>
      <c r="S50" s="72"/>
      <c r="T50" s="59"/>
      <c r="Z50" s="59"/>
      <c r="AA50" s="59"/>
    </row>
    <row r="51" spans="3:27">
      <c r="C51" s="60" t="s">
        <v>81</v>
      </c>
      <c r="D51" s="61"/>
      <c r="E51" s="82">
        <v>484101.92</v>
      </c>
      <c r="F51" s="82" t="s">
        <v>72</v>
      </c>
      <c r="G51" s="80"/>
      <c r="H51" s="80"/>
      <c r="I51" s="80"/>
      <c r="J51" s="80"/>
      <c r="P51" s="81"/>
      <c r="R51" s="59"/>
      <c r="S51" s="72"/>
      <c r="T51" s="59"/>
      <c r="Z51" s="94"/>
      <c r="AA51" s="59"/>
    </row>
    <row r="52" spans="3:27">
      <c r="G52" s="80"/>
      <c r="H52" s="80"/>
      <c r="I52" s="80"/>
      <c r="J52" s="80"/>
      <c r="P52" s="81"/>
      <c r="R52" s="59"/>
      <c r="S52" s="72"/>
      <c r="T52" s="59"/>
      <c r="Z52" s="59"/>
      <c r="AA52" s="54"/>
    </row>
    <row r="53" spans="3:27">
      <c r="C53" s="52" t="s">
        <v>82</v>
      </c>
      <c r="D53" s="80"/>
      <c r="E53" s="80"/>
      <c r="F53" s="96">
        <v>26701.86</v>
      </c>
      <c r="G53" s="97" t="s">
        <v>83</v>
      </c>
      <c r="H53" s="80"/>
      <c r="I53" s="80"/>
      <c r="J53" s="80"/>
      <c r="N53" s="56"/>
      <c r="P53" s="81"/>
      <c r="R53" s="59"/>
      <c r="S53" s="72"/>
      <c r="T53" s="59"/>
      <c r="Z53" s="59"/>
      <c r="AA53" s="59"/>
    </row>
    <row r="54" spans="3:27">
      <c r="C54" s="80"/>
      <c r="D54" s="80"/>
      <c r="E54" s="80"/>
      <c r="F54" s="80"/>
      <c r="G54" s="80"/>
      <c r="H54" s="80"/>
      <c r="I54" s="80"/>
      <c r="J54" s="80"/>
      <c r="N54" s="56"/>
    </row>
    <row r="55" spans="3:27">
      <c r="C55" s="1575" t="s">
        <v>84</v>
      </c>
      <c r="D55" s="1575"/>
      <c r="E55" s="1575"/>
      <c r="F55" s="1575"/>
      <c r="G55" s="1575"/>
      <c r="H55" s="1575"/>
      <c r="I55" s="1575"/>
      <c r="J55" s="1575"/>
      <c r="K55" s="1575"/>
      <c r="O55" s="58"/>
      <c r="Z55" s="59"/>
      <c r="AA55" s="59"/>
    </row>
    <row r="56" spans="3:27">
      <c r="C56" s="98" t="s">
        <v>85</v>
      </c>
      <c r="D56" s="99"/>
      <c r="E56" s="91"/>
      <c r="F56" s="82">
        <v>9000</v>
      </c>
      <c r="G56" s="80"/>
      <c r="H56" s="80"/>
      <c r="I56" s="80"/>
      <c r="J56" s="80"/>
      <c r="O56" s="58"/>
      <c r="P56" s="58"/>
      <c r="Z56" s="59"/>
      <c r="AA56" s="59"/>
    </row>
    <row r="57" spans="3:27">
      <c r="C57" s="98" t="s">
        <v>86</v>
      </c>
      <c r="D57" s="99"/>
      <c r="E57" s="91"/>
      <c r="F57" s="482">
        <v>-33000</v>
      </c>
      <c r="G57" s="80"/>
      <c r="H57" s="100"/>
      <c r="I57" s="80"/>
      <c r="J57" s="100"/>
      <c r="O57" s="58"/>
      <c r="P57" s="58"/>
      <c r="Z57" s="59"/>
      <c r="AA57" s="59"/>
    </row>
    <row r="58" spans="3:27">
      <c r="C58" s="98" t="s">
        <v>87</v>
      </c>
      <c r="D58" s="99"/>
      <c r="E58" s="91"/>
      <c r="F58" s="82">
        <v>410000</v>
      </c>
      <c r="G58" s="80"/>
      <c r="H58" s="80"/>
      <c r="I58" s="80"/>
      <c r="J58" s="100"/>
      <c r="O58" s="58"/>
      <c r="P58" s="58"/>
      <c r="R58" s="54"/>
    </row>
    <row r="59" spans="3:27">
      <c r="C59" s="98" t="s">
        <v>88</v>
      </c>
      <c r="D59" s="99"/>
      <c r="E59" s="91"/>
      <c r="F59" s="82">
        <v>30000</v>
      </c>
      <c r="G59" s="80"/>
      <c r="H59" s="80"/>
      <c r="I59" s="80"/>
      <c r="J59" s="80"/>
    </row>
    <row r="60" spans="3:27">
      <c r="C60" s="98" t="s">
        <v>89</v>
      </c>
      <c r="D60" s="99"/>
      <c r="E60" s="91"/>
      <c r="F60" s="101">
        <v>0.15</v>
      </c>
      <c r="G60" s="80"/>
      <c r="H60" s="86"/>
      <c r="I60" s="86"/>
      <c r="J60" s="80"/>
    </row>
    <row r="61" spans="3:27">
      <c r="C61" s="98"/>
      <c r="D61" s="99"/>
      <c r="E61" s="91"/>
      <c r="F61" s="82"/>
      <c r="G61" s="80"/>
      <c r="H61" s="86"/>
      <c r="I61" s="86"/>
      <c r="J61" s="80"/>
      <c r="AA61" s="59"/>
    </row>
    <row r="62" spans="3:27">
      <c r="C62" s="98" t="s">
        <v>90</v>
      </c>
      <c r="D62" s="99"/>
      <c r="E62" s="91"/>
      <c r="F62" s="102">
        <v>0.04</v>
      </c>
      <c r="G62" s="80"/>
      <c r="H62" s="86"/>
      <c r="I62" s="86"/>
      <c r="J62" s="80"/>
    </row>
    <row r="63" spans="3:27">
      <c r="C63" s="103" t="s">
        <v>91</v>
      </c>
      <c r="D63" s="74"/>
      <c r="E63" s="74"/>
      <c r="F63" s="102" t="s">
        <v>92</v>
      </c>
      <c r="G63" s="80"/>
      <c r="H63" s="86"/>
      <c r="I63" s="86"/>
      <c r="J63" s="80"/>
      <c r="V63" s="104"/>
      <c r="AA63" s="59"/>
    </row>
    <row r="64" spans="3:27">
      <c r="C64" s="97"/>
      <c r="D64" s="80"/>
      <c r="E64" s="80"/>
      <c r="F64" s="105"/>
      <c r="G64" s="80"/>
      <c r="H64" s="86"/>
      <c r="I64" s="86"/>
      <c r="J64" s="80"/>
      <c r="V64" s="104"/>
      <c r="AA64" s="59"/>
    </row>
    <row r="65" spans="3:28">
      <c r="C65" s="97" t="s">
        <v>93</v>
      </c>
      <c r="D65" s="80"/>
      <c r="E65" s="80"/>
      <c r="F65" s="105"/>
      <c r="G65" s="80"/>
      <c r="H65" s="86"/>
      <c r="I65" s="86"/>
      <c r="J65" s="80"/>
      <c r="AA65" s="59"/>
    </row>
    <row r="66" spans="3:28">
      <c r="N66" s="106"/>
      <c r="O66" s="106"/>
      <c r="P66" s="106"/>
      <c r="Q66" s="106"/>
      <c r="AA66" s="59"/>
    </row>
    <row r="67" spans="3:28">
      <c r="C67" s="52" t="s">
        <v>94</v>
      </c>
      <c r="N67" s="106"/>
      <c r="O67" s="106"/>
      <c r="P67" s="106"/>
      <c r="Q67" s="106"/>
      <c r="AA67" s="59"/>
    </row>
    <row r="68" spans="3:28">
      <c r="C68" s="55"/>
      <c r="D68" s="107"/>
      <c r="N68" s="106"/>
      <c r="O68" s="108"/>
      <c r="P68" s="108"/>
      <c r="Q68" s="108"/>
    </row>
    <row r="69" spans="3:28" ht="15.6" customHeight="1">
      <c r="C69" s="109"/>
      <c r="D69" s="110"/>
      <c r="E69" s="110"/>
      <c r="F69" s="110"/>
      <c r="G69" s="110"/>
      <c r="H69" s="110"/>
      <c r="I69" s="111"/>
      <c r="J69" s="112"/>
      <c r="K69" s="112"/>
      <c r="L69" s="112"/>
      <c r="N69" s="106"/>
      <c r="O69" s="108"/>
      <c r="P69" s="106"/>
      <c r="Q69" s="113"/>
      <c r="AA69" s="59"/>
    </row>
    <row r="70" spans="3:28">
      <c r="C70" s="114" t="s">
        <v>95</v>
      </c>
      <c r="D70" s="115"/>
      <c r="E70" s="115"/>
      <c r="F70" s="115"/>
      <c r="G70" s="115"/>
      <c r="H70" s="115"/>
      <c r="I70" s="116"/>
      <c r="J70" s="112"/>
      <c r="K70" s="112"/>
      <c r="L70" s="112"/>
      <c r="N70" s="106"/>
      <c r="O70" s="108"/>
      <c r="P70" s="108"/>
      <c r="Q70" s="108"/>
    </row>
    <row r="71" spans="3:28">
      <c r="N71" s="106"/>
      <c r="O71" s="108"/>
      <c r="P71" s="108"/>
      <c r="Q71" s="108"/>
      <c r="V71" s="104"/>
      <c r="AA71" s="59"/>
      <c r="AB71" s="59"/>
    </row>
    <row r="72" spans="3:28">
      <c r="N72" s="106"/>
      <c r="O72" s="108"/>
      <c r="P72" s="108"/>
      <c r="Q72" s="108"/>
      <c r="V72" s="104"/>
      <c r="AA72" s="59"/>
    </row>
    <row r="73" spans="3:28">
      <c r="N73" s="106"/>
      <c r="O73" s="108"/>
      <c r="P73" s="108"/>
      <c r="Q73" s="108"/>
      <c r="AA73" s="59"/>
      <c r="AB73" s="59"/>
    </row>
    <row r="74" spans="3:28">
      <c r="N74" s="106"/>
      <c r="O74" s="108"/>
      <c r="P74" s="108"/>
      <c r="Q74" s="108"/>
      <c r="AA74" s="59"/>
      <c r="AB74" s="59"/>
    </row>
    <row r="75" spans="3:28">
      <c r="N75" s="106"/>
      <c r="O75" s="108"/>
      <c r="P75" s="108"/>
      <c r="Q75" s="108"/>
      <c r="T75" s="59"/>
      <c r="AA75" s="59"/>
      <c r="AB75" s="59"/>
    </row>
    <row r="76" spans="3:28">
      <c r="N76" s="106"/>
      <c r="O76" s="108"/>
      <c r="P76" s="108"/>
      <c r="Q76" s="108"/>
      <c r="S76" s="59"/>
      <c r="T76" s="59"/>
      <c r="AA76" s="59"/>
      <c r="AB76" s="59"/>
    </row>
    <row r="77" spans="3:28">
      <c r="N77" s="106"/>
      <c r="O77" s="108"/>
      <c r="P77" s="108"/>
      <c r="Q77" s="108"/>
      <c r="AB77" s="59"/>
    </row>
    <row r="78" spans="3:28">
      <c r="N78" s="106"/>
      <c r="O78" s="108"/>
      <c r="P78" s="117"/>
      <c r="Q78" s="106"/>
      <c r="AB78" s="59"/>
    </row>
    <row r="79" spans="3:28">
      <c r="N79" s="106"/>
      <c r="O79" s="108"/>
      <c r="P79" s="108"/>
      <c r="Q79" s="108"/>
    </row>
    <row r="80" spans="3:28">
      <c r="N80" s="106"/>
      <c r="O80" s="108"/>
      <c r="P80" s="108"/>
      <c r="Q80" s="108"/>
      <c r="AB80" s="59"/>
    </row>
    <row r="81" spans="14:28">
      <c r="N81" s="106"/>
      <c r="O81" s="108"/>
      <c r="P81" s="108"/>
      <c r="Q81" s="108"/>
    </row>
    <row r="82" spans="14:28">
      <c r="N82" s="106"/>
      <c r="O82" s="108"/>
      <c r="P82" s="108"/>
      <c r="Q82" s="108"/>
      <c r="AB82" s="59"/>
    </row>
    <row r="83" spans="14:28">
      <c r="AB83" s="59"/>
    </row>
    <row r="84" spans="14:28">
      <c r="AB84" s="59"/>
    </row>
    <row r="85" spans="14:28">
      <c r="AB85" s="59"/>
    </row>
    <row r="86" spans="14:28">
      <c r="AB86" s="59"/>
    </row>
    <row r="87" spans="14:28">
      <c r="AB87" s="59"/>
    </row>
    <row r="91" spans="14:28">
      <c r="O91" s="59"/>
      <c r="P91" s="59"/>
    </row>
    <row r="92" spans="14:28">
      <c r="O92" s="59"/>
      <c r="P92" s="59"/>
    </row>
  </sheetData>
  <mergeCells count="39">
    <mergeCell ref="C55:K55"/>
    <mergeCell ref="G22:H22"/>
    <mergeCell ref="E23:F23"/>
    <mergeCell ref="G23:H23"/>
    <mergeCell ref="C24:D26"/>
    <mergeCell ref="E24:F24"/>
    <mergeCell ref="G24:H24"/>
    <mergeCell ref="E25:F25"/>
    <mergeCell ref="G25:H25"/>
    <mergeCell ref="E26:F26"/>
    <mergeCell ref="G26:H26"/>
    <mergeCell ref="C27:D27"/>
    <mergeCell ref="E27:H27"/>
    <mergeCell ref="C30:D30"/>
    <mergeCell ref="E30:H30"/>
    <mergeCell ref="C49:D49"/>
    <mergeCell ref="C17:D17"/>
    <mergeCell ref="F17:H17"/>
    <mergeCell ref="C19:D23"/>
    <mergeCell ref="E19:F19"/>
    <mergeCell ref="G19:H19"/>
    <mergeCell ref="E20:F20"/>
    <mergeCell ref="G20:H20"/>
    <mergeCell ref="E21:F21"/>
    <mergeCell ref="G21:H21"/>
    <mergeCell ref="E22:F22"/>
    <mergeCell ref="C12:D12"/>
    <mergeCell ref="E12:H12"/>
    <mergeCell ref="C13:D13"/>
    <mergeCell ref="E13:H13"/>
    <mergeCell ref="C14:D14"/>
    <mergeCell ref="E14:H14"/>
    <mergeCell ref="C11:D11"/>
    <mergeCell ref="E11:H11"/>
    <mergeCell ref="C5:K5"/>
    <mergeCell ref="C8:D9"/>
    <mergeCell ref="E8:H9"/>
    <mergeCell ref="C10:D10"/>
    <mergeCell ref="E10:H10"/>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A2ABA-BC8A-4C40-9105-ED7BC533D64E}">
  <dimension ref="A1:AB93"/>
  <sheetViews>
    <sheetView zoomScale="87" zoomScaleNormal="90" workbookViewId="0">
      <selection activeCell="I20" sqref="I20"/>
    </sheetView>
  </sheetViews>
  <sheetFormatPr defaultColWidth="8.88671875" defaultRowHeight="15.6"/>
  <cols>
    <col min="1" max="1" width="3.5546875" style="52" customWidth="1"/>
    <col min="2" max="2" width="11.109375" style="52" customWidth="1"/>
    <col min="3" max="3" width="19.44140625" style="52" customWidth="1"/>
    <col min="4" max="4" width="20.109375" style="52" customWidth="1"/>
    <col min="5" max="5" width="16.109375" style="52" customWidth="1"/>
    <col min="6" max="6" width="12.88671875" style="52" customWidth="1"/>
    <col min="7" max="7" width="16.6640625" style="52" bestFit="1" customWidth="1"/>
    <col min="8" max="8" width="12.88671875" style="52" customWidth="1"/>
    <col min="9" max="9" width="26.44140625" style="52" customWidth="1"/>
    <col min="10" max="10" width="12.88671875" style="52" customWidth="1"/>
    <col min="11" max="11" width="12.5546875" style="52" bestFit="1" customWidth="1"/>
    <col min="12" max="12" width="2.5546875" style="52" customWidth="1"/>
    <col min="13" max="13" width="54.33203125" style="4" customWidth="1"/>
    <col min="14" max="14" width="53.109375" style="4" bestFit="1" customWidth="1"/>
    <col min="15" max="16" width="19.33203125" style="4" bestFit="1" customWidth="1"/>
    <col min="17" max="17" width="14.88671875" style="4" customWidth="1"/>
    <col min="18" max="18" width="19.44140625" style="4" bestFit="1" customWidth="1"/>
    <col min="19" max="19" width="22" style="4" bestFit="1" customWidth="1"/>
    <col min="20" max="20" width="19.6640625" style="4" customWidth="1"/>
    <col min="21" max="21" width="14.88671875" style="4" customWidth="1"/>
    <col min="22" max="22" width="8.88671875" style="4"/>
    <col min="23" max="23" width="22" style="4" bestFit="1" customWidth="1"/>
    <col min="24" max="24" width="15" style="4" bestFit="1" customWidth="1"/>
    <col min="25" max="26" width="14" style="4" bestFit="1" customWidth="1"/>
    <col min="27" max="27" width="17.88671875" style="4" customWidth="1"/>
    <col min="28" max="28" width="13.6640625" style="4" bestFit="1" customWidth="1"/>
    <col min="29" max="29" width="11.33203125" style="4" bestFit="1" customWidth="1"/>
    <col min="30" max="16384" width="8.88671875" style="4"/>
  </cols>
  <sheetData>
    <row r="1" spans="1:24">
      <c r="A1" s="51" t="s">
        <v>33</v>
      </c>
      <c r="B1" s="51"/>
      <c r="M1" s="4" t="s">
        <v>33</v>
      </c>
    </row>
    <row r="2" spans="1:24">
      <c r="A2" s="51" t="s">
        <v>34</v>
      </c>
      <c r="B2" s="51"/>
      <c r="M2" s="4" t="s">
        <v>34</v>
      </c>
    </row>
    <row r="3" spans="1:24" ht="18.45" customHeight="1">
      <c r="A3" s="53"/>
    </row>
    <row r="4" spans="1:24" ht="18.45" customHeight="1">
      <c r="A4" s="51"/>
      <c r="M4" s="4" t="s">
        <v>35</v>
      </c>
      <c r="N4" s="4" t="s">
        <v>96</v>
      </c>
      <c r="O4" s="54"/>
      <c r="U4"/>
      <c r="V4"/>
      <c r="W4"/>
      <c r="X4"/>
    </row>
    <row r="5" spans="1:24" ht="46.2" customHeight="1">
      <c r="A5" s="51"/>
      <c r="B5" s="55" t="s">
        <v>36</v>
      </c>
      <c r="C5" s="1566" t="s">
        <v>37</v>
      </c>
      <c r="D5" s="1566"/>
      <c r="E5" s="1566"/>
      <c r="F5" s="1566"/>
      <c r="G5" s="1566"/>
      <c r="H5" s="1566"/>
      <c r="I5" s="1566"/>
      <c r="J5" s="1566"/>
      <c r="K5" s="1566"/>
      <c r="U5"/>
      <c r="V5"/>
      <c r="W5"/>
      <c r="X5"/>
    </row>
    <row r="6" spans="1:24">
      <c r="N6" s="56" t="s">
        <v>97</v>
      </c>
      <c r="U6"/>
      <c r="V6"/>
      <c r="W6"/>
      <c r="X6"/>
    </row>
    <row r="7" spans="1:24">
      <c r="C7" s="57" t="s">
        <v>38</v>
      </c>
      <c r="M7" s="4" t="s">
        <v>98</v>
      </c>
      <c r="N7" s="4" t="s">
        <v>99</v>
      </c>
      <c r="O7" s="58">
        <f>F58*(1+E17)+(F59)*(1+E17/2)-F53</f>
        <v>434548.14</v>
      </c>
      <c r="P7" s="54"/>
      <c r="R7" s="59"/>
      <c r="U7"/>
      <c r="V7"/>
      <c r="W7"/>
      <c r="X7"/>
    </row>
    <row r="8" spans="1:24" ht="15.6" customHeight="1">
      <c r="C8" s="1445" t="s">
        <v>39</v>
      </c>
      <c r="D8" s="1446"/>
      <c r="E8" s="1544" t="s">
        <v>40</v>
      </c>
      <c r="F8" s="1545"/>
      <c r="G8" s="1545"/>
      <c r="H8" s="1567"/>
      <c r="N8" s="4" t="s">
        <v>100</v>
      </c>
      <c r="O8" s="58">
        <f>F58*(1+F60)+F59*(1+F60/2)-F53</f>
        <v>477048.13999999996</v>
      </c>
      <c r="P8" s="54"/>
      <c r="U8"/>
      <c r="V8"/>
      <c r="W8"/>
      <c r="X8"/>
    </row>
    <row r="9" spans="1:24" ht="15.6" customHeight="1">
      <c r="C9" s="1449"/>
      <c r="D9" s="1450"/>
      <c r="E9" s="1557"/>
      <c r="F9" s="1568"/>
      <c r="G9" s="1568"/>
      <c r="H9" s="1569"/>
      <c r="N9" s="4" t="s">
        <v>101</v>
      </c>
      <c r="O9" s="58">
        <f>O8-O7</f>
        <v>42499.999999999942</v>
      </c>
      <c r="P9" s="54"/>
      <c r="U9"/>
      <c r="V9"/>
      <c r="W9"/>
      <c r="X9"/>
    </row>
    <row r="10" spans="1:24">
      <c r="C10" s="1443" t="s">
        <v>41</v>
      </c>
      <c r="D10" s="1443"/>
      <c r="E10" s="1463" t="s">
        <v>42</v>
      </c>
      <c r="F10" s="1468"/>
      <c r="G10" s="1468"/>
      <c r="H10" s="1464"/>
      <c r="O10" s="58"/>
      <c r="U10"/>
      <c r="V10"/>
      <c r="W10"/>
      <c r="X10"/>
    </row>
    <row r="11" spans="1:24">
      <c r="C11" s="1443" t="s">
        <v>43</v>
      </c>
      <c r="D11" s="1443"/>
      <c r="E11" s="1463">
        <v>65</v>
      </c>
      <c r="F11" s="1468"/>
      <c r="G11" s="1468"/>
      <c r="H11" s="1464"/>
      <c r="N11" s="4" t="s">
        <v>102</v>
      </c>
      <c r="O11" s="58">
        <f>-2/3*F57-1/3*F56</f>
        <v>19000</v>
      </c>
      <c r="U11"/>
      <c r="V11"/>
      <c r="W11"/>
      <c r="X11"/>
    </row>
    <row r="12" spans="1:24" ht="111.6" customHeight="1">
      <c r="C12" s="1463" t="s">
        <v>44</v>
      </c>
      <c r="D12" s="1464"/>
      <c r="E12" s="1465" t="s">
        <v>45</v>
      </c>
      <c r="F12" s="1466"/>
      <c r="G12" s="1466"/>
      <c r="H12" s="1467"/>
      <c r="N12" s="4" t="s">
        <v>103</v>
      </c>
      <c r="O12" s="58">
        <f>O11+F58</f>
        <v>429000</v>
      </c>
      <c r="U12"/>
      <c r="V12"/>
      <c r="W12"/>
      <c r="X12"/>
    </row>
    <row r="13" spans="1:24" ht="34.950000000000003" customHeight="1">
      <c r="C13" s="1443" t="s">
        <v>46</v>
      </c>
      <c r="D13" s="1443"/>
      <c r="E13" s="1465" t="s">
        <v>47</v>
      </c>
      <c r="F13" s="1466"/>
      <c r="G13" s="1466"/>
      <c r="H13" s="1467"/>
      <c r="N13" s="4" t="s">
        <v>104</v>
      </c>
      <c r="O13" s="58">
        <f>(O12)*(1+E17)+(F59)*(1+E17/2)-F53</f>
        <v>454498.14</v>
      </c>
      <c r="P13" s="54"/>
      <c r="T13" s="59"/>
      <c r="U13"/>
      <c r="V13"/>
      <c r="W13"/>
      <c r="X13"/>
    </row>
    <row r="14" spans="1:24" ht="31.5" customHeight="1">
      <c r="C14" s="1443" t="s">
        <v>48</v>
      </c>
      <c r="D14" s="1443"/>
      <c r="E14" s="1465" t="s">
        <v>49</v>
      </c>
      <c r="F14" s="1466"/>
      <c r="G14" s="1466"/>
      <c r="H14" s="1467"/>
      <c r="M14" s="4" t="s">
        <v>105</v>
      </c>
      <c r="N14" s="4" t="s">
        <v>106</v>
      </c>
      <c r="O14" s="58">
        <f>O11*(1+$E$17)</f>
        <v>19950</v>
      </c>
      <c r="U14"/>
      <c r="V14"/>
      <c r="W14"/>
      <c r="X14"/>
    </row>
    <row r="15" spans="1:24">
      <c r="M15" s="4" t="s">
        <v>107</v>
      </c>
      <c r="N15" s="4" t="s">
        <v>108</v>
      </c>
      <c r="O15" s="58">
        <f>-F57*1/3-O9*2/3</f>
        <v>-17333.333333333296</v>
      </c>
      <c r="U15"/>
      <c r="V15"/>
      <c r="W15"/>
      <c r="X15"/>
    </row>
    <row r="16" spans="1:24">
      <c r="C16" s="57" t="s">
        <v>50</v>
      </c>
      <c r="N16" s="4" t="s">
        <v>109</v>
      </c>
      <c r="O16" s="58">
        <f>O8+O15</f>
        <v>459714.80666666664</v>
      </c>
      <c r="P16" s="54"/>
      <c r="U16"/>
      <c r="V16"/>
      <c r="W16"/>
      <c r="X16"/>
    </row>
    <row r="17" spans="3:27">
      <c r="C17" s="1440" t="s">
        <v>51</v>
      </c>
      <c r="D17" s="1441"/>
      <c r="E17" s="62">
        <v>0.05</v>
      </c>
      <c r="F17" s="1570" t="s">
        <v>52</v>
      </c>
      <c r="G17" s="1570"/>
      <c r="H17" s="1571"/>
      <c r="N17" s="4" t="s">
        <v>110</v>
      </c>
      <c r="O17" s="58">
        <f>O15-O14</f>
        <v>-37283.333333333299</v>
      </c>
      <c r="P17" s="54"/>
      <c r="U17"/>
      <c r="V17"/>
      <c r="W17"/>
      <c r="X17"/>
    </row>
    <row r="18" spans="3:27">
      <c r="C18" s="60" t="s">
        <v>53</v>
      </c>
      <c r="D18" s="61"/>
      <c r="E18" s="62">
        <v>0.03</v>
      </c>
      <c r="F18" s="63" t="s">
        <v>52</v>
      </c>
      <c r="G18" s="63"/>
      <c r="H18" s="64"/>
    </row>
    <row r="19" spans="3:27">
      <c r="C19" s="1445" t="s">
        <v>54</v>
      </c>
      <c r="D19" s="1446"/>
      <c r="E19" s="1572" t="s">
        <v>55</v>
      </c>
      <c r="F19" s="1572"/>
      <c r="G19" s="1572" t="s">
        <v>56</v>
      </c>
      <c r="H19" s="1572"/>
      <c r="I19" s="65"/>
      <c r="J19" s="65"/>
      <c r="N19" s="4" t="s">
        <v>111</v>
      </c>
      <c r="O19" s="58">
        <f>O17+O9</f>
        <v>5216.6666666666424</v>
      </c>
    </row>
    <row r="20" spans="3:27">
      <c r="C20" s="1447"/>
      <c r="D20" s="1448"/>
      <c r="E20" s="1463">
        <v>62</v>
      </c>
      <c r="F20" s="1464"/>
      <c r="G20" s="1573">
        <v>0.5</v>
      </c>
      <c r="H20" s="1464"/>
      <c r="I20" s="65"/>
      <c r="J20" s="65"/>
      <c r="N20" s="4" t="s">
        <v>112</v>
      </c>
      <c r="O20" s="58">
        <f>O16-O13</f>
        <v>5216.6666666666279</v>
      </c>
    </row>
    <row r="21" spans="3:27">
      <c r="C21" s="1447"/>
      <c r="D21" s="1448"/>
      <c r="E21" s="1443">
        <v>63</v>
      </c>
      <c r="F21" s="1443"/>
      <c r="G21" s="1574">
        <v>0.5</v>
      </c>
      <c r="H21" s="1574"/>
      <c r="I21" s="65"/>
      <c r="J21" s="65"/>
    </row>
    <row r="22" spans="3:27">
      <c r="C22" s="1447"/>
      <c r="D22" s="1448"/>
      <c r="E22" s="1443">
        <v>64</v>
      </c>
      <c r="F22" s="1443"/>
      <c r="G22" s="1574">
        <v>0.5</v>
      </c>
      <c r="H22" s="1574"/>
      <c r="I22" s="65"/>
      <c r="J22" s="65"/>
    </row>
    <row r="23" spans="3:27">
      <c r="C23" s="1449"/>
      <c r="D23" s="1450"/>
      <c r="E23" s="1443">
        <v>65</v>
      </c>
      <c r="F23" s="1443"/>
      <c r="G23" s="1574">
        <v>1</v>
      </c>
      <c r="H23" s="1443"/>
      <c r="I23" s="65"/>
      <c r="J23" s="65"/>
      <c r="N23" s="56" t="s">
        <v>113</v>
      </c>
      <c r="O23" s="58"/>
      <c r="Z23" s="59"/>
      <c r="AA23" s="59"/>
    </row>
    <row r="24" spans="3:27">
      <c r="C24" s="1576" t="s">
        <v>57</v>
      </c>
      <c r="D24" s="1550"/>
      <c r="E24" s="1572" t="s">
        <v>55</v>
      </c>
      <c r="F24" s="1572"/>
      <c r="G24" s="1579" t="s">
        <v>56</v>
      </c>
      <c r="H24" s="1580"/>
      <c r="I24" s="65"/>
      <c r="J24" s="65"/>
      <c r="N24" s="4" t="s">
        <v>114</v>
      </c>
      <c r="O24" s="58">
        <f>E50+F50</f>
        <v>25951.1</v>
      </c>
      <c r="R24" s="59"/>
      <c r="S24" s="59"/>
    </row>
    <row r="25" spans="3:27">
      <c r="C25" s="1577"/>
      <c r="D25" s="1578"/>
      <c r="E25" s="1443">
        <v>45</v>
      </c>
      <c r="F25" s="1443"/>
      <c r="G25" s="1581">
        <v>0.02</v>
      </c>
      <c r="H25" s="1582"/>
      <c r="I25" s="65"/>
      <c r="J25" s="65"/>
      <c r="N25" s="4" t="s">
        <v>115</v>
      </c>
      <c r="O25" s="58">
        <f>F59</f>
        <v>30000</v>
      </c>
    </row>
    <row r="26" spans="3:27">
      <c r="C26" s="1577"/>
      <c r="D26" s="1578"/>
      <c r="E26" s="1463">
        <v>50</v>
      </c>
      <c r="F26" s="1464"/>
      <c r="G26" s="1583">
        <v>0.01</v>
      </c>
      <c r="H26" s="1582"/>
      <c r="I26" s="65"/>
      <c r="J26" s="65"/>
      <c r="N26" s="4" t="s">
        <v>116</v>
      </c>
      <c r="O26" s="58">
        <f>O25-O24</f>
        <v>4048.9000000000015</v>
      </c>
      <c r="P26" s="54"/>
    </row>
    <row r="27" spans="3:27">
      <c r="C27" s="1440" t="s">
        <v>58</v>
      </c>
      <c r="D27" s="1441"/>
      <c r="E27" s="1440" t="s">
        <v>59</v>
      </c>
      <c r="F27" s="1442"/>
      <c r="G27" s="1442"/>
      <c r="H27" s="1441"/>
    </row>
    <row r="28" spans="3:27">
      <c r="C28" s="60" t="s">
        <v>60</v>
      </c>
      <c r="D28" s="61"/>
      <c r="E28" s="60" t="s">
        <v>61</v>
      </c>
      <c r="F28" s="70"/>
      <c r="G28" s="70"/>
      <c r="H28" s="61"/>
      <c r="N28" s="56" t="s">
        <v>117</v>
      </c>
      <c r="O28" s="59"/>
    </row>
    <row r="29" spans="3:27">
      <c r="C29" s="60" t="s">
        <v>62</v>
      </c>
      <c r="D29" s="61"/>
      <c r="E29" s="60" t="s">
        <v>63</v>
      </c>
      <c r="F29" s="70"/>
      <c r="G29" s="70"/>
      <c r="H29" s="61"/>
      <c r="O29" s="56" t="s">
        <v>67</v>
      </c>
      <c r="P29" s="71" t="s">
        <v>68</v>
      </c>
      <c r="R29" s="59"/>
      <c r="S29" s="72"/>
      <c r="T29" s="59"/>
      <c r="Z29" s="59"/>
    </row>
    <row r="30" spans="3:27">
      <c r="C30" s="1440" t="s">
        <v>64</v>
      </c>
      <c r="D30" s="1441"/>
      <c r="E30" s="1440" t="s">
        <v>65</v>
      </c>
      <c r="F30" s="1442"/>
      <c r="G30" s="1442"/>
      <c r="H30" s="1441"/>
      <c r="N30" s="4" t="s">
        <v>118</v>
      </c>
      <c r="O30" s="58">
        <f>E49</f>
        <v>443825.84</v>
      </c>
      <c r="P30" s="58">
        <f>F49</f>
        <v>41448.269999999997</v>
      </c>
      <c r="R30" s="59"/>
      <c r="S30" s="72"/>
      <c r="T30" s="59"/>
      <c r="X30" s="73"/>
      <c r="Z30" s="59"/>
      <c r="AA30" s="59"/>
    </row>
    <row r="31" spans="3:27">
      <c r="N31" s="4" t="s">
        <v>119</v>
      </c>
      <c r="O31" s="58">
        <f>E50</f>
        <v>17753.03</v>
      </c>
      <c r="P31" s="58">
        <f>F50</f>
        <v>8198.07</v>
      </c>
      <c r="R31" s="59"/>
      <c r="S31" s="72"/>
      <c r="T31" s="59"/>
      <c r="X31" s="73"/>
      <c r="Z31" s="59"/>
      <c r="AA31" s="59"/>
    </row>
    <row r="32" spans="3:27">
      <c r="C32" s="57" t="s">
        <v>66</v>
      </c>
      <c r="G32" s="57"/>
      <c r="M32" s="4" t="s">
        <v>120</v>
      </c>
      <c r="N32" s="4" t="s">
        <v>121</v>
      </c>
      <c r="O32" s="58">
        <f>(O30+O31)*(1+$E$17)</f>
        <v>484657.81349999999</v>
      </c>
      <c r="P32" s="58">
        <f>(P30+P31)*(1+$E$17)</f>
        <v>52128.656999999999</v>
      </c>
      <c r="Q32" s="54"/>
      <c r="R32" s="59"/>
      <c r="S32" s="72"/>
      <c r="T32" s="59"/>
      <c r="Z32" s="59"/>
      <c r="AA32" s="59"/>
    </row>
    <row r="33" spans="3:27">
      <c r="C33" s="74"/>
      <c r="D33" s="75" t="s">
        <v>67</v>
      </c>
      <c r="E33" s="75" t="s">
        <v>68</v>
      </c>
      <c r="F33" s="76"/>
      <c r="J33" s="77"/>
      <c r="Q33" s="54"/>
    </row>
    <row r="34" spans="3:27">
      <c r="C34" s="74" t="s">
        <v>55</v>
      </c>
      <c r="D34" s="78">
        <v>62</v>
      </c>
      <c r="E34" s="78">
        <v>45</v>
      </c>
      <c r="F34" s="79"/>
      <c r="J34" s="80"/>
      <c r="P34" s="81"/>
      <c r="R34" s="59"/>
      <c r="S34" s="72"/>
      <c r="T34" s="59"/>
      <c r="Z34" s="59"/>
      <c r="AA34" s="59"/>
    </row>
    <row r="35" spans="3:27">
      <c r="C35" s="74" t="s">
        <v>69</v>
      </c>
      <c r="D35" s="78">
        <v>25</v>
      </c>
      <c r="E35" s="78">
        <v>5</v>
      </c>
      <c r="F35" s="79"/>
      <c r="J35" s="80"/>
      <c r="P35" s="81"/>
      <c r="R35" s="59"/>
      <c r="S35" s="72"/>
      <c r="T35" s="59"/>
      <c r="Z35" s="59"/>
      <c r="AA35" s="59"/>
    </row>
    <row r="36" spans="3:27">
      <c r="C36" s="74" t="s">
        <v>70</v>
      </c>
      <c r="D36" s="82">
        <v>85000</v>
      </c>
      <c r="E36" s="82">
        <v>60000</v>
      </c>
      <c r="F36" s="118"/>
      <c r="G36" s="83"/>
      <c r="J36" s="80"/>
      <c r="K36" s="83"/>
      <c r="N36" s="56" t="s">
        <v>68</v>
      </c>
      <c r="O36" s="4" t="s">
        <v>122</v>
      </c>
      <c r="P36" s="81" t="s">
        <v>123</v>
      </c>
      <c r="Q36" s="4" t="s">
        <v>124</v>
      </c>
      <c r="R36" s="59"/>
      <c r="S36" s="72"/>
      <c r="T36" s="59"/>
      <c r="Z36" s="59"/>
      <c r="AA36" s="59"/>
    </row>
    <row r="37" spans="3:27">
      <c r="C37" s="74" t="s">
        <v>71</v>
      </c>
      <c r="D37" s="82">
        <v>90000</v>
      </c>
      <c r="E37" s="119" t="s">
        <v>72</v>
      </c>
      <c r="F37" s="118"/>
      <c r="G37" s="83"/>
      <c r="J37" s="80"/>
      <c r="K37" s="83"/>
      <c r="N37" s="4" t="s">
        <v>121</v>
      </c>
      <c r="O37" s="58">
        <f>P32</f>
        <v>52128.656999999999</v>
      </c>
    </row>
    <row r="38" spans="3:27">
      <c r="F38" s="118"/>
      <c r="G38" s="84"/>
      <c r="I38" s="85"/>
      <c r="J38" s="86"/>
      <c r="K38" s="84"/>
      <c r="N38" s="4" t="s">
        <v>125</v>
      </c>
      <c r="O38" s="58">
        <f>F53</f>
        <v>26701.86</v>
      </c>
      <c r="P38" s="58">
        <f>O37-O38</f>
        <v>25426.796999999999</v>
      </c>
      <c r="Q38" s="4" t="s">
        <v>126</v>
      </c>
      <c r="R38" s="54"/>
    </row>
    <row r="39" spans="3:27">
      <c r="G39" s="84"/>
      <c r="I39" s="87"/>
      <c r="J39" s="86"/>
      <c r="K39" s="87"/>
    </row>
    <row r="40" spans="3:27">
      <c r="C40" s="88" t="s">
        <v>73</v>
      </c>
      <c r="D40" s="89"/>
      <c r="E40" s="80"/>
      <c r="F40" s="80"/>
      <c r="G40" s="80"/>
      <c r="H40" s="80"/>
      <c r="I40" s="80"/>
      <c r="J40" s="80"/>
      <c r="N40" s="56" t="s">
        <v>127</v>
      </c>
      <c r="P40" s="81"/>
      <c r="R40" s="59"/>
      <c r="S40" s="72"/>
      <c r="T40" s="59"/>
    </row>
    <row r="41" spans="3:27" ht="19.8">
      <c r="C41" s="90" t="s">
        <v>74</v>
      </c>
      <c r="D41" s="91">
        <v>14.3</v>
      </c>
      <c r="E41" s="90" t="s">
        <v>128</v>
      </c>
      <c r="F41" s="91">
        <v>2.8</v>
      </c>
      <c r="G41" s="80"/>
      <c r="H41" s="89"/>
      <c r="I41" s="80"/>
      <c r="J41" s="80"/>
      <c r="N41" s="4" t="s">
        <v>55</v>
      </c>
      <c r="O41" s="59" t="s">
        <v>12</v>
      </c>
      <c r="P41" s="4" t="s">
        <v>13</v>
      </c>
      <c r="Q41" s="4" t="s">
        <v>129</v>
      </c>
      <c r="R41" s="4" t="s">
        <v>130</v>
      </c>
      <c r="S41" s="4" t="s">
        <v>131</v>
      </c>
      <c r="T41" s="4" t="s">
        <v>132</v>
      </c>
      <c r="U41" s="4" t="s">
        <v>133</v>
      </c>
      <c r="V41" s="4" t="s">
        <v>134</v>
      </c>
      <c r="W41" s="4" t="s">
        <v>135</v>
      </c>
      <c r="X41" s="4" t="s">
        <v>136</v>
      </c>
      <c r="Y41" s="4" t="s">
        <v>137</v>
      </c>
      <c r="Z41" s="4" t="s">
        <v>122</v>
      </c>
    </row>
    <row r="42" spans="3:27" ht="19.8">
      <c r="C42" s="90" t="s">
        <v>75</v>
      </c>
      <c r="D42" s="92">
        <v>14</v>
      </c>
      <c r="E42" s="90" t="s">
        <v>138</v>
      </c>
      <c r="F42" s="91">
        <v>1.9</v>
      </c>
      <c r="G42" s="80"/>
      <c r="H42" s="80"/>
      <c r="I42" s="80"/>
      <c r="J42" s="80"/>
      <c r="N42" s="4">
        <v>63</v>
      </c>
      <c r="O42" s="4">
        <v>0</v>
      </c>
      <c r="P42" s="81">
        <f>D36*(1+E18)</f>
        <v>87550</v>
      </c>
      <c r="Q42" s="4">
        <v>26</v>
      </c>
      <c r="R42" s="59">
        <f>0.015*P42*$Q$42</f>
        <v>34144.5</v>
      </c>
      <c r="S42" s="72">
        <f>(65-N42)*0.03</f>
        <v>0.06</v>
      </c>
      <c r="T42" s="59">
        <f>0.0075*P42*$Q$42</f>
        <v>17072.25</v>
      </c>
      <c r="U42" s="4">
        <v>1</v>
      </c>
      <c r="V42" s="93">
        <f>G21</f>
        <v>0.5</v>
      </c>
      <c r="W42" s="4">
        <f>(1+$E$17)^-O42</f>
        <v>1</v>
      </c>
      <c r="X42" s="73">
        <f>D42</f>
        <v>14</v>
      </c>
      <c r="Y42" s="4">
        <f>F42</f>
        <v>1.9</v>
      </c>
      <c r="Z42" s="59">
        <f>U42*V42*W42*(R42*(1-S42)*X42+T42*Y42)</f>
        <v>240889.44750000001</v>
      </c>
      <c r="AA42" s="59"/>
    </row>
    <row r="43" spans="3:27" ht="19.8">
      <c r="C43" s="90" t="s">
        <v>76</v>
      </c>
      <c r="D43" s="92">
        <v>13.8</v>
      </c>
      <c r="E43" s="90" t="s">
        <v>139</v>
      </c>
      <c r="F43" s="91">
        <v>0.9</v>
      </c>
      <c r="G43" s="80"/>
      <c r="H43" s="80"/>
      <c r="I43" s="80"/>
      <c r="J43" s="80"/>
      <c r="N43" s="4">
        <v>64</v>
      </c>
      <c r="O43" s="4">
        <v>1</v>
      </c>
      <c r="P43" s="81">
        <f>$P$42*(1+$E$18)^O43</f>
        <v>90176.5</v>
      </c>
      <c r="Q43" s="4">
        <f>Q42+1</f>
        <v>27</v>
      </c>
      <c r="R43" s="59">
        <f>0.015*P43*$Q$42</f>
        <v>35168.834999999999</v>
      </c>
      <c r="S43" s="72">
        <f>(65-N43)*0.03</f>
        <v>0.03</v>
      </c>
      <c r="T43" s="59">
        <f>0.0075*P43*$Q$42</f>
        <v>17584.4175</v>
      </c>
      <c r="U43" s="4">
        <f>U42*(1-V42)</f>
        <v>0.5</v>
      </c>
      <c r="V43" s="93">
        <f>G22</f>
        <v>0.5</v>
      </c>
      <c r="W43" s="4">
        <f>(1+$E$17)^-O43</f>
        <v>0.95238095238095233</v>
      </c>
      <c r="X43" s="73">
        <f>D43</f>
        <v>13.8</v>
      </c>
      <c r="Y43" s="4">
        <f>F43</f>
        <v>0.9</v>
      </c>
      <c r="Z43" s="59">
        <f>U43*V43*W43*(R43*(1-S43)*X43+T43*Y43)</f>
        <v>115856.19072857143</v>
      </c>
      <c r="AA43" s="59"/>
    </row>
    <row r="44" spans="3:27" ht="19.8">
      <c r="C44" s="90" t="s">
        <v>77</v>
      </c>
      <c r="D44" s="91">
        <v>13.5</v>
      </c>
      <c r="E44" s="80"/>
      <c r="F44" s="80"/>
      <c r="G44" s="80"/>
      <c r="H44" s="80"/>
      <c r="I44" s="80"/>
      <c r="J44" s="80"/>
      <c r="N44" s="4">
        <v>65</v>
      </c>
      <c r="O44" s="4">
        <v>2</v>
      </c>
      <c r="P44" s="81">
        <f>$P$42*(1+$E$18)^O44</f>
        <v>92881.794999999998</v>
      </c>
      <c r="Q44" s="4">
        <f>Q43+1</f>
        <v>28</v>
      </c>
      <c r="R44" s="59">
        <f>0.015*P44*$Q$42</f>
        <v>36223.900049999997</v>
      </c>
      <c r="S44" s="72">
        <f>(65-N44)*0.03</f>
        <v>0</v>
      </c>
      <c r="T44" s="59">
        <f>0.0075*P44*$Q$42</f>
        <v>18111.950024999998</v>
      </c>
      <c r="U44" s="4">
        <f>U43*(1-V43)</f>
        <v>0.25</v>
      </c>
      <c r="V44" s="93">
        <f>G23</f>
        <v>1</v>
      </c>
      <c r="W44" s="4">
        <f>(1+$E$17)^-O44</f>
        <v>0.90702947845804982</v>
      </c>
      <c r="X44" s="4">
        <f>D44</f>
        <v>13.5</v>
      </c>
      <c r="Y44" s="4">
        <f>Y32</f>
        <v>0</v>
      </c>
      <c r="Z44" s="94">
        <f>U44*V44*W44*(R44*(1-S44)*X44+T44*Y44)</f>
        <v>110889.48994897956</v>
      </c>
      <c r="AA44" s="59"/>
    </row>
    <row r="45" spans="3:27">
      <c r="G45" s="80"/>
      <c r="H45" s="80"/>
      <c r="I45" s="80"/>
      <c r="J45" s="80"/>
      <c r="Z45" s="59">
        <f>SUM(Z42:Z44)</f>
        <v>467635.12817755103</v>
      </c>
      <c r="AA45" s="54"/>
    </row>
    <row r="46" spans="3:27">
      <c r="C46" s="52" t="s">
        <v>78</v>
      </c>
      <c r="G46" s="80"/>
      <c r="H46" s="80"/>
      <c r="I46" s="80"/>
      <c r="J46" s="80"/>
    </row>
    <row r="47" spans="3:27">
      <c r="G47" s="80"/>
      <c r="H47" s="80"/>
      <c r="I47" s="80"/>
      <c r="J47" s="80"/>
      <c r="N47" s="56" t="s">
        <v>140</v>
      </c>
      <c r="P47" s="81"/>
      <c r="R47" s="59"/>
      <c r="S47" s="72"/>
      <c r="T47" s="59"/>
      <c r="AA47" s="59"/>
    </row>
    <row r="48" spans="3:27">
      <c r="C48" s="60"/>
      <c r="D48" s="61"/>
      <c r="E48" s="95" t="s">
        <v>67</v>
      </c>
      <c r="F48" s="95" t="s">
        <v>68</v>
      </c>
      <c r="G48" s="80"/>
      <c r="H48" s="80"/>
      <c r="I48" s="80"/>
      <c r="J48" s="80"/>
      <c r="N48" s="4" t="s">
        <v>55</v>
      </c>
      <c r="O48" s="59" t="s">
        <v>12</v>
      </c>
      <c r="P48" s="4" t="s">
        <v>13</v>
      </c>
      <c r="Q48" s="4" t="s">
        <v>129</v>
      </c>
      <c r="R48" s="4" t="s">
        <v>130</v>
      </c>
      <c r="S48" s="4" t="s">
        <v>131</v>
      </c>
      <c r="T48" s="4" t="s">
        <v>132</v>
      </c>
      <c r="U48" s="4" t="s">
        <v>133</v>
      </c>
      <c r="V48" s="4" t="s">
        <v>134</v>
      </c>
      <c r="W48" s="4" t="s">
        <v>135</v>
      </c>
      <c r="X48" s="4" t="s">
        <v>136</v>
      </c>
      <c r="Y48" s="4" t="s">
        <v>137</v>
      </c>
      <c r="Z48" s="4" t="s">
        <v>122</v>
      </c>
    </row>
    <row r="49" spans="3:27">
      <c r="C49" s="1440" t="s">
        <v>79</v>
      </c>
      <c r="D49" s="1441"/>
      <c r="E49" s="82">
        <v>443825.84</v>
      </c>
      <c r="F49" s="82">
        <v>41448.269999999997</v>
      </c>
      <c r="G49" s="80"/>
      <c r="H49" s="80"/>
      <c r="I49" s="80"/>
      <c r="J49" s="80"/>
      <c r="N49" s="4">
        <v>63</v>
      </c>
      <c r="O49" s="4">
        <v>0</v>
      </c>
      <c r="P49" s="58">
        <f>D37</f>
        <v>90000</v>
      </c>
      <c r="Q49" s="4">
        <v>26</v>
      </c>
      <c r="R49" s="59">
        <f>0.015*P49*$Q$42</f>
        <v>35100</v>
      </c>
      <c r="S49" s="72">
        <f>(65-N49)*0.03</f>
        <v>0.06</v>
      </c>
      <c r="T49" s="59">
        <f>0.0075*P49*$Q$42</f>
        <v>17550</v>
      </c>
      <c r="U49" s="4">
        <v>1</v>
      </c>
      <c r="V49" s="4">
        <f>V42</f>
        <v>0.5</v>
      </c>
      <c r="W49" s="4">
        <f>(1+$E$17)^-O49</f>
        <v>1</v>
      </c>
      <c r="X49" s="4">
        <f t="shared" ref="X49:Y51" si="0">X42</f>
        <v>14</v>
      </c>
      <c r="Y49" s="4">
        <f t="shared" si="0"/>
        <v>1.9</v>
      </c>
      <c r="Z49" s="59">
        <f>U49*V49*W49*(R49*(1-S49)*X49+T49*Y49)</f>
        <v>247630.5</v>
      </c>
      <c r="AA49" s="59"/>
    </row>
    <row r="50" spans="3:27">
      <c r="C50" s="60" t="s">
        <v>80</v>
      </c>
      <c r="D50" s="61"/>
      <c r="E50" s="82">
        <v>17753.03</v>
      </c>
      <c r="F50" s="82">
        <v>8198.07</v>
      </c>
      <c r="G50" s="80"/>
      <c r="H50" s="80"/>
      <c r="I50" s="80"/>
      <c r="J50" s="80"/>
      <c r="N50" s="4">
        <v>64</v>
      </c>
      <c r="O50" s="4">
        <v>1</v>
      </c>
      <c r="P50" s="81">
        <f>$P$49*(1+$E$18)^O50</f>
        <v>92700</v>
      </c>
      <c r="Q50" s="4">
        <f>Q49+1</f>
        <v>27</v>
      </c>
      <c r="R50" s="59">
        <f>0.015*P50*$Q$42</f>
        <v>36153</v>
      </c>
      <c r="S50" s="72">
        <f>(65-N50)*0.03</f>
        <v>0.03</v>
      </c>
      <c r="T50" s="59">
        <f>0.0075*P50*$Q$42</f>
        <v>18076.5</v>
      </c>
      <c r="U50" s="4">
        <f>U49*(1-V49)</f>
        <v>0.5</v>
      </c>
      <c r="V50" s="4">
        <f>V43</f>
        <v>0.5</v>
      </c>
      <c r="W50" s="4">
        <f>(1+$E$17)^-O50</f>
        <v>0.95238095238095233</v>
      </c>
      <c r="X50" s="4">
        <f t="shared" si="0"/>
        <v>13.8</v>
      </c>
      <c r="Y50" s="4">
        <f t="shared" si="0"/>
        <v>0.9</v>
      </c>
      <c r="Z50" s="59">
        <f>U50*V50*W50*(R50*(1-S50)*X50+T50*Y50)</f>
        <v>119098.31142857141</v>
      </c>
      <c r="AA50" s="59"/>
    </row>
    <row r="51" spans="3:27">
      <c r="C51" s="60" t="s">
        <v>81</v>
      </c>
      <c r="D51" s="61"/>
      <c r="E51" s="82">
        <v>484101.92</v>
      </c>
      <c r="F51" s="82" t="s">
        <v>72</v>
      </c>
      <c r="G51" s="80"/>
      <c r="H51" s="80"/>
      <c r="I51" s="80"/>
      <c r="J51" s="80"/>
      <c r="N51" s="4">
        <v>65</v>
      </c>
      <c r="O51" s="4">
        <v>2</v>
      </c>
      <c r="P51" s="81">
        <f>$P$49*(1+$E$18)^O51</f>
        <v>95481</v>
      </c>
      <c r="Q51" s="4">
        <f>Q50+1</f>
        <v>28</v>
      </c>
      <c r="R51" s="59">
        <f>0.015*P51*$Q$42</f>
        <v>37237.589999999997</v>
      </c>
      <c r="S51" s="72">
        <f>(65-N51)*0.03</f>
        <v>0</v>
      </c>
      <c r="T51" s="59">
        <f>0.0075*P51*$Q$42</f>
        <v>18618.794999999998</v>
      </c>
      <c r="U51" s="4">
        <f>U50*(1-V50)</f>
        <v>0.25</v>
      </c>
      <c r="V51" s="4">
        <f>V44</f>
        <v>1</v>
      </c>
      <c r="W51" s="4">
        <f>(1+$E$17)^-O51</f>
        <v>0.90702947845804982</v>
      </c>
      <c r="X51" s="4">
        <f t="shared" si="0"/>
        <v>13.5</v>
      </c>
      <c r="Y51" s="4">
        <f t="shared" si="0"/>
        <v>0</v>
      </c>
      <c r="Z51" s="94">
        <f>U51*V51*W51*(R51*(1-S51)*X51+T51*Y51)</f>
        <v>113992.62244897957</v>
      </c>
      <c r="AA51" s="59"/>
    </row>
    <row r="52" spans="3:27">
      <c r="G52" s="80"/>
      <c r="H52" s="80"/>
      <c r="I52" s="80"/>
      <c r="J52" s="80"/>
      <c r="P52" s="81"/>
      <c r="R52" s="59"/>
      <c r="S52" s="72"/>
      <c r="T52" s="59"/>
      <c r="Z52" s="59">
        <f>SUM(Z49:Z51)</f>
        <v>480721.433877551</v>
      </c>
      <c r="AA52" s="54"/>
    </row>
    <row r="53" spans="3:27">
      <c r="C53" s="52" t="s">
        <v>82</v>
      </c>
      <c r="D53" s="80"/>
      <c r="E53" s="80"/>
      <c r="F53" s="96">
        <v>26701.86</v>
      </c>
      <c r="G53" s="97" t="s">
        <v>83</v>
      </c>
      <c r="H53" s="80"/>
      <c r="I53" s="80"/>
      <c r="J53" s="80"/>
      <c r="N53" s="56"/>
      <c r="P53" s="81"/>
      <c r="R53" s="59"/>
      <c r="S53" s="72"/>
      <c r="T53" s="59"/>
      <c r="Z53" s="59"/>
      <c r="AA53" s="59"/>
    </row>
    <row r="54" spans="3:27">
      <c r="C54" s="80"/>
      <c r="D54" s="80"/>
      <c r="E54" s="80"/>
      <c r="F54" s="80"/>
      <c r="G54" s="80"/>
      <c r="H54" s="80"/>
      <c r="I54" s="80"/>
      <c r="J54" s="80"/>
      <c r="N54" s="56" t="s">
        <v>67</v>
      </c>
      <c r="O54" s="4" t="s">
        <v>122</v>
      </c>
      <c r="P54" s="4" t="s">
        <v>123</v>
      </c>
      <c r="Q54" s="4" t="s">
        <v>124</v>
      </c>
      <c r="Z54" s="59"/>
    </row>
    <row r="55" spans="3:27">
      <c r="C55" s="1575" t="s">
        <v>84</v>
      </c>
      <c r="D55" s="1575"/>
      <c r="E55" s="1575"/>
      <c r="F55" s="1575"/>
      <c r="G55" s="1575"/>
      <c r="H55" s="1575"/>
      <c r="I55" s="1575"/>
      <c r="J55" s="1575"/>
      <c r="K55" s="1575"/>
      <c r="N55" s="4" t="s">
        <v>121</v>
      </c>
      <c r="O55" s="58">
        <f>O32</f>
        <v>484657.81349999999</v>
      </c>
      <c r="Z55" s="59"/>
      <c r="AA55" s="59"/>
    </row>
    <row r="56" spans="3:27">
      <c r="C56" s="98" t="s">
        <v>85</v>
      </c>
      <c r="D56" s="99"/>
      <c r="E56" s="91"/>
      <c r="F56" s="82">
        <v>9000</v>
      </c>
      <c r="G56" s="80"/>
      <c r="H56" s="80"/>
      <c r="I56" s="80"/>
      <c r="J56" s="80"/>
      <c r="N56" s="4" t="s">
        <v>141</v>
      </c>
      <c r="O56" s="58">
        <f>Z45</f>
        <v>467635.12817755103</v>
      </c>
      <c r="P56" s="58">
        <f>O55-O56</f>
        <v>17022.685322448961</v>
      </c>
      <c r="Q56" s="4" t="s">
        <v>142</v>
      </c>
      <c r="Z56" s="59"/>
      <c r="AA56" s="59"/>
    </row>
    <row r="57" spans="3:27">
      <c r="C57" s="98" t="s">
        <v>86</v>
      </c>
      <c r="D57" s="99"/>
      <c r="E57" s="91"/>
      <c r="F57" s="82">
        <v>-33000</v>
      </c>
      <c r="G57" s="80"/>
      <c r="H57" s="100"/>
      <c r="I57" s="80"/>
      <c r="J57" s="100"/>
      <c r="N57" s="4" t="s">
        <v>143</v>
      </c>
      <c r="O57" s="58">
        <f>Z52</f>
        <v>480721.433877551</v>
      </c>
      <c r="P57" s="58">
        <f>O56-O57</f>
        <v>-13086.305699999968</v>
      </c>
      <c r="Q57" s="4" t="s">
        <v>13</v>
      </c>
      <c r="Z57" s="59"/>
      <c r="AA57" s="59"/>
    </row>
    <row r="58" spans="3:27">
      <c r="C58" s="98" t="s">
        <v>87</v>
      </c>
      <c r="D58" s="99"/>
      <c r="E58" s="91"/>
      <c r="F58" s="82">
        <v>410000</v>
      </c>
      <c r="G58" s="80"/>
      <c r="H58" s="80"/>
      <c r="I58" s="80"/>
      <c r="J58" s="100"/>
      <c r="N58" s="4" t="s">
        <v>125</v>
      </c>
      <c r="O58" s="58">
        <f>E51</f>
        <v>484101.92</v>
      </c>
      <c r="P58" s="58">
        <f>O57-O58</f>
        <v>-3380.4861224489869</v>
      </c>
      <c r="Q58" s="4" t="s">
        <v>144</v>
      </c>
      <c r="R58" s="54"/>
    </row>
    <row r="59" spans="3:27">
      <c r="C59" s="98" t="s">
        <v>88</v>
      </c>
      <c r="D59" s="99"/>
      <c r="E59" s="91"/>
      <c r="F59" s="82">
        <v>30000</v>
      </c>
      <c r="G59" s="80"/>
      <c r="H59" s="80"/>
      <c r="I59" s="80"/>
      <c r="J59" s="80"/>
    </row>
    <row r="60" spans="3:27">
      <c r="C60" s="98" t="s">
        <v>89</v>
      </c>
      <c r="D60" s="99"/>
      <c r="E60" s="91"/>
      <c r="F60" s="101">
        <v>0.15</v>
      </c>
      <c r="G60" s="80"/>
      <c r="H60" s="86"/>
      <c r="I60" s="86"/>
      <c r="J60" s="80"/>
      <c r="N60" s="4" t="s">
        <v>145</v>
      </c>
    </row>
    <row r="61" spans="3:27">
      <c r="C61" s="98"/>
      <c r="D61" s="99"/>
      <c r="E61" s="91"/>
      <c r="F61" s="82"/>
      <c r="G61" s="80"/>
      <c r="H61" s="86"/>
      <c r="I61" s="86"/>
      <c r="J61" s="80"/>
      <c r="N61" s="106"/>
      <c r="O61" s="106" t="s">
        <v>146</v>
      </c>
      <c r="P61" s="106" t="s">
        <v>147</v>
      </c>
      <c r="Q61" s="106" t="s">
        <v>148</v>
      </c>
      <c r="AA61" s="59"/>
    </row>
    <row r="62" spans="3:27">
      <c r="C62" s="98" t="s">
        <v>90</v>
      </c>
      <c r="D62" s="99"/>
      <c r="E62" s="91"/>
      <c r="F62" s="102">
        <v>0.04</v>
      </c>
      <c r="G62" s="80"/>
      <c r="H62" s="86"/>
      <c r="I62" s="86"/>
      <c r="J62" s="80"/>
      <c r="N62" s="106" t="s">
        <v>149</v>
      </c>
      <c r="O62" s="108">
        <f>Q62-P62</f>
        <v>56274.110000000044</v>
      </c>
      <c r="P62" s="108">
        <f>F58+O11</f>
        <v>429000</v>
      </c>
      <c r="Q62" s="108">
        <f>E49+F49</f>
        <v>485274.11000000004</v>
      </c>
    </row>
    <row r="63" spans="3:27">
      <c r="C63" s="103" t="s">
        <v>91</v>
      </c>
      <c r="D63" s="74"/>
      <c r="E63" s="74"/>
      <c r="F63" s="102" t="s">
        <v>92</v>
      </c>
      <c r="G63" s="80"/>
      <c r="H63" s="86"/>
      <c r="I63" s="86"/>
      <c r="J63" s="80"/>
      <c r="N63" s="106" t="s">
        <v>150</v>
      </c>
      <c r="O63" s="108">
        <f>Q63-P63</f>
        <v>25951.1</v>
      </c>
      <c r="P63" s="106">
        <v>0</v>
      </c>
      <c r="Q63" s="113">
        <f>E50+F50</f>
        <v>25951.1</v>
      </c>
      <c r="V63" s="104"/>
      <c r="AA63" s="59"/>
    </row>
    <row r="64" spans="3:27">
      <c r="C64" s="97"/>
      <c r="D64" s="80"/>
      <c r="E64" s="80"/>
      <c r="F64" s="105"/>
      <c r="G64" s="80"/>
      <c r="H64" s="86"/>
      <c r="I64" s="86"/>
      <c r="J64" s="80"/>
      <c r="N64" s="106" t="s">
        <v>113</v>
      </c>
      <c r="O64" s="108">
        <f>Q64-P64</f>
        <v>-30749.999999999996</v>
      </c>
      <c r="P64" s="108">
        <f>F59*(1+$E$17/2)</f>
        <v>30749.999999999996</v>
      </c>
      <c r="Q64" s="108">
        <v>0</v>
      </c>
      <c r="V64" s="104"/>
      <c r="AA64" s="59"/>
    </row>
    <row r="65" spans="3:28">
      <c r="C65" s="97" t="s">
        <v>93</v>
      </c>
      <c r="D65" s="80"/>
      <c r="E65" s="80"/>
      <c r="F65" s="105"/>
      <c r="G65" s="80"/>
      <c r="H65" s="86"/>
      <c r="I65" s="86"/>
      <c r="J65" s="80"/>
      <c r="N65" s="106" t="s">
        <v>151</v>
      </c>
      <c r="O65" s="108">
        <v>0</v>
      </c>
      <c r="P65" s="108">
        <f>-F53</f>
        <v>-26701.86</v>
      </c>
      <c r="Q65" s="108">
        <f>P65</f>
        <v>-26701.86</v>
      </c>
      <c r="AA65" s="59"/>
    </row>
    <row r="66" spans="3:28">
      <c r="C66" s="97"/>
      <c r="D66" s="80"/>
      <c r="E66" s="80"/>
      <c r="F66" s="105"/>
      <c r="G66" s="80"/>
      <c r="H66" s="86"/>
      <c r="I66" s="86"/>
      <c r="J66" s="80"/>
      <c r="N66" s="106" t="s">
        <v>152</v>
      </c>
      <c r="O66" s="108">
        <f t="shared" ref="O66:O77" si="1">Q66-P66</f>
        <v>4111.260500000004</v>
      </c>
      <c r="P66" s="108">
        <f>(P62+P63)*$E$17</f>
        <v>21450</v>
      </c>
      <c r="Q66" s="108">
        <f>(Q62+Q63)*$E$17</f>
        <v>25561.260500000004</v>
      </c>
      <c r="AA66" s="59"/>
    </row>
    <row r="67" spans="3:28">
      <c r="N67" s="106" t="s">
        <v>153</v>
      </c>
      <c r="O67" s="108">
        <f t="shared" si="1"/>
        <v>55586.470500000054</v>
      </c>
      <c r="P67" s="108">
        <f>P62+P66+P63+P64+P65</f>
        <v>454498.14</v>
      </c>
      <c r="Q67" s="108">
        <f>Q62+Q66+Q63+Q64+Q65</f>
        <v>510084.61050000007</v>
      </c>
      <c r="AA67" s="59"/>
    </row>
    <row r="68" spans="3:28">
      <c r="C68" s="52" t="s">
        <v>94</v>
      </c>
      <c r="N68" s="106" t="s">
        <v>142</v>
      </c>
      <c r="O68" s="108">
        <f t="shared" si="1"/>
        <v>-17022.685322448961</v>
      </c>
      <c r="P68" s="108">
        <v>0</v>
      </c>
      <c r="Q68" s="108">
        <f>-P56</f>
        <v>-17022.685322448961</v>
      </c>
      <c r="AA68" s="59"/>
    </row>
    <row r="69" spans="3:28">
      <c r="C69" s="55"/>
      <c r="D69" s="107"/>
      <c r="N69" s="106" t="s">
        <v>154</v>
      </c>
      <c r="O69" s="108">
        <f t="shared" si="1"/>
        <v>0</v>
      </c>
      <c r="P69" s="108">
        <v>0</v>
      </c>
      <c r="Q69" s="108">
        <v>0</v>
      </c>
    </row>
    <row r="70" spans="3:28" ht="15.6" customHeight="1">
      <c r="C70" s="109"/>
      <c r="D70" s="110"/>
      <c r="E70" s="110"/>
      <c r="F70" s="110"/>
      <c r="G70" s="110"/>
      <c r="H70" s="110"/>
      <c r="I70" s="111"/>
      <c r="J70" s="112"/>
      <c r="K70" s="112"/>
      <c r="L70" s="112"/>
      <c r="N70" s="106" t="s">
        <v>126</v>
      </c>
      <c r="O70" s="108">
        <f t="shared" si="1"/>
        <v>-25426.796999999999</v>
      </c>
      <c r="P70" s="108">
        <v>0</v>
      </c>
      <c r="Q70" s="108">
        <f>-P38</f>
        <v>-25426.796999999999</v>
      </c>
      <c r="AA70" s="59"/>
    </row>
    <row r="71" spans="3:28">
      <c r="C71" s="114" t="s">
        <v>95</v>
      </c>
      <c r="D71" s="115"/>
      <c r="E71" s="115"/>
      <c r="F71" s="115"/>
      <c r="G71" s="115"/>
      <c r="H71" s="115"/>
      <c r="I71" s="116"/>
      <c r="J71" s="112"/>
      <c r="K71" s="112"/>
      <c r="L71" s="112"/>
      <c r="N71" s="106" t="s">
        <v>13</v>
      </c>
      <c r="O71" s="108">
        <f t="shared" si="1"/>
        <v>13086.305699999968</v>
      </c>
      <c r="P71" s="108">
        <v>0</v>
      </c>
      <c r="Q71" s="108">
        <f>-P57</f>
        <v>13086.305699999968</v>
      </c>
    </row>
    <row r="72" spans="3:28">
      <c r="N72" s="106" t="s">
        <v>155</v>
      </c>
      <c r="O72" s="108">
        <f t="shared" si="1"/>
        <v>3380.4861224489869</v>
      </c>
      <c r="P72" s="108">
        <v>0</v>
      </c>
      <c r="Q72" s="108">
        <f>-P58</f>
        <v>3380.4861224489869</v>
      </c>
      <c r="V72" s="104"/>
      <c r="AA72" s="59"/>
      <c r="AB72" s="59"/>
    </row>
    <row r="73" spans="3:28">
      <c r="N73" s="106" t="s">
        <v>156</v>
      </c>
      <c r="O73" s="108">
        <f t="shared" si="1"/>
        <v>0</v>
      </c>
      <c r="P73" s="117">
        <f>0</f>
        <v>0</v>
      </c>
      <c r="Q73" s="106">
        <v>0</v>
      </c>
      <c r="V73" s="104"/>
      <c r="AA73" s="59"/>
    </row>
    <row r="74" spans="3:28">
      <c r="N74" s="106" t="s">
        <v>157</v>
      </c>
      <c r="O74" s="108">
        <f t="shared" si="1"/>
        <v>-42499.999999999942</v>
      </c>
      <c r="P74" s="108">
        <f>O9</f>
        <v>42499.999999999942</v>
      </c>
      <c r="Q74" s="108">
        <v>0</v>
      </c>
      <c r="AA74" s="59"/>
      <c r="AB74" s="59"/>
    </row>
    <row r="75" spans="3:28">
      <c r="N75" s="106" t="s">
        <v>158</v>
      </c>
      <c r="O75" s="108">
        <f t="shared" si="1"/>
        <v>37283.333333333299</v>
      </c>
      <c r="P75" s="108">
        <f>O17</f>
        <v>-37283.333333333299</v>
      </c>
      <c r="Q75" s="108">
        <v>0</v>
      </c>
      <c r="AA75" s="59"/>
      <c r="AB75" s="59"/>
    </row>
    <row r="76" spans="3:28">
      <c r="N76" s="106" t="s">
        <v>159</v>
      </c>
      <c r="O76" s="108">
        <f t="shared" si="1"/>
        <v>0</v>
      </c>
      <c r="P76" s="108">
        <f>P77-SUM(P67:P75)</f>
        <v>0</v>
      </c>
      <c r="Q76" s="108">
        <f>Q77-SUM(Q67:Q75)</f>
        <v>0</v>
      </c>
      <c r="T76" s="59"/>
      <c r="AA76" s="59"/>
      <c r="AB76" s="59"/>
    </row>
    <row r="77" spans="3:28">
      <c r="N77" s="106" t="s">
        <v>160</v>
      </c>
      <c r="O77" s="108">
        <f t="shared" si="1"/>
        <v>24387.113333333342</v>
      </c>
      <c r="P77" s="108">
        <f>O16</f>
        <v>459714.80666666664</v>
      </c>
      <c r="Q77" s="108">
        <f>E51</f>
        <v>484101.92</v>
      </c>
      <c r="S77" s="59"/>
      <c r="T77" s="59"/>
      <c r="AA77" s="59"/>
      <c r="AB77" s="59"/>
    </row>
    <row r="78" spans="3:28">
      <c r="AB78" s="59"/>
    </row>
    <row r="79" spans="3:28">
      <c r="AB79" s="59"/>
    </row>
    <row r="81" spans="15:28">
      <c r="AB81" s="59"/>
    </row>
    <row r="83" spans="15:28">
      <c r="AB83" s="59"/>
    </row>
    <row r="84" spans="15:28">
      <c r="AB84" s="59"/>
    </row>
    <row r="85" spans="15:28">
      <c r="AB85" s="59"/>
    </row>
    <row r="86" spans="15:28">
      <c r="AB86" s="59"/>
    </row>
    <row r="87" spans="15:28">
      <c r="AB87" s="59"/>
    </row>
    <row r="88" spans="15:28">
      <c r="AB88" s="59"/>
    </row>
    <row r="92" spans="15:28">
      <c r="O92" s="59"/>
      <c r="P92" s="59"/>
    </row>
    <row r="93" spans="15:28">
      <c r="O93" s="59"/>
      <c r="P93" s="59"/>
    </row>
  </sheetData>
  <mergeCells count="39">
    <mergeCell ref="C11:D11"/>
    <mergeCell ref="E11:H11"/>
    <mergeCell ref="C5:K5"/>
    <mergeCell ref="C8:D9"/>
    <mergeCell ref="E8:H9"/>
    <mergeCell ref="C10:D10"/>
    <mergeCell ref="E10:H10"/>
    <mergeCell ref="C12:D12"/>
    <mergeCell ref="E12:H12"/>
    <mergeCell ref="C13:D13"/>
    <mergeCell ref="E13:H13"/>
    <mergeCell ref="C14:D14"/>
    <mergeCell ref="E14:H14"/>
    <mergeCell ref="C17:D17"/>
    <mergeCell ref="F17:H17"/>
    <mergeCell ref="C19:D23"/>
    <mergeCell ref="E19:F19"/>
    <mergeCell ref="G19:H19"/>
    <mergeCell ref="E20:F20"/>
    <mergeCell ref="G20:H20"/>
    <mergeCell ref="E21:F21"/>
    <mergeCell ref="G21:H21"/>
    <mergeCell ref="E22:F22"/>
    <mergeCell ref="C55:K55"/>
    <mergeCell ref="G22:H22"/>
    <mergeCell ref="E23:F23"/>
    <mergeCell ref="G23:H23"/>
    <mergeCell ref="C24:D26"/>
    <mergeCell ref="E24:F24"/>
    <mergeCell ref="G24:H24"/>
    <mergeCell ref="E25:F25"/>
    <mergeCell ref="G25:H25"/>
    <mergeCell ref="E26:F26"/>
    <mergeCell ref="G26:H26"/>
    <mergeCell ref="C27:D27"/>
    <mergeCell ref="E27:H27"/>
    <mergeCell ref="C30:D30"/>
    <mergeCell ref="E30:H30"/>
    <mergeCell ref="C49:D4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84F57-A428-4225-B015-0B4B2F7E9E8F}">
  <sheetPr>
    <tabColor theme="1"/>
  </sheetPr>
  <dimension ref="A1"/>
  <sheetViews>
    <sheetView workbookViewId="0">
      <selection activeCell="M47" sqref="M47"/>
    </sheetView>
  </sheetViews>
  <sheetFormatPr defaultRowHeight="14.4"/>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67967-53BB-4548-86F3-8DF933DF3910}">
  <sheetPr>
    <tabColor theme="1"/>
  </sheetPr>
  <dimension ref="A1"/>
  <sheetViews>
    <sheetView workbookViewId="0">
      <selection activeCell="V44" sqref="V44"/>
    </sheetView>
  </sheetViews>
  <sheetFormatPr defaultRowHeight="14.4"/>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A2DC4-E7C0-45FD-BE36-FA6608DAA66E}">
  <dimension ref="A1:S72"/>
  <sheetViews>
    <sheetView workbookViewId="0">
      <selection activeCell="Q31" sqref="Q31"/>
    </sheetView>
  </sheetViews>
  <sheetFormatPr defaultColWidth="8.88671875" defaultRowHeight="15.6"/>
  <cols>
    <col min="1" max="1" width="3.5546875" style="483" customWidth="1"/>
    <col min="2" max="2" width="11.109375" style="483" bestFit="1" customWidth="1"/>
    <col min="3" max="3" width="15" style="483" customWidth="1"/>
    <col min="4" max="6" width="15.6640625" style="483" customWidth="1"/>
    <col min="7" max="7" width="17" style="483" customWidth="1"/>
    <col min="8" max="11" width="8.88671875" style="483"/>
    <col min="12" max="12" width="2.5546875" style="483" customWidth="1"/>
    <col min="13" max="16384" width="8.88671875" style="54"/>
  </cols>
  <sheetData>
    <row r="1" spans="1:19">
      <c r="A1" s="483" t="s">
        <v>682</v>
      </c>
      <c r="M1" s="54" t="s">
        <v>682</v>
      </c>
    </row>
    <row r="2" spans="1:19">
      <c r="A2" s="483" t="s">
        <v>373</v>
      </c>
      <c r="M2" s="54" t="s">
        <v>373</v>
      </c>
    </row>
    <row r="3" spans="1:19" ht="18.149999999999999" customHeight="1">
      <c r="A3" s="525"/>
    </row>
    <row r="4" spans="1:19" ht="18.149999999999999" customHeight="1">
      <c r="A4" s="525"/>
      <c r="M4" s="54" t="s">
        <v>681</v>
      </c>
    </row>
    <row r="5" spans="1:19">
      <c r="A5" s="525"/>
      <c r="B5" s="484" t="s">
        <v>220</v>
      </c>
      <c r="C5" s="484"/>
    </row>
    <row r="6" spans="1:19">
      <c r="A6" s="524"/>
    </row>
    <row r="7" spans="1:19">
      <c r="A7" s="506" t="s">
        <v>246</v>
      </c>
      <c r="B7" s="484" t="s">
        <v>680</v>
      </c>
      <c r="C7" s="506" t="s">
        <v>679</v>
      </c>
    </row>
    <row r="8" spans="1:19">
      <c r="A8" s="506"/>
    </row>
    <row r="9" spans="1:19">
      <c r="B9" s="523" t="s">
        <v>26</v>
      </c>
      <c r="C9" s="506" t="s">
        <v>678</v>
      </c>
    </row>
    <row r="10" spans="1:19" ht="15.6" customHeight="1">
      <c r="B10" s="522" t="s">
        <v>27</v>
      </c>
      <c r="C10" s="505" t="s">
        <v>540</v>
      </c>
      <c r="E10" s="505"/>
      <c r="F10" s="505"/>
      <c r="G10" s="505"/>
      <c r="H10" s="505"/>
      <c r="I10" s="505"/>
      <c r="J10" s="505"/>
    </row>
    <row r="11" spans="1:19" ht="15.6" customHeight="1">
      <c r="B11" s="522"/>
      <c r="C11" s="505"/>
      <c r="E11" s="505"/>
      <c r="F11" s="505"/>
      <c r="G11" s="505"/>
      <c r="H11" s="505"/>
      <c r="I11" s="505"/>
      <c r="J11" s="505"/>
    </row>
    <row r="12" spans="1:19" ht="15.6" customHeight="1">
      <c r="B12" s="522"/>
      <c r="C12" s="1593" t="s">
        <v>639</v>
      </c>
      <c r="D12" s="1594"/>
      <c r="E12" s="1594"/>
      <c r="F12" s="1594"/>
      <c r="G12" s="1594"/>
      <c r="H12" s="1595"/>
      <c r="I12" s="505"/>
      <c r="J12" s="505"/>
    </row>
    <row r="13" spans="1:19">
      <c r="B13" s="503"/>
      <c r="C13" s="503"/>
      <c r="D13" s="505"/>
      <c r="E13" s="505"/>
      <c r="F13" s="503"/>
      <c r="G13" s="503"/>
      <c r="H13" s="503"/>
      <c r="I13" s="503"/>
      <c r="J13" s="503"/>
    </row>
    <row r="14" spans="1:19" ht="15.15" customHeight="1">
      <c r="A14" s="483" t="s">
        <v>677</v>
      </c>
      <c r="B14" s="503"/>
      <c r="C14" s="503"/>
      <c r="D14" s="521"/>
      <c r="E14" s="503"/>
      <c r="F14" s="503"/>
      <c r="G14" s="503"/>
      <c r="H14" s="503"/>
      <c r="I14" s="503"/>
      <c r="J14" s="503"/>
    </row>
    <row r="15" spans="1:19">
      <c r="A15" s="506"/>
    </row>
    <row r="16" spans="1:19" ht="16.2" thickBot="1">
      <c r="A16" s="506"/>
      <c r="C16" s="1609" t="s">
        <v>676</v>
      </c>
      <c r="D16" s="1610"/>
      <c r="E16" s="1610"/>
      <c r="F16" s="1611"/>
      <c r="P16" s="1612"/>
      <c r="Q16" s="1612"/>
      <c r="R16" s="1612"/>
      <c r="S16" s="1612"/>
    </row>
    <row r="17" spans="1:19" ht="94.2" thickBot="1">
      <c r="B17" s="520"/>
      <c r="C17" s="519" t="s">
        <v>675</v>
      </c>
      <c r="D17" s="519" t="s">
        <v>674</v>
      </c>
      <c r="E17" s="519" t="s">
        <v>673</v>
      </c>
      <c r="F17" s="519" t="s">
        <v>672</v>
      </c>
      <c r="O17" s="511"/>
      <c r="P17" s="511"/>
      <c r="Q17" s="511"/>
      <c r="R17" s="511"/>
      <c r="S17" s="511"/>
    </row>
    <row r="18" spans="1:19" ht="31.8" thickBot="1">
      <c r="B18" s="514" t="s">
        <v>671</v>
      </c>
      <c r="C18" s="513">
        <v>10000000</v>
      </c>
      <c r="D18" s="518" t="s">
        <v>666</v>
      </c>
      <c r="E18" s="518" t="s">
        <v>666</v>
      </c>
      <c r="F18" s="518" t="s">
        <v>666</v>
      </c>
      <c r="O18" s="511"/>
      <c r="P18" s="511"/>
      <c r="Q18" s="517"/>
      <c r="R18" s="517"/>
      <c r="S18" s="517"/>
    </row>
    <row r="19" spans="1:19" ht="31.8" thickBot="1">
      <c r="B19" s="514" t="s">
        <v>670</v>
      </c>
      <c r="C19" s="518" t="s">
        <v>666</v>
      </c>
      <c r="D19" s="518" t="s">
        <v>666</v>
      </c>
      <c r="E19" s="516">
        <v>0.35</v>
      </c>
      <c r="F19" s="512" t="s">
        <v>666</v>
      </c>
      <c r="O19" s="511"/>
      <c r="P19" s="517"/>
      <c r="Q19" s="517"/>
      <c r="R19" s="515"/>
      <c r="S19" s="511"/>
    </row>
    <row r="20" spans="1:19" ht="31.8" thickBot="1">
      <c r="B20" s="514" t="s">
        <v>669</v>
      </c>
      <c r="C20" s="513">
        <v>5000000</v>
      </c>
      <c r="D20" s="516">
        <v>0.6</v>
      </c>
      <c r="E20" s="516">
        <v>0.15</v>
      </c>
      <c r="F20" s="516">
        <v>7.0000000000000007E-2</v>
      </c>
      <c r="O20" s="511"/>
      <c r="P20" s="511"/>
      <c r="Q20" s="515"/>
      <c r="R20" s="515"/>
      <c r="S20" s="515"/>
    </row>
    <row r="21" spans="1:19" ht="31.8" thickBot="1">
      <c r="B21" s="514" t="s">
        <v>668</v>
      </c>
      <c r="C21" s="513">
        <v>5000000</v>
      </c>
      <c r="D21" s="516">
        <v>0.4</v>
      </c>
      <c r="E21" s="516">
        <v>0.4</v>
      </c>
      <c r="F21" s="516">
        <v>0.03</v>
      </c>
      <c r="O21" s="511"/>
      <c r="P21" s="511"/>
      <c r="Q21" s="515"/>
      <c r="R21" s="515"/>
      <c r="S21" s="515"/>
    </row>
    <row r="22" spans="1:19" ht="47.4" thickBot="1">
      <c r="B22" s="514" t="s">
        <v>667</v>
      </c>
      <c r="C22" s="513">
        <v>500000</v>
      </c>
      <c r="D22" s="512" t="s">
        <v>666</v>
      </c>
      <c r="E22" s="512" t="s">
        <v>666</v>
      </c>
      <c r="F22" s="512" t="s">
        <v>666</v>
      </c>
      <c r="O22" s="511"/>
      <c r="P22" s="511"/>
      <c r="Q22" s="511"/>
      <c r="R22" s="511"/>
      <c r="S22" s="511"/>
    </row>
    <row r="23" spans="1:19">
      <c r="A23" s="502"/>
    </row>
    <row r="24" spans="1:19">
      <c r="A24" s="502"/>
      <c r="B24" s="510" t="s">
        <v>665</v>
      </c>
      <c r="C24" s="510"/>
    </row>
    <row r="25" spans="1:19">
      <c r="A25" s="502"/>
      <c r="B25" s="509" t="s">
        <v>664</v>
      </c>
      <c r="C25" s="509"/>
    </row>
    <row r="26" spans="1:19">
      <c r="A26" s="502"/>
      <c r="B26" s="509" t="s">
        <v>663</v>
      </c>
      <c r="C26" s="510"/>
    </row>
    <row r="27" spans="1:19">
      <c r="A27" s="502"/>
      <c r="B27" s="509" t="s">
        <v>662</v>
      </c>
      <c r="C27" s="509"/>
    </row>
    <row r="28" spans="1:19">
      <c r="A28" s="506"/>
      <c r="B28" s="484"/>
      <c r="C28" s="484"/>
    </row>
    <row r="29" spans="1:19">
      <c r="A29" s="506" t="s">
        <v>661</v>
      </c>
    </row>
    <row r="30" spans="1:19">
      <c r="A30" s="506" t="s">
        <v>660</v>
      </c>
    </row>
    <row r="31" spans="1:19">
      <c r="B31" s="508"/>
      <c r="C31" s="508"/>
      <c r="D31" s="508"/>
    </row>
    <row r="32" spans="1:19">
      <c r="A32" s="483" t="s">
        <v>6</v>
      </c>
      <c r="B32" s="507" t="s">
        <v>302</v>
      </c>
      <c r="C32" s="506" t="s">
        <v>659</v>
      </c>
      <c r="E32" s="505"/>
      <c r="F32" s="505"/>
      <c r="G32" s="505"/>
      <c r="H32" s="505"/>
      <c r="I32" s="505"/>
    </row>
    <row r="33" spans="1:10">
      <c r="B33" s="505"/>
      <c r="C33" s="505"/>
      <c r="E33" s="503"/>
      <c r="F33" s="503"/>
      <c r="G33" s="503"/>
      <c r="H33" s="503"/>
      <c r="I33" s="503"/>
    </row>
    <row r="34" spans="1:10">
      <c r="B34" s="505"/>
      <c r="C34" s="1613" t="s">
        <v>658</v>
      </c>
      <c r="D34" s="1614"/>
      <c r="E34" s="1614"/>
      <c r="F34" s="1614"/>
      <c r="G34" s="1615"/>
      <c r="H34" s="504"/>
      <c r="I34" s="504"/>
    </row>
    <row r="35" spans="1:10" ht="16.2" thickBot="1">
      <c r="B35" s="505"/>
      <c r="C35" s="505"/>
      <c r="D35" s="505"/>
      <c r="E35" s="504"/>
      <c r="F35" s="504"/>
      <c r="G35" s="504"/>
      <c r="H35" s="504"/>
      <c r="I35" s="504"/>
    </row>
    <row r="36" spans="1:10" ht="16.2" thickBot="1">
      <c r="B36" s="1603" t="s">
        <v>657</v>
      </c>
      <c r="C36" s="1604"/>
      <c r="D36" s="1604"/>
      <c r="E36" s="1604"/>
      <c r="F36" s="1604"/>
      <c r="G36" s="1605"/>
      <c r="H36" s="504"/>
      <c r="I36" s="504"/>
      <c r="J36" s="504"/>
    </row>
    <row r="37" spans="1:10" ht="16.2" thickBot="1">
      <c r="A37" s="503"/>
      <c r="B37" s="1606"/>
      <c r="C37" s="1607"/>
      <c r="D37" s="1607"/>
      <c r="E37" s="1607"/>
      <c r="F37" s="1607"/>
      <c r="G37" s="1608"/>
    </row>
    <row r="38" spans="1:10">
      <c r="A38" s="503"/>
      <c r="B38" s="497" t="s">
        <v>654</v>
      </c>
      <c r="C38" s="497"/>
      <c r="D38" s="1596" t="s">
        <v>653</v>
      </c>
      <c r="E38" s="1596" t="s">
        <v>652</v>
      </c>
      <c r="F38" s="1596" t="s">
        <v>651</v>
      </c>
      <c r="G38" s="1596" t="s">
        <v>650</v>
      </c>
    </row>
    <row r="39" spans="1:10" ht="16.2" thickBot="1">
      <c r="A39" s="502"/>
      <c r="B39" s="496" t="s">
        <v>656</v>
      </c>
      <c r="C39" s="496"/>
      <c r="D39" s="1597"/>
      <c r="E39" s="1597"/>
      <c r="F39" s="1597"/>
      <c r="G39" s="1597"/>
    </row>
    <row r="40" spans="1:10">
      <c r="A40" s="502"/>
      <c r="B40" s="1600"/>
      <c r="C40" s="1601"/>
      <c r="D40" s="1601"/>
      <c r="E40" s="1601"/>
      <c r="F40" s="1601"/>
      <c r="G40" s="1602"/>
    </row>
    <row r="41" spans="1:10" ht="16.2" thickBot="1">
      <c r="B41" s="1584" t="s">
        <v>648</v>
      </c>
      <c r="C41" s="1585"/>
      <c r="D41" s="1585"/>
      <c r="E41" s="1585"/>
      <c r="F41" s="1585"/>
      <c r="G41" s="1586"/>
    </row>
    <row r="42" spans="1:10" ht="16.2" thickBot="1">
      <c r="A42" s="501"/>
      <c r="B42" s="493" t="s">
        <v>645</v>
      </c>
      <c r="C42" s="491"/>
      <c r="D42" s="498"/>
      <c r="E42" s="498"/>
      <c r="F42" s="486"/>
      <c r="G42" s="486"/>
    </row>
    <row r="43" spans="1:10" ht="16.2" thickBot="1">
      <c r="B43" s="494" t="s">
        <v>644</v>
      </c>
      <c r="C43" s="491"/>
      <c r="D43" s="498"/>
      <c r="E43" s="498"/>
      <c r="F43" s="486"/>
      <c r="G43" s="486"/>
    </row>
    <row r="44" spans="1:10" ht="16.8" thickBot="1">
      <c r="A44" s="500"/>
      <c r="B44" s="488" t="s">
        <v>647</v>
      </c>
      <c r="C44" s="487"/>
      <c r="D44" s="498"/>
      <c r="E44" s="498"/>
      <c r="F44" s="498"/>
      <c r="G44" s="498"/>
    </row>
    <row r="45" spans="1:10">
      <c r="B45" s="1587"/>
      <c r="C45" s="1588"/>
      <c r="D45" s="1588"/>
      <c r="E45" s="1588"/>
      <c r="F45" s="1588"/>
      <c r="G45" s="1589"/>
    </row>
    <row r="46" spans="1:10" ht="16.2" thickBot="1">
      <c r="B46" s="1590" t="s">
        <v>646</v>
      </c>
      <c r="C46" s="1591"/>
      <c r="D46" s="1591"/>
      <c r="E46" s="1591"/>
      <c r="F46" s="1591"/>
      <c r="G46" s="1592"/>
    </row>
    <row r="47" spans="1:10" ht="16.2" thickBot="1">
      <c r="B47" s="493" t="s">
        <v>645</v>
      </c>
      <c r="C47" s="491"/>
      <c r="D47" s="498"/>
      <c r="E47" s="498"/>
      <c r="F47" s="498"/>
      <c r="G47" s="498"/>
    </row>
    <row r="48" spans="1:10" ht="16.2" thickBot="1">
      <c r="B48" s="492" t="s">
        <v>644</v>
      </c>
      <c r="C48" s="491"/>
      <c r="D48" s="498"/>
      <c r="E48" s="498"/>
      <c r="F48" s="498"/>
      <c r="G48" s="498"/>
    </row>
    <row r="49" spans="2:7" ht="16.2" thickBot="1">
      <c r="B49" s="488" t="s">
        <v>643</v>
      </c>
      <c r="C49" s="487"/>
      <c r="D49" s="498"/>
      <c r="E49" s="486"/>
      <c r="F49" s="486"/>
      <c r="G49" s="498"/>
    </row>
    <row r="50" spans="2:7" ht="16.2" thickBot="1">
      <c r="B50" s="499"/>
      <c r="C50" s="489"/>
      <c r="D50" s="486"/>
      <c r="E50" s="486"/>
      <c r="F50" s="486"/>
      <c r="G50" s="486"/>
    </row>
    <row r="51" spans="2:7" ht="16.2" thickBot="1">
      <c r="B51" s="488" t="s">
        <v>642</v>
      </c>
      <c r="C51" s="487"/>
      <c r="D51" s="498"/>
      <c r="E51" s="486"/>
      <c r="F51" s="486"/>
      <c r="G51" s="498"/>
    </row>
    <row r="52" spans="2:7" ht="16.2" thickBot="1"/>
    <row r="53" spans="2:7" ht="16.2" thickBot="1">
      <c r="B53" s="1603" t="s">
        <v>655</v>
      </c>
      <c r="C53" s="1604"/>
      <c r="D53" s="1604"/>
      <c r="E53" s="1604"/>
      <c r="F53" s="1604"/>
      <c r="G53" s="1605"/>
    </row>
    <row r="54" spans="2:7" ht="16.2" thickBot="1">
      <c r="B54" s="1606"/>
      <c r="C54" s="1607"/>
      <c r="D54" s="1607"/>
      <c r="E54" s="1607"/>
      <c r="F54" s="1607"/>
      <c r="G54" s="1608"/>
    </row>
    <row r="55" spans="2:7">
      <c r="B55" s="497" t="s">
        <v>654</v>
      </c>
      <c r="C55" s="497"/>
      <c r="D55" s="1596" t="s">
        <v>653</v>
      </c>
      <c r="E55" s="1596" t="s">
        <v>652</v>
      </c>
      <c r="F55" s="1596" t="s">
        <v>651</v>
      </c>
      <c r="G55" s="1596" t="s">
        <v>650</v>
      </c>
    </row>
    <row r="56" spans="2:7" ht="16.2" thickBot="1">
      <c r="B56" s="1598" t="s">
        <v>649</v>
      </c>
      <c r="C56" s="1599"/>
      <c r="D56" s="1597"/>
      <c r="E56" s="1597"/>
      <c r="F56" s="1597"/>
      <c r="G56" s="1597"/>
    </row>
    <row r="57" spans="2:7">
      <c r="B57" s="1600"/>
      <c r="C57" s="1601"/>
      <c r="D57" s="1601"/>
      <c r="E57" s="1601"/>
      <c r="F57" s="1601"/>
      <c r="G57" s="1602"/>
    </row>
    <row r="58" spans="2:7" ht="16.2" thickBot="1">
      <c r="B58" s="1584" t="s">
        <v>648</v>
      </c>
      <c r="C58" s="1585"/>
      <c r="D58" s="1585"/>
      <c r="E58" s="1585"/>
      <c r="F58" s="1585"/>
      <c r="G58" s="1586"/>
    </row>
    <row r="59" spans="2:7" ht="16.2" thickBot="1">
      <c r="B59" s="493" t="s">
        <v>645</v>
      </c>
      <c r="C59" s="491"/>
      <c r="D59" s="495">
        <v>0</v>
      </c>
      <c r="E59" s="495">
        <v>0</v>
      </c>
      <c r="F59" s="486"/>
      <c r="G59" s="486"/>
    </row>
    <row r="60" spans="2:7" ht="16.2" thickBot="1">
      <c r="B60" s="494" t="s">
        <v>644</v>
      </c>
      <c r="C60" s="491"/>
      <c r="D60" s="485"/>
      <c r="E60" s="485"/>
      <c r="F60" s="486"/>
      <c r="G60" s="486"/>
    </row>
    <row r="61" spans="2:7" ht="16.2" thickBot="1">
      <c r="B61" s="488" t="s">
        <v>647</v>
      </c>
      <c r="C61" s="487"/>
      <c r="D61" s="485"/>
      <c r="E61" s="485"/>
      <c r="F61" s="485"/>
      <c r="G61" s="485"/>
    </row>
    <row r="62" spans="2:7">
      <c r="B62" s="1587"/>
      <c r="C62" s="1588"/>
      <c r="D62" s="1588"/>
      <c r="E62" s="1588"/>
      <c r="F62" s="1588"/>
      <c r="G62" s="1589"/>
    </row>
    <row r="63" spans="2:7" ht="16.2" thickBot="1">
      <c r="B63" s="1590" t="s">
        <v>646</v>
      </c>
      <c r="C63" s="1591"/>
      <c r="D63" s="1591"/>
      <c r="E63" s="1591"/>
      <c r="F63" s="1591"/>
      <c r="G63" s="1592"/>
    </row>
    <row r="64" spans="2:7" ht="16.2" thickBot="1">
      <c r="B64" s="493" t="s">
        <v>645</v>
      </c>
      <c r="C64" s="491"/>
      <c r="D64" s="485"/>
      <c r="E64" s="485"/>
      <c r="F64" s="485"/>
      <c r="G64" s="485"/>
    </row>
    <row r="65" spans="1:8" ht="16.2" thickBot="1">
      <c r="B65" s="492" t="s">
        <v>644</v>
      </c>
      <c r="C65" s="491"/>
      <c r="D65" s="485"/>
      <c r="E65" s="485"/>
      <c r="F65" s="485"/>
      <c r="G65" s="485"/>
    </row>
    <row r="66" spans="1:8" ht="16.2" thickBot="1">
      <c r="B66" s="488" t="s">
        <v>643</v>
      </c>
      <c r="C66" s="487"/>
      <c r="D66" s="485"/>
      <c r="E66" s="486"/>
      <c r="F66" s="486"/>
      <c r="G66" s="485"/>
    </row>
    <row r="67" spans="1:8" ht="16.2" thickBot="1">
      <c r="B67" s="490"/>
      <c r="C67" s="489"/>
      <c r="D67" s="486"/>
      <c r="E67" s="486"/>
      <c r="F67" s="486"/>
      <c r="G67" s="486"/>
    </row>
    <row r="68" spans="1:8" ht="16.2" thickBot="1">
      <c r="B68" s="488" t="s">
        <v>642</v>
      </c>
      <c r="C68" s="487"/>
      <c r="D68" s="485"/>
      <c r="E68" s="486"/>
      <c r="F68" s="486"/>
      <c r="G68" s="485"/>
    </row>
    <row r="70" spans="1:8">
      <c r="A70" s="483" t="s">
        <v>256</v>
      </c>
      <c r="B70" s="484" t="s">
        <v>641</v>
      </c>
      <c r="C70" s="483" t="s">
        <v>640</v>
      </c>
    </row>
    <row r="72" spans="1:8">
      <c r="C72" s="1593" t="s">
        <v>639</v>
      </c>
      <c r="D72" s="1594"/>
      <c r="E72" s="1594"/>
      <c r="F72" s="1594"/>
      <c r="G72" s="1594"/>
      <c r="H72" s="1595"/>
    </row>
  </sheetData>
  <mergeCells count="26">
    <mergeCell ref="B54:G54"/>
    <mergeCell ref="B41:G41"/>
    <mergeCell ref="C12:H12"/>
    <mergeCell ref="C16:F16"/>
    <mergeCell ref="P16:S16"/>
    <mergeCell ref="C34:G34"/>
    <mergeCell ref="B36:G36"/>
    <mergeCell ref="B37:G37"/>
    <mergeCell ref="D38:D39"/>
    <mergeCell ref="E38:E39"/>
    <mergeCell ref="F38:F39"/>
    <mergeCell ref="G38:G39"/>
    <mergeCell ref="B40:G40"/>
    <mergeCell ref="B45:G45"/>
    <mergeCell ref="B46:G46"/>
    <mergeCell ref="B53:G53"/>
    <mergeCell ref="B58:G58"/>
    <mergeCell ref="B62:G62"/>
    <mergeCell ref="B63:G63"/>
    <mergeCell ref="C72:H72"/>
    <mergeCell ref="D55:D56"/>
    <mergeCell ref="E55:E56"/>
    <mergeCell ref="F55:F56"/>
    <mergeCell ref="G55:G56"/>
    <mergeCell ref="B56:C56"/>
    <mergeCell ref="B57:G57"/>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D1172-1027-4411-9B1B-AE70832862DE}">
  <dimension ref="A1:V46"/>
  <sheetViews>
    <sheetView zoomScale="85" zoomScaleNormal="85" zoomScaleSheetLayoutView="100" workbookViewId="0"/>
  </sheetViews>
  <sheetFormatPr defaultColWidth="9.33203125" defaultRowHeight="15.6"/>
  <cols>
    <col min="1" max="1" width="3.6640625" style="529" customWidth="1"/>
    <col min="2" max="2" width="25.44140625" style="529" customWidth="1"/>
    <col min="3" max="6" width="19.33203125" style="529" customWidth="1"/>
    <col min="7" max="7" width="10" style="529" bestFit="1" customWidth="1"/>
    <col min="8" max="8" width="2.6640625" style="529" customWidth="1"/>
    <col min="9" max="9" width="1" style="528" customWidth="1"/>
    <col min="10" max="10" width="4" style="526" customWidth="1"/>
    <col min="11" max="13" width="9.44140625" style="526" customWidth="1"/>
    <col min="14" max="15" width="13.5546875" style="526" customWidth="1"/>
    <col min="16" max="21" width="10.109375" style="526" customWidth="1"/>
    <col min="22" max="22" width="1" style="527" customWidth="1"/>
    <col min="23" max="16384" width="9.33203125" style="526"/>
  </cols>
  <sheetData>
    <row r="1" spans="1:21">
      <c r="A1" s="559" t="s">
        <v>699</v>
      </c>
      <c r="J1" s="559" t="s">
        <v>699</v>
      </c>
      <c r="K1" s="529"/>
      <c r="L1" s="529"/>
      <c r="M1" s="529"/>
      <c r="N1" s="529"/>
      <c r="O1" s="529"/>
      <c r="P1" s="529"/>
      <c r="Q1" s="529"/>
      <c r="R1" s="529"/>
      <c r="S1" s="529"/>
      <c r="T1" s="529"/>
      <c r="U1" s="529"/>
    </row>
    <row r="2" spans="1:21">
      <c r="A2" s="559" t="s">
        <v>698</v>
      </c>
      <c r="J2" s="559" t="s">
        <v>698</v>
      </c>
      <c r="K2" s="529"/>
      <c r="L2" s="529"/>
      <c r="M2" s="529"/>
      <c r="N2" s="529"/>
      <c r="O2" s="529"/>
      <c r="P2" s="529"/>
      <c r="Q2" s="529"/>
      <c r="R2" s="529"/>
      <c r="S2" s="529"/>
      <c r="T2" s="529"/>
      <c r="U2" s="529"/>
    </row>
    <row r="3" spans="1:21">
      <c r="A3" s="559" t="s">
        <v>34</v>
      </c>
      <c r="J3" s="559" t="s">
        <v>34</v>
      </c>
      <c r="K3" s="529"/>
      <c r="L3" s="529"/>
      <c r="M3" s="529"/>
      <c r="N3" s="529"/>
      <c r="O3" s="529"/>
      <c r="P3" s="529"/>
      <c r="Q3" s="529"/>
      <c r="R3" s="529"/>
      <c r="S3" s="529"/>
      <c r="T3" s="529"/>
      <c r="U3" s="529"/>
    </row>
    <row r="4" spans="1:21">
      <c r="J4" s="529"/>
      <c r="K4" s="529"/>
      <c r="L4" s="529"/>
      <c r="M4" s="529"/>
      <c r="N4" s="529"/>
      <c r="O4" s="529"/>
      <c r="P4" s="529"/>
      <c r="Q4" s="529"/>
      <c r="R4" s="529"/>
      <c r="S4" s="529"/>
      <c r="T4" s="529"/>
      <c r="U4" s="529"/>
    </row>
    <row r="5" spans="1:21" ht="16.2">
      <c r="A5" s="558" t="s">
        <v>697</v>
      </c>
      <c r="J5" s="558" t="s">
        <v>696</v>
      </c>
      <c r="K5" s="529"/>
      <c r="L5" s="529"/>
      <c r="M5" s="529"/>
      <c r="N5" s="529"/>
      <c r="O5" s="529"/>
      <c r="P5" s="529"/>
      <c r="Q5" s="529"/>
      <c r="R5" s="529"/>
      <c r="S5" s="529"/>
      <c r="T5" s="529"/>
      <c r="U5" s="529"/>
    </row>
    <row r="6" spans="1:21">
      <c r="A6" s="557"/>
      <c r="J6" s="529"/>
      <c r="K6" s="529"/>
      <c r="L6" s="529"/>
      <c r="M6" s="529"/>
      <c r="N6" s="529"/>
      <c r="O6" s="529"/>
      <c r="P6" s="529"/>
      <c r="Q6" s="529"/>
      <c r="R6" s="529"/>
      <c r="S6" s="529"/>
      <c r="T6" s="529"/>
      <c r="U6" s="529"/>
    </row>
    <row r="7" spans="1:21" ht="15.75" customHeight="1">
      <c r="A7" s="557"/>
      <c r="B7" s="547" t="s">
        <v>695</v>
      </c>
      <c r="J7" s="529" t="s">
        <v>687</v>
      </c>
      <c r="K7" s="1616" t="s">
        <v>686</v>
      </c>
      <c r="L7" s="1616"/>
      <c r="M7" s="1616"/>
      <c r="N7" s="1616"/>
      <c r="O7" s="1616"/>
      <c r="P7" s="1616"/>
      <c r="Q7" s="1616"/>
      <c r="R7" s="1616"/>
      <c r="S7" s="1616"/>
      <c r="T7" s="1616"/>
      <c r="U7" s="1616"/>
    </row>
    <row r="8" spans="1:21">
      <c r="B8" s="529" t="s">
        <v>694</v>
      </c>
      <c r="J8" s="529"/>
      <c r="K8" s="543"/>
      <c r="L8" s="529"/>
      <c r="M8" s="529"/>
      <c r="N8" s="529"/>
      <c r="O8" s="529"/>
      <c r="P8" s="545"/>
      <c r="Q8" s="544"/>
      <c r="R8" s="544"/>
      <c r="S8" s="544"/>
      <c r="T8" s="544"/>
      <c r="U8" s="544"/>
    </row>
    <row r="9" spans="1:21">
      <c r="B9" s="556"/>
      <c r="C9" s="556"/>
      <c r="D9" s="556"/>
      <c r="E9" s="556"/>
      <c r="F9" s="556"/>
      <c r="G9" s="556"/>
      <c r="J9" s="529"/>
      <c r="K9" s="543" t="s">
        <v>685</v>
      </c>
      <c r="L9" s="529"/>
      <c r="M9" s="529"/>
      <c r="N9" s="529"/>
      <c r="O9" s="529"/>
      <c r="P9" s="545"/>
      <c r="Q9" s="544"/>
      <c r="R9" s="544"/>
      <c r="S9" s="544"/>
      <c r="T9" s="544"/>
      <c r="U9" s="544"/>
    </row>
    <row r="10" spans="1:21" ht="20.25" customHeight="1">
      <c r="B10" s="552" t="s">
        <v>693</v>
      </c>
      <c r="C10" s="555" t="s">
        <v>692</v>
      </c>
      <c r="D10" s="554" t="s">
        <v>691</v>
      </c>
      <c r="E10" s="554" t="s">
        <v>690</v>
      </c>
      <c r="F10" s="554" t="s">
        <v>689</v>
      </c>
      <c r="G10" s="553"/>
      <c r="H10" s="553"/>
      <c r="J10" s="529"/>
      <c r="K10" s="529"/>
      <c r="L10" s="543"/>
      <c r="M10" s="529"/>
      <c r="N10" s="529"/>
      <c r="O10" s="529"/>
      <c r="P10" s="529"/>
      <c r="Q10" s="542"/>
      <c r="R10" s="544"/>
      <c r="S10" s="544"/>
      <c r="T10" s="544"/>
      <c r="U10" s="544"/>
    </row>
    <row r="11" spans="1:21">
      <c r="B11" s="552" t="s">
        <v>644</v>
      </c>
      <c r="C11" s="551">
        <v>0.4</v>
      </c>
      <c r="D11" s="550">
        <v>3.2000000000000001E-2</v>
      </c>
      <c r="E11" s="550">
        <v>0.03</v>
      </c>
      <c r="F11" s="550">
        <v>5.5E-2</v>
      </c>
      <c r="G11" s="1617"/>
      <c r="H11" s="1617"/>
      <c r="J11" s="529"/>
      <c r="K11" s="543" t="s">
        <v>684</v>
      </c>
      <c r="L11" s="543"/>
      <c r="M11" s="529"/>
      <c r="N11" s="529"/>
      <c r="O11" s="529"/>
      <c r="P11" s="529"/>
      <c r="Q11" s="542"/>
      <c r="R11" s="544"/>
      <c r="S11" s="544"/>
      <c r="T11" s="544"/>
      <c r="U11" s="544"/>
    </row>
    <row r="12" spans="1:21" ht="15.75" customHeight="1">
      <c r="B12" s="552" t="s">
        <v>645</v>
      </c>
      <c r="C12" s="551">
        <v>0.6</v>
      </c>
      <c r="D12" s="550">
        <v>7.6999999999999999E-2</v>
      </c>
      <c r="E12" s="550">
        <v>6.6000000000000003E-2</v>
      </c>
      <c r="F12" s="550">
        <v>0.18</v>
      </c>
      <c r="G12" s="1618"/>
      <c r="H12" s="1618"/>
      <c r="J12" s="529"/>
      <c r="K12" s="529"/>
      <c r="L12" s="540"/>
      <c r="M12" s="540"/>
      <c r="N12" s="540"/>
      <c r="O12" s="540"/>
      <c r="P12" s="540"/>
      <c r="Q12" s="540"/>
      <c r="R12" s="540"/>
      <c r="S12" s="540"/>
      <c r="T12" s="540"/>
      <c r="U12" s="540"/>
    </row>
    <row r="13" spans="1:21">
      <c r="B13" s="548"/>
      <c r="C13" s="549"/>
      <c r="D13" s="548"/>
      <c r="E13" s="549"/>
      <c r="F13" s="548"/>
      <c r="G13" s="548"/>
      <c r="J13" s="529"/>
      <c r="K13" s="541" t="s">
        <v>683</v>
      </c>
      <c r="L13" s="540"/>
      <c r="M13" s="540"/>
      <c r="N13" s="540"/>
      <c r="O13" s="540"/>
      <c r="P13" s="540"/>
      <c r="Q13" s="540"/>
      <c r="R13" s="540"/>
      <c r="S13" s="540"/>
      <c r="T13" s="540"/>
      <c r="U13" s="540"/>
    </row>
    <row r="14" spans="1:21">
      <c r="B14" s="547" t="s">
        <v>688</v>
      </c>
      <c r="D14" s="542">
        <v>0.25</v>
      </c>
      <c r="J14" s="529"/>
      <c r="K14" s="543"/>
      <c r="L14" s="529"/>
      <c r="M14" s="529"/>
      <c r="N14" s="529"/>
      <c r="O14" s="529"/>
      <c r="P14" s="542"/>
      <c r="Q14" s="544"/>
      <c r="R14" s="544"/>
      <c r="S14" s="544"/>
      <c r="T14" s="544"/>
      <c r="U14" s="544"/>
    </row>
    <row r="15" spans="1:21">
      <c r="B15" s="546"/>
      <c r="C15" s="545"/>
    </row>
    <row r="16" spans="1:21" ht="15.75" customHeight="1">
      <c r="A16" s="529" t="s">
        <v>687</v>
      </c>
      <c r="B16" s="1616" t="s">
        <v>686</v>
      </c>
      <c r="C16" s="1616"/>
      <c r="D16" s="1616"/>
      <c r="E16" s="1616"/>
      <c r="F16" s="1616"/>
      <c r="G16" s="1616"/>
      <c r="H16" s="544"/>
    </row>
    <row r="17" spans="2:15">
      <c r="B17" s="543"/>
      <c r="G17" s="545"/>
      <c r="H17" s="544"/>
    </row>
    <row r="18" spans="2:15">
      <c r="B18" s="543" t="s">
        <v>685</v>
      </c>
      <c r="G18" s="545"/>
      <c r="H18" s="544"/>
    </row>
    <row r="19" spans="2:15">
      <c r="C19" s="543"/>
      <c r="H19" s="542"/>
    </row>
    <row r="20" spans="2:15">
      <c r="B20" s="543" t="s">
        <v>684</v>
      </c>
      <c r="C20" s="543"/>
      <c r="H20" s="542"/>
    </row>
    <row r="21" spans="2:15">
      <c r="C21" s="540"/>
      <c r="D21" s="540"/>
      <c r="E21" s="540"/>
      <c r="F21" s="540"/>
      <c r="G21" s="540"/>
      <c r="H21" s="540"/>
    </row>
    <row r="22" spans="2:15">
      <c r="B22" s="541" t="s">
        <v>683</v>
      </c>
      <c r="C22" s="540"/>
      <c r="D22" s="540"/>
      <c r="E22" s="540"/>
      <c r="F22" s="540"/>
      <c r="G22" s="540"/>
      <c r="H22" s="540"/>
      <c r="M22" s="533"/>
      <c r="N22" s="533"/>
      <c r="O22" s="533"/>
    </row>
    <row r="23" spans="2:15">
      <c r="O23" s="532"/>
    </row>
    <row r="24" spans="2:15">
      <c r="K24" s="534"/>
      <c r="O24" s="532"/>
    </row>
    <row r="25" spans="2:15">
      <c r="K25" s="534"/>
      <c r="L25" s="537"/>
      <c r="O25" s="532"/>
    </row>
    <row r="26" spans="2:15">
      <c r="K26" s="534"/>
      <c r="L26" s="537"/>
      <c r="O26" s="532"/>
    </row>
    <row r="27" spans="2:15">
      <c r="K27" s="534"/>
      <c r="L27" s="537"/>
      <c r="O27" s="535"/>
    </row>
    <row r="28" spans="2:15">
      <c r="K28" s="534"/>
      <c r="L28" s="539"/>
    </row>
    <row r="29" spans="2:15">
      <c r="L29" s="537"/>
    </row>
    <row r="30" spans="2:15">
      <c r="L30" s="537"/>
      <c r="M30" s="530"/>
    </row>
    <row r="31" spans="2:15">
      <c r="L31" s="537"/>
      <c r="O31" s="535"/>
    </row>
    <row r="33" spans="11:15">
      <c r="K33" s="538"/>
      <c r="L33" s="537"/>
    </row>
    <row r="34" spans="11:15">
      <c r="L34" s="537"/>
    </row>
    <row r="35" spans="11:15">
      <c r="L35" s="537"/>
    </row>
    <row r="36" spans="11:15">
      <c r="K36" s="536"/>
      <c r="L36" s="536"/>
      <c r="O36" s="535"/>
    </row>
    <row r="37" spans="11:15">
      <c r="K37" s="534"/>
    </row>
    <row r="38" spans="11:15">
      <c r="L38" s="533"/>
      <c r="M38" s="533"/>
      <c r="N38" s="533"/>
      <c r="O38" s="533"/>
    </row>
    <row r="39" spans="11:15">
      <c r="O39" s="532"/>
    </row>
    <row r="40" spans="11:15">
      <c r="O40" s="532"/>
    </row>
    <row r="41" spans="11:15">
      <c r="O41" s="532"/>
    </row>
    <row r="42" spans="11:15">
      <c r="O42" s="532"/>
    </row>
    <row r="43" spans="11:15" ht="17.399999999999999">
      <c r="O43" s="531"/>
    </row>
    <row r="46" spans="11:15">
      <c r="M46" s="530"/>
    </row>
  </sheetData>
  <sheetProtection algorithmName="SHA-512" hashValue="xrloF8A1+AcEipcgFwSkH5SrBDDugyPGKPUI/z5XTrA9wxd6SQQIDlWjKFxnV4dcbEAknVutLJdA8NSAn5j+9A==" saltValue="ro7R7MO3+/c0+fmEdmfnRQ==" spinCount="100000" sheet="1" formatCells="0" formatColumns="0" formatRows="0" insertColumns="0" insertRows="0"/>
  <mergeCells count="4">
    <mergeCell ref="K7:U7"/>
    <mergeCell ref="G11:H11"/>
    <mergeCell ref="G12:H12"/>
    <mergeCell ref="B16:G16"/>
  </mergeCells>
  <pageMargins left="0.7" right="0.7" top="0.75" bottom="0.75" header="0.3" footer="0.3"/>
  <pageSetup scale="68" orientation="portrait" horizontalDpi="4294967293"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ECBB4-0415-49A2-9BA2-7AE81133686A}">
  <dimension ref="A1:W50"/>
  <sheetViews>
    <sheetView zoomScaleNormal="100" zoomScaleSheetLayoutView="100" workbookViewId="0"/>
  </sheetViews>
  <sheetFormatPr defaultColWidth="9.33203125" defaultRowHeight="15.6"/>
  <cols>
    <col min="1" max="1" width="3.6640625" style="2" customWidth="1"/>
    <col min="2" max="6" width="20.6640625" style="2" customWidth="1"/>
    <col min="7" max="9" width="3.6640625" style="2" customWidth="1"/>
    <col min="10" max="10" width="1.6640625" style="3" customWidth="1"/>
    <col min="11" max="11" width="3.6640625" style="560" customWidth="1"/>
    <col min="12" max="22" width="10.6640625" style="560" customWidth="1"/>
    <col min="23" max="23" width="1.6640625" style="561" customWidth="1"/>
    <col min="24" max="16384" width="9.33203125" style="560"/>
  </cols>
  <sheetData>
    <row r="1" spans="1:22">
      <c r="A1" s="1" t="s">
        <v>719</v>
      </c>
      <c r="K1" s="1" t="s">
        <v>719</v>
      </c>
      <c r="L1" s="2"/>
      <c r="M1" s="2"/>
      <c r="N1" s="2"/>
      <c r="O1" s="2"/>
      <c r="P1" s="2"/>
      <c r="Q1" s="2"/>
      <c r="R1" s="2"/>
      <c r="S1" s="2"/>
      <c r="T1" s="2"/>
      <c r="U1" s="2"/>
      <c r="V1" s="2"/>
    </row>
    <row r="2" spans="1:22">
      <c r="A2" s="1" t="s">
        <v>718</v>
      </c>
      <c r="K2" s="1" t="s">
        <v>718</v>
      </c>
      <c r="L2" s="2"/>
      <c r="M2" s="2"/>
      <c r="N2" s="2"/>
      <c r="O2" s="2"/>
      <c r="P2" s="2"/>
      <c r="Q2" s="2"/>
      <c r="R2" s="2"/>
      <c r="S2" s="2"/>
      <c r="T2" s="2"/>
      <c r="U2" s="2"/>
      <c r="V2" s="2"/>
    </row>
    <row r="3" spans="1:22">
      <c r="A3" s="1" t="s">
        <v>34</v>
      </c>
      <c r="K3" s="1" t="s">
        <v>34</v>
      </c>
      <c r="L3" s="2"/>
      <c r="M3" s="2"/>
      <c r="N3" s="2"/>
      <c r="O3" s="2"/>
      <c r="P3" s="2"/>
      <c r="Q3" s="2"/>
      <c r="R3" s="2"/>
      <c r="S3" s="2"/>
      <c r="T3" s="2"/>
      <c r="U3" s="2"/>
      <c r="V3" s="2"/>
    </row>
    <row r="4" spans="1:22">
      <c r="K4" s="2"/>
      <c r="L4" s="2"/>
      <c r="M4" s="2"/>
      <c r="N4" s="2"/>
      <c r="O4" s="2"/>
      <c r="P4" s="2"/>
      <c r="Q4" s="2"/>
      <c r="R4" s="2"/>
      <c r="S4" s="2"/>
      <c r="T4" s="2"/>
      <c r="U4" s="2"/>
      <c r="V4" s="2"/>
    </row>
    <row r="5" spans="1:22" ht="16.2">
      <c r="A5" s="6" t="s">
        <v>697</v>
      </c>
      <c r="K5" s="6" t="s">
        <v>696</v>
      </c>
      <c r="L5" s="2"/>
      <c r="M5" s="2"/>
      <c r="N5" s="2"/>
      <c r="O5" s="2"/>
      <c r="P5" s="2"/>
      <c r="Q5" s="2"/>
      <c r="R5" s="2"/>
      <c r="S5" s="2"/>
      <c r="T5" s="2"/>
      <c r="U5" s="2"/>
      <c r="V5" s="2"/>
    </row>
    <row r="6" spans="1:22">
      <c r="A6" s="594"/>
      <c r="K6" s="2"/>
      <c r="L6" s="2"/>
      <c r="M6" s="2"/>
      <c r="N6" s="2"/>
      <c r="O6" s="2"/>
      <c r="P6" s="2"/>
      <c r="Q6" s="2"/>
      <c r="R6" s="2"/>
      <c r="S6" s="2"/>
      <c r="T6" s="2"/>
      <c r="U6" s="2"/>
      <c r="V6" s="2"/>
    </row>
    <row r="7" spans="1:22" ht="15.75" customHeight="1">
      <c r="A7" s="594"/>
      <c r="B7" s="585" t="s">
        <v>695</v>
      </c>
      <c r="K7" s="2" t="s">
        <v>687</v>
      </c>
      <c r="L7" s="1462" t="s">
        <v>686</v>
      </c>
      <c r="M7" s="1462"/>
      <c r="N7" s="1462"/>
      <c r="O7" s="1462"/>
      <c r="P7" s="1462"/>
      <c r="Q7" s="1462"/>
      <c r="R7" s="1462"/>
      <c r="S7" s="1462"/>
      <c r="T7" s="1462"/>
      <c r="U7" s="1462"/>
      <c r="V7" s="1462"/>
    </row>
    <row r="8" spans="1:22">
      <c r="B8" s="2" t="s">
        <v>694</v>
      </c>
      <c r="K8" s="2"/>
      <c r="L8" s="581"/>
      <c r="M8" s="2"/>
      <c r="N8" s="2"/>
      <c r="O8" s="2"/>
      <c r="P8" s="2"/>
      <c r="Q8" s="582"/>
      <c r="R8" s="9"/>
      <c r="S8" s="9"/>
      <c r="T8" s="9"/>
      <c r="U8" s="9"/>
      <c r="V8" s="9"/>
    </row>
    <row r="9" spans="1:22">
      <c r="B9" s="593"/>
      <c r="C9" s="593"/>
      <c r="D9" s="593"/>
      <c r="E9" s="593"/>
      <c r="F9" s="593"/>
      <c r="G9" s="593"/>
      <c r="H9" s="593"/>
      <c r="K9" s="2"/>
      <c r="L9" s="581" t="s">
        <v>685</v>
      </c>
      <c r="M9" s="2"/>
      <c r="N9" s="2"/>
      <c r="O9" s="2"/>
      <c r="P9" s="2"/>
      <c r="Q9" s="582"/>
      <c r="R9" s="9"/>
      <c r="S9" s="9"/>
      <c r="T9" s="9"/>
      <c r="U9" s="9"/>
      <c r="V9" s="9"/>
    </row>
    <row r="10" spans="1:22">
      <c r="B10" s="590" t="s">
        <v>693</v>
      </c>
      <c r="C10" s="589" t="s">
        <v>691</v>
      </c>
      <c r="D10" s="589" t="s">
        <v>690</v>
      </c>
      <c r="E10" s="589" t="s">
        <v>689</v>
      </c>
      <c r="F10" s="592" t="s">
        <v>692</v>
      </c>
      <c r="G10" s="591"/>
      <c r="H10" s="591"/>
      <c r="K10" s="2"/>
      <c r="L10" s="581"/>
      <c r="M10" s="2"/>
      <c r="N10" s="2"/>
      <c r="O10" s="2"/>
      <c r="P10" s="2"/>
      <c r="Q10" s="584"/>
      <c r="R10" s="9"/>
      <c r="S10" s="9"/>
      <c r="T10" s="9"/>
      <c r="U10" s="9"/>
      <c r="V10" s="9"/>
    </row>
    <row r="11" spans="1:22">
      <c r="B11" s="590" t="s">
        <v>644</v>
      </c>
      <c r="C11" s="589">
        <v>3.2000000000000001E-2</v>
      </c>
      <c r="D11" s="589">
        <v>0.03</v>
      </c>
      <c r="E11" s="589">
        <v>5.5E-2</v>
      </c>
      <c r="F11" s="588">
        <v>0.4</v>
      </c>
      <c r="G11" s="1619"/>
      <c r="H11" s="1619"/>
      <c r="K11" s="2"/>
      <c r="L11" s="581" t="s">
        <v>717</v>
      </c>
      <c r="M11" s="2"/>
      <c r="N11" s="2"/>
      <c r="O11" s="2"/>
      <c r="P11" s="2"/>
      <c r="Q11" s="584"/>
      <c r="R11" s="9"/>
      <c r="S11" s="9"/>
      <c r="T11" s="9"/>
      <c r="U11" s="9"/>
      <c r="V11" s="9"/>
    </row>
    <row r="12" spans="1:22" ht="15.75" customHeight="1">
      <c r="B12" s="590" t="s">
        <v>645</v>
      </c>
      <c r="C12" s="589">
        <v>7.6999999999999999E-2</v>
      </c>
      <c r="D12" s="589">
        <v>6.6000000000000003E-2</v>
      </c>
      <c r="E12" s="589">
        <v>0.18</v>
      </c>
      <c r="F12" s="588">
        <v>0.6</v>
      </c>
      <c r="G12" s="1620"/>
      <c r="H12" s="1620"/>
      <c r="K12" s="2"/>
      <c r="L12" s="5"/>
      <c r="M12" s="5"/>
      <c r="N12" s="5"/>
      <c r="O12" s="5"/>
      <c r="P12" s="5"/>
      <c r="Q12" s="5"/>
      <c r="R12" s="5"/>
      <c r="S12" s="5"/>
      <c r="T12" s="5"/>
      <c r="U12" s="5"/>
      <c r="V12" s="5"/>
    </row>
    <row r="13" spans="1:22">
      <c r="B13" s="586"/>
      <c r="C13" s="587"/>
      <c r="D13" s="586"/>
      <c r="E13" s="587"/>
      <c r="F13" s="586"/>
      <c r="G13" s="587"/>
      <c r="H13" s="586"/>
      <c r="K13" s="2"/>
      <c r="L13" s="28" t="s">
        <v>683</v>
      </c>
      <c r="M13" s="5"/>
      <c r="N13" s="5"/>
      <c r="O13" s="5"/>
      <c r="P13" s="5"/>
      <c r="Q13" s="5"/>
      <c r="R13" s="5"/>
      <c r="S13" s="5"/>
      <c r="T13" s="5"/>
      <c r="U13" s="5"/>
      <c r="V13" s="5"/>
    </row>
    <row r="14" spans="1:22">
      <c r="B14" s="585" t="s">
        <v>716</v>
      </c>
      <c r="C14" s="584">
        <v>0.25</v>
      </c>
      <c r="K14" s="2"/>
      <c r="L14" s="581"/>
      <c r="M14" s="2"/>
      <c r="N14" s="2"/>
      <c r="O14" s="2"/>
      <c r="P14" s="2"/>
      <c r="Q14" s="584"/>
      <c r="R14" s="9"/>
      <c r="S14" s="9"/>
      <c r="T14" s="9"/>
      <c r="U14" s="9"/>
      <c r="V14" s="9"/>
    </row>
    <row r="15" spans="1:22">
      <c r="B15" s="583"/>
      <c r="C15" s="582"/>
    </row>
    <row r="17" spans="2:16">
      <c r="L17" s="577" t="s">
        <v>715</v>
      </c>
      <c r="M17" s="575"/>
    </row>
    <row r="19" spans="2:16">
      <c r="B19" s="581"/>
      <c r="C19" s="581"/>
      <c r="D19" s="581"/>
      <c r="E19" s="581"/>
      <c r="F19" s="581"/>
      <c r="G19" s="581"/>
      <c r="H19" s="581"/>
      <c r="M19" s="575" t="s">
        <v>714</v>
      </c>
    </row>
    <row r="20" spans="2:16">
      <c r="B20" s="581"/>
      <c r="C20" s="581"/>
      <c r="D20" s="581"/>
      <c r="E20" s="581"/>
      <c r="F20" s="581"/>
      <c r="G20" s="581"/>
      <c r="H20" s="581"/>
      <c r="L20" s="573"/>
      <c r="M20" s="571" t="s">
        <v>713</v>
      </c>
    </row>
    <row r="21" spans="2:16">
      <c r="M21" s="571" t="s">
        <v>712</v>
      </c>
    </row>
    <row r="22" spans="2:16">
      <c r="M22" s="571"/>
      <c r="P22" s="579"/>
    </row>
    <row r="23" spans="2:16">
      <c r="M23" s="569" t="s">
        <v>700</v>
      </c>
      <c r="N23" s="580">
        <f>C11*F11+C12*F12</f>
        <v>5.8999999999999997E-2</v>
      </c>
      <c r="P23" s="579"/>
    </row>
    <row r="24" spans="2:16">
      <c r="M24" s="578"/>
      <c r="N24" s="578"/>
      <c r="O24" s="578"/>
      <c r="P24" s="578"/>
    </row>
    <row r="25" spans="2:16">
      <c r="L25" s="577" t="s">
        <v>711</v>
      </c>
      <c r="N25" s="566"/>
      <c r="O25" s="565"/>
      <c r="P25" s="567"/>
    </row>
    <row r="26" spans="2:16">
      <c r="L26" s="572"/>
      <c r="N26" s="566"/>
      <c r="O26" s="565"/>
      <c r="P26" s="567"/>
    </row>
    <row r="27" spans="2:16">
      <c r="L27" s="572"/>
      <c r="M27" s="571" t="s">
        <v>710</v>
      </c>
      <c r="N27" s="566"/>
      <c r="O27" s="565"/>
      <c r="P27" s="567"/>
    </row>
    <row r="28" spans="2:16">
      <c r="L28" s="572"/>
      <c r="M28" s="571" t="s">
        <v>709</v>
      </c>
      <c r="N28" s="566"/>
      <c r="O28" s="565"/>
      <c r="P28" s="567"/>
    </row>
    <row r="29" spans="2:16">
      <c r="L29" s="572"/>
      <c r="M29" s="571" t="s">
        <v>708</v>
      </c>
      <c r="N29" s="566"/>
      <c r="O29" s="565"/>
    </row>
    <row r="30" spans="2:16">
      <c r="L30" s="572"/>
      <c r="M30" s="571"/>
      <c r="N30" s="566"/>
      <c r="O30" s="565"/>
      <c r="P30" s="576"/>
    </row>
    <row r="31" spans="2:16">
      <c r="L31" s="572"/>
      <c r="M31" s="569" t="s">
        <v>700</v>
      </c>
      <c r="N31" s="568">
        <f>(E11^2*F11^2+E12^2*F12^2+2*F12*F11*E11*E12*C14)^0.5</f>
        <v>0.11548160026601639</v>
      </c>
      <c r="O31" s="565"/>
      <c r="P31" s="576"/>
    </row>
    <row r="32" spans="2:16">
      <c r="L32" s="572"/>
      <c r="M32" s="575"/>
      <c r="P32" s="562"/>
    </row>
    <row r="33" spans="12:16">
      <c r="M33" s="571" t="s">
        <v>707</v>
      </c>
    </row>
    <row r="34" spans="12:16">
      <c r="M34" s="571" t="s">
        <v>706</v>
      </c>
      <c r="N34" s="563"/>
      <c r="P34" s="562"/>
    </row>
    <row r="35" spans="12:16">
      <c r="M35" s="571" t="s">
        <v>705</v>
      </c>
    </row>
    <row r="37" spans="12:16">
      <c r="L37" s="574"/>
      <c r="M37" s="569" t="s">
        <v>700</v>
      </c>
      <c r="N37" s="568">
        <f>EXP(LN(1+N23)-LN((1+(N31^2)/((1+N23)^2)/2)))-1</f>
        <v>5.2740709782129747E-2</v>
      </c>
    </row>
    <row r="39" spans="12:16">
      <c r="M39" s="571" t="s">
        <v>704</v>
      </c>
    </row>
    <row r="40" spans="12:16">
      <c r="L40" s="573"/>
      <c r="M40" s="571" t="s">
        <v>703</v>
      </c>
    </row>
    <row r="41" spans="12:16">
      <c r="L41" s="572"/>
      <c r="M41" s="571" t="s">
        <v>702</v>
      </c>
    </row>
    <row r="42" spans="12:16">
      <c r="M42" s="570" t="s">
        <v>701</v>
      </c>
    </row>
    <row r="43" spans="12:16">
      <c r="N43" s="566"/>
      <c r="O43" s="565"/>
      <c r="P43" s="567"/>
    </row>
    <row r="44" spans="12:16">
      <c r="M44" s="569" t="s">
        <v>700</v>
      </c>
      <c r="N44" s="568">
        <f>N23-((N31)^2/2)</f>
        <v>5.2331999999999997E-2</v>
      </c>
      <c r="O44" s="565"/>
      <c r="P44" s="567"/>
    </row>
    <row r="45" spans="12:16">
      <c r="N45" s="566"/>
      <c r="O45" s="565"/>
      <c r="P45" s="567"/>
    </row>
    <row r="46" spans="12:16">
      <c r="N46" s="566"/>
      <c r="O46" s="565"/>
      <c r="P46" s="567"/>
    </row>
    <row r="47" spans="12:16" ht="17.399999999999999">
      <c r="N47" s="566"/>
      <c r="O47" s="565"/>
      <c r="P47" s="564"/>
    </row>
    <row r="48" spans="12:16">
      <c r="P48" s="562"/>
    </row>
    <row r="50" spans="14:16">
      <c r="N50" s="563"/>
      <c r="P50" s="562"/>
    </row>
  </sheetData>
  <sheetProtection formatCells="0" formatColumns="0" formatRows="0" insertColumns="0" insertRows="0"/>
  <mergeCells count="3">
    <mergeCell ref="L7:V7"/>
    <mergeCell ref="G11:H11"/>
    <mergeCell ref="G12:H12"/>
  </mergeCells>
  <pageMargins left="0.7" right="0.7" top="0.75" bottom="0.75" header="0.3" footer="0.3"/>
  <pageSetup scale="68" orientation="portrait" horizontalDpi="4294967293" verticalDpi="300" r:id="rId1"/>
  <colBreaks count="1" manualBreakCount="1">
    <brk id="9"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9D5A7-97A1-4A6D-9405-D8C0CF426982}">
  <dimension ref="A1:AA44"/>
  <sheetViews>
    <sheetView zoomScale="85" zoomScaleNormal="85" zoomScaleSheetLayoutView="100" workbookViewId="0"/>
  </sheetViews>
  <sheetFormatPr defaultColWidth="9.33203125" defaultRowHeight="15.6"/>
  <cols>
    <col min="1" max="1" width="3.6640625" style="529" customWidth="1"/>
    <col min="2" max="2" width="39" style="529" customWidth="1"/>
    <col min="3" max="4" width="12.5546875" style="529" customWidth="1"/>
    <col min="5" max="5" width="6.88671875" style="529" bestFit="1" customWidth="1"/>
    <col min="6" max="6" width="10" style="529" bestFit="1" customWidth="1"/>
    <col min="7" max="7" width="6.88671875" style="529" bestFit="1" customWidth="1"/>
    <col min="8" max="8" width="10" style="529" bestFit="1" customWidth="1"/>
    <col min="9" max="9" width="6.88671875" style="529" bestFit="1" customWidth="1"/>
    <col min="10" max="10" width="10" style="529" bestFit="1" customWidth="1"/>
    <col min="11" max="11" width="6.88671875" style="529" bestFit="1" customWidth="1"/>
    <col min="12" max="12" width="10" style="529" bestFit="1" customWidth="1"/>
    <col min="13" max="13" width="2.6640625" style="529" customWidth="1"/>
    <col min="14" max="14" width="1" style="528" customWidth="1"/>
    <col min="15" max="15" width="4" style="526" customWidth="1"/>
    <col min="16" max="18" width="9.44140625" style="526" customWidth="1"/>
    <col min="19" max="20" width="13.5546875" style="526" customWidth="1"/>
    <col min="21" max="26" width="10.109375" style="526" customWidth="1"/>
    <col min="27" max="27" width="1" style="527" customWidth="1"/>
    <col min="28" max="16384" width="9.33203125" style="526"/>
  </cols>
  <sheetData>
    <row r="1" spans="1:26">
      <c r="A1" s="559" t="s">
        <v>699</v>
      </c>
      <c r="O1" s="559" t="s">
        <v>699</v>
      </c>
      <c r="P1" s="529"/>
      <c r="Q1" s="529"/>
      <c r="R1" s="529"/>
      <c r="S1" s="529"/>
      <c r="T1" s="529"/>
      <c r="U1" s="529"/>
      <c r="V1" s="529"/>
      <c r="W1" s="529"/>
      <c r="X1" s="529"/>
      <c r="Y1" s="529"/>
      <c r="Z1" s="529"/>
    </row>
    <row r="2" spans="1:26">
      <c r="A2" s="559" t="s">
        <v>732</v>
      </c>
      <c r="O2" s="559" t="s">
        <v>732</v>
      </c>
      <c r="P2" s="529"/>
      <c r="Q2" s="529"/>
      <c r="R2" s="529"/>
      <c r="S2" s="529"/>
      <c r="T2" s="529"/>
      <c r="U2" s="529"/>
      <c r="V2" s="529"/>
      <c r="W2" s="529"/>
      <c r="X2" s="529"/>
      <c r="Y2" s="529"/>
      <c r="Z2" s="529"/>
    </row>
    <row r="3" spans="1:26">
      <c r="A3" s="559" t="s">
        <v>336</v>
      </c>
      <c r="O3" s="559" t="s">
        <v>336</v>
      </c>
      <c r="P3" s="529"/>
      <c r="Q3" s="529"/>
      <c r="R3" s="529"/>
      <c r="S3" s="529"/>
      <c r="T3" s="529"/>
      <c r="U3" s="529"/>
      <c r="V3" s="529"/>
      <c r="W3" s="529"/>
      <c r="X3" s="529"/>
      <c r="Y3" s="529"/>
      <c r="Z3" s="529"/>
    </row>
    <row r="4" spans="1:26">
      <c r="O4" s="529"/>
      <c r="P4" s="529"/>
      <c r="Q4" s="529"/>
      <c r="R4" s="529"/>
      <c r="S4" s="529"/>
      <c r="T4" s="529"/>
      <c r="U4" s="529"/>
      <c r="V4" s="529"/>
      <c r="W4" s="529"/>
      <c r="X4" s="529"/>
      <c r="Y4" s="529"/>
      <c r="Z4" s="529"/>
    </row>
    <row r="5" spans="1:26" ht="16.2">
      <c r="A5" s="558" t="s">
        <v>697</v>
      </c>
      <c r="O5" s="558" t="s">
        <v>731</v>
      </c>
      <c r="P5" s="529"/>
      <c r="Q5" s="529"/>
      <c r="R5" s="529"/>
      <c r="S5" s="529"/>
      <c r="T5" s="529"/>
      <c r="U5" s="529"/>
      <c r="V5" s="529"/>
      <c r="W5" s="529"/>
      <c r="X5" s="529"/>
      <c r="Y5" s="529"/>
      <c r="Z5" s="529"/>
    </row>
    <row r="6" spans="1:26">
      <c r="A6" s="557"/>
      <c r="O6" s="529"/>
      <c r="P6" s="529"/>
      <c r="Q6" s="529"/>
      <c r="R6" s="529"/>
      <c r="S6" s="529"/>
      <c r="T6" s="529"/>
      <c r="U6" s="529"/>
      <c r="V6" s="529"/>
      <c r="W6" s="529"/>
      <c r="X6" s="529"/>
      <c r="Y6" s="529"/>
      <c r="Z6" s="529"/>
    </row>
    <row r="7" spans="1:26" ht="15.75" customHeight="1">
      <c r="A7" s="557" t="s">
        <v>730</v>
      </c>
      <c r="O7" s="529" t="s">
        <v>723</v>
      </c>
      <c r="P7" s="1616" t="s">
        <v>722</v>
      </c>
      <c r="Q7" s="1616"/>
      <c r="R7" s="1616"/>
      <c r="S7" s="1616"/>
      <c r="T7" s="1616"/>
      <c r="U7" s="1616"/>
      <c r="V7" s="1616"/>
      <c r="W7" s="1616"/>
      <c r="X7" s="1616"/>
      <c r="Y7" s="1616"/>
      <c r="Z7" s="1616"/>
    </row>
    <row r="8" spans="1:26">
      <c r="O8" s="529"/>
      <c r="P8" s="1616"/>
      <c r="Q8" s="1616"/>
      <c r="R8" s="1616"/>
      <c r="S8" s="1616"/>
      <c r="T8" s="1616"/>
      <c r="U8" s="1616"/>
      <c r="V8" s="1616"/>
      <c r="W8" s="1616"/>
      <c r="X8" s="1616"/>
      <c r="Y8" s="1616"/>
      <c r="Z8" s="1616"/>
    </row>
    <row r="9" spans="1:26">
      <c r="B9" s="556" t="s">
        <v>729</v>
      </c>
      <c r="C9" s="556"/>
      <c r="D9" s="556"/>
      <c r="E9" s="556"/>
      <c r="F9" s="556"/>
      <c r="G9" s="556"/>
      <c r="H9" s="556"/>
      <c r="I9" s="556"/>
      <c r="J9" s="556"/>
      <c r="K9" s="556"/>
      <c r="L9" s="556"/>
      <c r="O9" s="529"/>
      <c r="P9" s="543"/>
      <c r="Q9" s="529"/>
      <c r="R9" s="529"/>
      <c r="S9" s="529"/>
      <c r="T9" s="529"/>
      <c r="U9" s="545"/>
      <c r="V9" s="544"/>
      <c r="W9" s="544"/>
      <c r="X9" s="544"/>
      <c r="Y9" s="544"/>
      <c r="Z9" s="544"/>
    </row>
    <row r="10" spans="1:26" ht="16.2" thickBot="1">
      <c r="B10" s="553"/>
      <c r="C10" s="553"/>
      <c r="D10" s="553"/>
      <c r="E10" s="553"/>
      <c r="F10" s="553"/>
      <c r="G10" s="553"/>
      <c r="H10" s="553"/>
      <c r="I10" s="553"/>
      <c r="J10" s="553"/>
      <c r="K10" s="553"/>
      <c r="L10" s="553"/>
      <c r="O10" s="529"/>
      <c r="P10" s="541" t="s">
        <v>721</v>
      </c>
      <c r="Q10" s="529"/>
      <c r="R10" s="529"/>
      <c r="S10" s="529"/>
      <c r="T10" s="529"/>
      <c r="U10" s="542"/>
      <c r="V10" s="544"/>
      <c r="W10" s="544"/>
      <c r="X10" s="544"/>
      <c r="Y10" s="544"/>
      <c r="Z10" s="544"/>
    </row>
    <row r="11" spans="1:26" ht="16.2" thickBot="1">
      <c r="B11" s="597"/>
      <c r="C11" s="602" t="s">
        <v>728</v>
      </c>
      <c r="D11" s="601" t="s">
        <v>727</v>
      </c>
      <c r="E11" s="1617"/>
      <c r="F11" s="1617"/>
      <c r="G11" s="1617"/>
      <c r="H11" s="1617"/>
      <c r="I11" s="1617"/>
      <c r="J11" s="1617"/>
      <c r="K11" s="1617"/>
      <c r="L11" s="1617"/>
      <c r="O11" s="529"/>
      <c r="P11" s="529"/>
      <c r="Q11" s="529"/>
      <c r="R11" s="529"/>
      <c r="S11" s="529"/>
      <c r="T11" s="529"/>
      <c r="U11" s="542"/>
      <c r="V11" s="544"/>
      <c r="W11" s="544"/>
      <c r="X11" s="544"/>
      <c r="Y11" s="544"/>
      <c r="Z11" s="544"/>
    </row>
    <row r="12" spans="1:26" ht="15.75" customHeight="1" thickBot="1">
      <c r="B12" s="600" t="s">
        <v>726</v>
      </c>
      <c r="C12" s="599">
        <v>1650</v>
      </c>
      <c r="D12" s="598">
        <v>201</v>
      </c>
      <c r="E12" s="1618"/>
      <c r="F12" s="1618"/>
      <c r="G12" s="1618"/>
      <c r="H12" s="1618"/>
      <c r="I12" s="1618"/>
      <c r="J12" s="1618"/>
      <c r="K12" s="1618"/>
      <c r="L12" s="1618"/>
      <c r="O12" s="529"/>
      <c r="P12" s="541" t="s">
        <v>720</v>
      </c>
      <c r="Q12" s="540"/>
      <c r="R12" s="540"/>
      <c r="S12" s="540"/>
      <c r="T12" s="540"/>
      <c r="U12" s="540"/>
      <c r="V12" s="540"/>
      <c r="W12" s="540"/>
      <c r="X12" s="540"/>
      <c r="Y12" s="540"/>
      <c r="Z12" s="540"/>
    </row>
    <row r="13" spans="1:26" ht="31.8" thickBot="1">
      <c r="B13" s="600" t="s">
        <v>725</v>
      </c>
      <c r="C13" s="599">
        <v>1500</v>
      </c>
      <c r="D13" s="598">
        <v>233</v>
      </c>
      <c r="E13" s="549"/>
      <c r="F13" s="548"/>
      <c r="G13" s="549"/>
      <c r="H13" s="548"/>
      <c r="I13" s="549"/>
      <c r="J13" s="548"/>
      <c r="K13" s="549"/>
      <c r="L13" s="548"/>
      <c r="O13" s="529"/>
      <c r="P13" s="540"/>
      <c r="Q13" s="540"/>
      <c r="R13" s="540"/>
      <c r="S13" s="540"/>
      <c r="T13" s="540"/>
      <c r="U13" s="540"/>
      <c r="V13" s="540"/>
      <c r="W13" s="540"/>
      <c r="X13" s="540"/>
      <c r="Y13" s="540"/>
      <c r="Z13" s="540"/>
    </row>
    <row r="14" spans="1:26" ht="31.8" thickBot="1">
      <c r="B14" s="597" t="s">
        <v>724</v>
      </c>
      <c r="C14" s="596">
        <v>1537</v>
      </c>
      <c r="D14" s="596">
        <v>1537</v>
      </c>
      <c r="O14" s="529"/>
      <c r="P14" s="541" t="s">
        <v>683</v>
      </c>
      <c r="Q14" s="529"/>
      <c r="R14" s="529"/>
      <c r="S14" s="529"/>
      <c r="T14" s="529"/>
      <c r="U14" s="542"/>
      <c r="V14" s="544"/>
      <c r="W14" s="544"/>
      <c r="X14" s="544"/>
      <c r="Y14" s="544"/>
      <c r="Z14" s="544"/>
    </row>
    <row r="15" spans="1:26">
      <c r="B15" s="546"/>
      <c r="C15" s="545"/>
    </row>
    <row r="16" spans="1:26">
      <c r="A16" s="595" t="s">
        <v>723</v>
      </c>
      <c r="B16" s="1616" t="s">
        <v>722</v>
      </c>
      <c r="C16" s="1616"/>
      <c r="D16" s="1616"/>
      <c r="E16" s="1616"/>
      <c r="F16" s="1616"/>
      <c r="G16" s="1616"/>
      <c r="H16" s="1616"/>
      <c r="I16" s="1616"/>
      <c r="J16" s="1616"/>
      <c r="K16" s="1616"/>
      <c r="L16" s="1616"/>
      <c r="P16" s="538"/>
    </row>
    <row r="17" spans="2:20">
      <c r="B17" s="1616"/>
      <c r="C17" s="1616"/>
      <c r="D17" s="1616"/>
      <c r="E17" s="1616"/>
      <c r="F17" s="1616"/>
      <c r="G17" s="1616"/>
      <c r="H17" s="1616"/>
      <c r="I17" s="1616"/>
      <c r="J17" s="1616"/>
      <c r="K17" s="1616"/>
      <c r="L17" s="1616"/>
    </row>
    <row r="18" spans="2:20">
      <c r="B18" s="541"/>
      <c r="G18" s="542"/>
      <c r="H18" s="544"/>
      <c r="I18" s="544"/>
      <c r="J18" s="544"/>
      <c r="K18" s="544"/>
      <c r="L18" s="544"/>
      <c r="P18" s="536"/>
    </row>
    <row r="19" spans="2:20">
      <c r="B19" s="541" t="s">
        <v>721</v>
      </c>
      <c r="G19" s="542"/>
      <c r="H19" s="544"/>
      <c r="I19" s="544"/>
      <c r="J19" s="544"/>
      <c r="K19" s="544"/>
      <c r="L19" s="544"/>
    </row>
    <row r="20" spans="2:20">
      <c r="G20" s="542"/>
      <c r="H20" s="544"/>
      <c r="I20" s="544"/>
      <c r="J20" s="544"/>
      <c r="K20" s="544"/>
      <c r="L20" s="544"/>
      <c r="Q20" s="533"/>
      <c r="R20" s="533"/>
      <c r="S20" s="533"/>
      <c r="T20" s="533"/>
    </row>
    <row r="21" spans="2:20">
      <c r="B21" s="541" t="s">
        <v>720</v>
      </c>
      <c r="C21" s="540"/>
      <c r="D21" s="540"/>
      <c r="E21" s="540"/>
      <c r="F21" s="540"/>
      <c r="G21" s="540"/>
      <c r="H21" s="540"/>
      <c r="I21" s="540"/>
      <c r="J21" s="540"/>
      <c r="K21" s="540"/>
      <c r="L21" s="540"/>
      <c r="T21" s="532"/>
    </row>
    <row r="22" spans="2:20">
      <c r="B22" s="540"/>
      <c r="C22" s="540"/>
      <c r="D22" s="540"/>
      <c r="E22" s="540"/>
      <c r="F22" s="540"/>
      <c r="G22" s="540"/>
      <c r="H22" s="540"/>
      <c r="I22" s="540"/>
      <c r="J22" s="540"/>
      <c r="K22" s="540"/>
      <c r="L22" s="540"/>
      <c r="P22" s="534"/>
      <c r="T22" s="532"/>
    </row>
    <row r="23" spans="2:20">
      <c r="B23" s="541" t="s">
        <v>683</v>
      </c>
      <c r="G23" s="542"/>
      <c r="H23" s="544"/>
      <c r="I23" s="544"/>
      <c r="J23" s="544"/>
      <c r="K23" s="544"/>
      <c r="L23" s="544"/>
      <c r="P23" s="534"/>
      <c r="T23" s="532"/>
    </row>
    <row r="24" spans="2:20">
      <c r="P24" s="534"/>
      <c r="T24" s="532"/>
    </row>
    <row r="25" spans="2:20" ht="17.399999999999999">
      <c r="P25" s="534"/>
      <c r="T25" s="531"/>
    </row>
    <row r="26" spans="2:20">
      <c r="P26" s="534"/>
    </row>
    <row r="28" spans="2:20">
      <c r="R28" s="530"/>
    </row>
    <row r="31" spans="2:20">
      <c r="P31" s="538"/>
    </row>
    <row r="34" spans="16:20">
      <c r="P34" s="536"/>
    </row>
    <row r="35" spans="16:20">
      <c r="P35" s="534"/>
    </row>
    <row r="36" spans="16:20">
      <c r="Q36" s="533"/>
      <c r="R36" s="533"/>
      <c r="S36" s="533"/>
      <c r="T36" s="533"/>
    </row>
    <row r="37" spans="16:20">
      <c r="T37" s="532"/>
    </row>
    <row r="38" spans="16:20">
      <c r="T38" s="532"/>
    </row>
    <row r="39" spans="16:20">
      <c r="T39" s="532"/>
    </row>
    <row r="40" spans="16:20">
      <c r="T40" s="532"/>
    </row>
    <row r="41" spans="16:20" ht="17.399999999999999">
      <c r="T41" s="531"/>
    </row>
    <row r="44" spans="16:20">
      <c r="R44" s="530"/>
    </row>
  </sheetData>
  <sheetProtection algorithmName="SHA-512" hashValue="eGzKdAHI3vENJt+ZKAHiZLWT7YHe7duLIIX7oQ1qQSY6iY52Qi3fYkkwk4NkcHtET3qw9FVV4lhLOBVq00sWmw==" saltValue="w4Nvipvv+aXWncNfuVLNLA==" spinCount="100000" sheet="1" formatCells="0" formatColumns="0" formatRows="0" insertColumns="0" insertRows="0"/>
  <mergeCells count="10">
    <mergeCell ref="B16:L17"/>
    <mergeCell ref="P7:Z8"/>
    <mergeCell ref="E11:F11"/>
    <mergeCell ref="G11:H11"/>
    <mergeCell ref="I11:J11"/>
    <mergeCell ref="K11:L11"/>
    <mergeCell ref="E12:F12"/>
    <mergeCell ref="G12:H12"/>
    <mergeCell ref="I12:J12"/>
    <mergeCell ref="K12:L12"/>
  </mergeCells>
  <pageMargins left="0.7" right="0.7" top="0.75" bottom="0.75" header="0.3" footer="0.3"/>
  <pageSetup scale="68" orientation="portrait" horizontalDpi="4294967293"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6C962-F516-40AD-9F94-1B120320FED5}">
  <dimension ref="A1:V47"/>
  <sheetViews>
    <sheetView zoomScale="70" zoomScaleNormal="70" zoomScaleSheetLayoutView="100" workbookViewId="0"/>
  </sheetViews>
  <sheetFormatPr defaultColWidth="9.33203125" defaultRowHeight="15.6"/>
  <cols>
    <col min="1" max="1" width="3.6640625" style="2" customWidth="1"/>
    <col min="2" max="2" width="39" style="2" customWidth="1"/>
    <col min="3" max="4" width="12.5546875" style="2" customWidth="1"/>
    <col min="5" max="5" width="6.88671875" style="2" bestFit="1" customWidth="1"/>
    <col min="6" max="6" width="10" style="2" bestFit="1" customWidth="1"/>
    <col min="7" max="7" width="6.88671875" style="2" bestFit="1" customWidth="1"/>
    <col min="8" max="8" width="10" style="2" bestFit="1" customWidth="1"/>
    <col min="9" max="9" width="1" style="3" customWidth="1"/>
    <col min="10" max="10" width="4" style="560" customWidth="1"/>
    <col min="11" max="13" width="9.44140625" style="560" customWidth="1"/>
    <col min="14" max="15" width="13.5546875" style="560" customWidth="1"/>
    <col min="16" max="16" width="10.109375" style="560" customWidth="1"/>
    <col min="17" max="17" width="13.33203125" style="560" customWidth="1"/>
    <col min="18" max="21" width="10.109375" style="560" customWidth="1"/>
    <col min="22" max="22" width="4.6640625" style="561" customWidth="1"/>
    <col min="23" max="16384" width="9.33203125" style="560"/>
  </cols>
  <sheetData>
    <row r="1" spans="1:21">
      <c r="A1" s="1" t="s">
        <v>719</v>
      </c>
      <c r="J1" s="1" t="s">
        <v>719</v>
      </c>
      <c r="K1" s="2"/>
      <c r="L1" s="2"/>
      <c r="M1" s="2"/>
      <c r="N1" s="2"/>
      <c r="O1" s="2"/>
      <c r="P1" s="2"/>
      <c r="Q1" s="2"/>
      <c r="R1" s="2"/>
      <c r="S1" s="2"/>
      <c r="T1" s="2"/>
      <c r="U1" s="2"/>
    </row>
    <row r="2" spans="1:21">
      <c r="A2" s="1" t="s">
        <v>718</v>
      </c>
      <c r="J2" s="1" t="s">
        <v>718</v>
      </c>
      <c r="K2" s="2"/>
      <c r="L2" s="2"/>
      <c r="M2" s="2"/>
      <c r="N2" s="2"/>
      <c r="O2" s="2"/>
      <c r="P2" s="2"/>
      <c r="Q2" s="2"/>
      <c r="R2" s="2"/>
      <c r="S2" s="2"/>
      <c r="T2" s="2"/>
      <c r="U2" s="2"/>
    </row>
    <row r="3" spans="1:21">
      <c r="A3" s="1" t="s">
        <v>336</v>
      </c>
      <c r="J3" s="1" t="s">
        <v>336</v>
      </c>
      <c r="K3" s="2"/>
      <c r="L3" s="2"/>
      <c r="M3" s="2"/>
      <c r="N3" s="2"/>
      <c r="O3" s="2"/>
      <c r="P3" s="2"/>
      <c r="Q3" s="2"/>
      <c r="R3" s="2"/>
      <c r="S3" s="2"/>
      <c r="T3" s="2"/>
      <c r="U3" s="2"/>
    </row>
    <row r="4" spans="1:21">
      <c r="J4" s="2"/>
      <c r="K4" s="2"/>
      <c r="L4" s="2"/>
      <c r="M4" s="2"/>
      <c r="N4" s="2"/>
      <c r="O4" s="2"/>
      <c r="P4" s="2"/>
      <c r="Q4" s="2"/>
      <c r="R4" s="2"/>
      <c r="S4" s="2"/>
      <c r="T4" s="2"/>
      <c r="U4" s="2"/>
    </row>
    <row r="5" spans="1:21" ht="16.2">
      <c r="A5" s="6" t="s">
        <v>697</v>
      </c>
      <c r="J5" s="6" t="s">
        <v>731</v>
      </c>
      <c r="K5" s="2"/>
      <c r="L5" s="2"/>
      <c r="M5" s="2"/>
      <c r="N5" s="2"/>
      <c r="O5" s="2"/>
      <c r="P5" s="2"/>
      <c r="Q5" s="2"/>
      <c r="R5" s="2"/>
      <c r="S5" s="2"/>
      <c r="T5" s="2"/>
      <c r="U5" s="2"/>
    </row>
    <row r="6" spans="1:21">
      <c r="A6" s="594"/>
      <c r="J6" s="2"/>
      <c r="K6" s="2"/>
      <c r="L6" s="2"/>
      <c r="M6" s="2"/>
      <c r="N6" s="2"/>
      <c r="O6" s="2"/>
      <c r="P6" s="2"/>
      <c r="Q6" s="2"/>
      <c r="R6" s="2"/>
      <c r="S6" s="2"/>
      <c r="T6" s="2"/>
      <c r="U6" s="2"/>
    </row>
    <row r="7" spans="1:21" ht="15.75" customHeight="1">
      <c r="A7" s="594" t="s">
        <v>730</v>
      </c>
      <c r="J7" s="2" t="s">
        <v>723</v>
      </c>
      <c r="K7" s="1462" t="s">
        <v>743</v>
      </c>
      <c r="L7" s="1462"/>
      <c r="M7" s="1462"/>
      <c r="N7" s="1462"/>
      <c r="O7" s="1462"/>
      <c r="P7" s="1462"/>
      <c r="Q7" s="1462"/>
      <c r="R7" s="1462"/>
      <c r="S7" s="1462"/>
      <c r="T7" s="1462"/>
      <c r="U7" s="1462"/>
    </row>
    <row r="8" spans="1:21">
      <c r="J8" s="2"/>
      <c r="K8" s="581"/>
      <c r="L8" s="2"/>
      <c r="M8" s="2"/>
      <c r="N8" s="2"/>
      <c r="O8" s="2"/>
      <c r="P8" s="582"/>
      <c r="Q8" s="9"/>
      <c r="R8" s="9"/>
      <c r="S8" s="9"/>
      <c r="T8" s="9"/>
      <c r="U8" s="9"/>
    </row>
    <row r="9" spans="1:21">
      <c r="B9" s="593" t="s">
        <v>729</v>
      </c>
      <c r="C9" s="593"/>
      <c r="D9" s="593"/>
      <c r="E9" s="593"/>
      <c r="F9" s="593"/>
      <c r="G9" s="593"/>
      <c r="H9" s="593"/>
      <c r="J9" s="2"/>
      <c r="K9" s="28" t="s">
        <v>721</v>
      </c>
      <c r="L9" s="2"/>
      <c r="M9" s="2"/>
      <c r="N9" s="2"/>
      <c r="O9" s="2"/>
      <c r="P9" s="582"/>
      <c r="Q9" s="9"/>
      <c r="R9" s="9"/>
      <c r="S9" s="9"/>
      <c r="T9" s="9"/>
      <c r="U9" s="9"/>
    </row>
    <row r="10" spans="1:21" ht="16.2" thickBot="1">
      <c r="B10" s="591"/>
      <c r="C10" s="591"/>
      <c r="D10" s="591"/>
      <c r="E10" s="591"/>
      <c r="F10" s="591"/>
      <c r="G10" s="591"/>
      <c r="H10" s="591"/>
      <c r="J10" s="2"/>
      <c r="K10" s="2"/>
      <c r="L10" s="2"/>
      <c r="M10" s="2"/>
      <c r="N10" s="2"/>
      <c r="O10" s="2"/>
      <c r="P10" s="584"/>
      <c r="Q10" s="9"/>
      <c r="R10" s="9"/>
      <c r="S10" s="9"/>
      <c r="T10" s="9"/>
      <c r="U10" s="9"/>
    </row>
    <row r="11" spans="1:21" ht="16.2" thickBot="1">
      <c r="B11" s="610"/>
      <c r="C11" s="615" t="s">
        <v>728</v>
      </c>
      <c r="D11" s="614" t="s">
        <v>727</v>
      </c>
      <c r="E11" s="1619"/>
      <c r="F11" s="1619"/>
      <c r="G11" s="1619"/>
      <c r="H11" s="1619"/>
      <c r="J11" s="2"/>
      <c r="K11" s="28" t="s">
        <v>720</v>
      </c>
      <c r="L11" s="2"/>
      <c r="M11" s="2"/>
      <c r="N11" s="2"/>
      <c r="O11" s="2"/>
      <c r="P11" s="584"/>
      <c r="Q11" s="9"/>
      <c r="R11" s="9"/>
      <c r="S11" s="9"/>
      <c r="T11" s="9"/>
      <c r="U11" s="9"/>
    </row>
    <row r="12" spans="1:21" ht="15.75" customHeight="1" thickBot="1">
      <c r="B12" s="613" t="s">
        <v>726</v>
      </c>
      <c r="C12" s="612">
        <v>1650</v>
      </c>
      <c r="D12" s="611">
        <v>201</v>
      </c>
      <c r="E12" s="1620"/>
      <c r="F12" s="1620"/>
      <c r="G12" s="1620"/>
      <c r="H12" s="1620"/>
      <c r="J12" s="2"/>
      <c r="K12" s="5"/>
      <c r="L12" s="5"/>
      <c r="M12" s="5"/>
      <c r="N12" s="5"/>
      <c r="O12" s="5"/>
      <c r="P12" s="5"/>
      <c r="Q12" s="5"/>
      <c r="R12" s="5"/>
      <c r="S12" s="5"/>
      <c r="T12" s="5"/>
      <c r="U12" s="5"/>
    </row>
    <row r="13" spans="1:21" ht="31.8" thickBot="1">
      <c r="B13" s="613" t="s">
        <v>725</v>
      </c>
      <c r="C13" s="612">
        <v>1500</v>
      </c>
      <c r="D13" s="611">
        <v>233</v>
      </c>
      <c r="E13" s="587"/>
      <c r="F13" s="586"/>
      <c r="G13" s="587"/>
      <c r="H13" s="586"/>
      <c r="J13" s="2"/>
      <c r="K13" s="28" t="s">
        <v>683</v>
      </c>
      <c r="L13" s="5"/>
      <c r="M13" s="5"/>
      <c r="N13" s="5"/>
      <c r="O13" s="5"/>
      <c r="P13" s="5"/>
      <c r="Q13" s="5"/>
      <c r="R13" s="5"/>
      <c r="S13" s="5"/>
      <c r="T13" s="5"/>
      <c r="U13" s="5"/>
    </row>
    <row r="14" spans="1:21" ht="31.8" thickBot="1">
      <c r="B14" s="610" t="s">
        <v>724</v>
      </c>
      <c r="C14" s="609">
        <v>1537</v>
      </c>
      <c r="D14" s="609">
        <v>1537</v>
      </c>
    </row>
    <row r="15" spans="1:21">
      <c r="B15" s="583"/>
      <c r="C15" s="582"/>
      <c r="K15" s="560" t="s">
        <v>721</v>
      </c>
    </row>
    <row r="16" spans="1:21">
      <c r="A16" s="2" t="s">
        <v>723</v>
      </c>
      <c r="B16" s="1462" t="s">
        <v>743</v>
      </c>
      <c r="C16" s="1462"/>
      <c r="D16" s="1462"/>
      <c r="E16" s="1462"/>
      <c r="F16" s="1462"/>
      <c r="G16" s="1462"/>
      <c r="H16" s="1462"/>
      <c r="K16" s="574"/>
    </row>
    <row r="17" spans="2:19">
      <c r="B17" s="581"/>
      <c r="G17" s="582"/>
      <c r="H17" s="9"/>
      <c r="K17" s="560" t="s">
        <v>742</v>
      </c>
    </row>
    <row r="18" spans="2:19">
      <c r="B18" s="28" t="s">
        <v>721</v>
      </c>
      <c r="G18" s="584"/>
      <c r="H18" s="9"/>
    </row>
    <row r="19" spans="2:19">
      <c r="G19" s="584"/>
      <c r="H19" s="9"/>
      <c r="K19" s="560" t="s">
        <v>735</v>
      </c>
      <c r="L19" s="573" t="s">
        <v>741</v>
      </c>
      <c r="S19" s="604"/>
    </row>
    <row r="20" spans="2:19">
      <c r="B20" s="28" t="s">
        <v>720</v>
      </c>
      <c r="C20" s="5"/>
      <c r="D20" s="5"/>
      <c r="E20" s="5"/>
      <c r="F20" s="5"/>
      <c r="G20" s="5"/>
      <c r="H20" s="5"/>
      <c r="K20" s="608" t="s">
        <v>733</v>
      </c>
      <c r="L20" s="603">
        <f>C12/C13</f>
        <v>1.1000000000000001</v>
      </c>
    </row>
    <row r="21" spans="2:19">
      <c r="B21" s="5"/>
      <c r="C21" s="5"/>
      <c r="D21" s="5"/>
      <c r="E21" s="5"/>
      <c r="F21" s="5"/>
      <c r="G21" s="5"/>
      <c r="H21" s="5"/>
    </row>
    <row r="22" spans="2:19">
      <c r="B22" s="28" t="s">
        <v>683</v>
      </c>
      <c r="G22" s="584"/>
      <c r="H22" s="9"/>
      <c r="L22" s="578"/>
      <c r="M22" s="578"/>
      <c r="N22" s="578"/>
      <c r="O22" s="578"/>
    </row>
    <row r="23" spans="2:19">
      <c r="K23" s="560" t="s">
        <v>720</v>
      </c>
      <c r="M23" s="566"/>
      <c r="N23" s="565"/>
      <c r="O23" s="567"/>
    </row>
    <row r="24" spans="2:19">
      <c r="K24" s="572"/>
      <c r="M24" s="566"/>
      <c r="N24" s="565"/>
      <c r="O24" s="567"/>
    </row>
    <row r="25" spans="2:19">
      <c r="K25" s="605" t="s">
        <v>740</v>
      </c>
      <c r="M25" s="566"/>
      <c r="N25" s="565"/>
      <c r="O25" s="567"/>
    </row>
    <row r="26" spans="2:19">
      <c r="K26" s="572"/>
      <c r="M26" s="566"/>
      <c r="N26" s="565"/>
      <c r="O26" s="567"/>
    </row>
    <row r="27" spans="2:19" ht="17.399999999999999">
      <c r="K27" s="607" t="s">
        <v>739</v>
      </c>
      <c r="L27" s="560">
        <f>SQRT(D12/D14)</f>
        <v>0.3616272051764739</v>
      </c>
      <c r="M27" s="605" t="s">
        <v>738</v>
      </c>
      <c r="N27" s="565"/>
      <c r="O27" s="564"/>
    </row>
    <row r="28" spans="2:19">
      <c r="K28" s="607" t="s">
        <v>737</v>
      </c>
      <c r="L28" s="560">
        <f>D12/D13</f>
        <v>0.86266094420600858</v>
      </c>
      <c r="M28" s="605" t="s">
        <v>736</v>
      </c>
      <c r="O28" s="562"/>
      <c r="S28" s="604"/>
    </row>
    <row r="29" spans="2:19">
      <c r="K29" s="606" t="s">
        <v>735</v>
      </c>
      <c r="L29" s="573" t="s">
        <v>734</v>
      </c>
      <c r="M29" s="605"/>
      <c r="O29" s="562"/>
      <c r="S29" s="604"/>
    </row>
    <row r="30" spans="2:19">
      <c r="K30" s="603" t="s">
        <v>733</v>
      </c>
      <c r="L30" s="603">
        <f>(L27*L28) + (1-L27)</f>
        <v>0.95033446109164299</v>
      </c>
    </row>
    <row r="31" spans="2:19">
      <c r="M31" s="563"/>
      <c r="O31" s="562"/>
    </row>
    <row r="34" spans="11:15">
      <c r="K34" s="574"/>
    </row>
    <row r="37" spans="11:15">
      <c r="K37" s="573"/>
    </row>
    <row r="38" spans="11:15">
      <c r="K38" s="572"/>
    </row>
    <row r="39" spans="11:15">
      <c r="L39" s="578"/>
      <c r="M39" s="578"/>
      <c r="N39" s="578"/>
      <c r="O39" s="578"/>
    </row>
    <row r="40" spans="11:15">
      <c r="M40" s="566"/>
      <c r="N40" s="565"/>
      <c r="O40" s="567"/>
    </row>
    <row r="41" spans="11:15">
      <c r="M41" s="566"/>
      <c r="N41" s="565"/>
      <c r="O41" s="567"/>
    </row>
    <row r="42" spans="11:15">
      <c r="M42" s="566"/>
      <c r="N42" s="565"/>
      <c r="O42" s="567"/>
    </row>
    <row r="43" spans="11:15">
      <c r="M43" s="566"/>
      <c r="N43" s="565"/>
      <c r="O43" s="567"/>
    </row>
    <row r="44" spans="11:15" ht="17.399999999999999">
      <c r="M44" s="566"/>
      <c r="N44" s="565"/>
      <c r="O44" s="564"/>
    </row>
    <row r="45" spans="11:15">
      <c r="O45" s="562"/>
    </row>
    <row r="47" spans="11:15">
      <c r="M47" s="563"/>
      <c r="O47" s="562"/>
    </row>
  </sheetData>
  <sheetProtection formatCells="0" formatColumns="0" formatRows="0" insertColumns="0" insertRows="0"/>
  <mergeCells count="6">
    <mergeCell ref="B16:H16"/>
    <mergeCell ref="K7:U7"/>
    <mergeCell ref="E11:F11"/>
    <mergeCell ref="G11:H11"/>
    <mergeCell ref="E12:F12"/>
    <mergeCell ref="G12:H12"/>
  </mergeCells>
  <pageMargins left="0.7" right="0.7" top="0.75" bottom="0.75" header="0.3" footer="0.3"/>
  <pageSetup scale="68" orientation="portrait" horizontalDpi="4294967293" verticalDpi="300" r:id="rId1"/>
  <colBreaks count="1" manualBreakCount="1">
    <brk id="9"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C0FF8-D088-43B7-8B72-CBDD9600CB15}">
  <dimension ref="A1:V46"/>
  <sheetViews>
    <sheetView zoomScale="85" zoomScaleNormal="85" zoomScaleSheetLayoutView="100" workbookViewId="0"/>
  </sheetViews>
  <sheetFormatPr defaultColWidth="9.33203125" defaultRowHeight="15.6"/>
  <cols>
    <col min="1" max="1" width="3.6640625" style="529" customWidth="1"/>
    <col min="2" max="2" width="25.44140625" style="529" customWidth="1"/>
    <col min="3" max="6" width="19.33203125" style="529" customWidth="1"/>
    <col min="7" max="7" width="10" style="529" bestFit="1" customWidth="1"/>
    <col min="8" max="8" width="2.6640625" style="529" customWidth="1"/>
    <col min="9" max="9" width="1" style="528" customWidth="1"/>
    <col min="10" max="10" width="4" style="526" customWidth="1"/>
    <col min="11" max="13" width="9.44140625" style="526" customWidth="1"/>
    <col min="14" max="15" width="13.5546875" style="526" customWidth="1"/>
    <col min="16" max="21" width="10.109375" style="526" customWidth="1"/>
    <col min="22" max="22" width="1" style="527" customWidth="1"/>
    <col min="23" max="16384" width="9.33203125" style="526"/>
  </cols>
  <sheetData>
    <row r="1" spans="1:21">
      <c r="A1" s="559" t="s">
        <v>744</v>
      </c>
      <c r="J1" s="559" t="str">
        <f>A1</f>
        <v>Exam RETDAU:  Spring 2021</v>
      </c>
      <c r="K1" s="529"/>
      <c r="L1" s="529"/>
      <c r="M1" s="529"/>
      <c r="N1" s="529"/>
      <c r="O1" s="529"/>
      <c r="P1" s="529"/>
      <c r="Q1" s="529"/>
      <c r="R1" s="529"/>
      <c r="S1" s="529"/>
      <c r="T1" s="529"/>
      <c r="U1" s="529"/>
    </row>
    <row r="2" spans="1:21">
      <c r="A2" s="559" t="s">
        <v>1</v>
      </c>
      <c r="J2" s="559" t="str">
        <f>A2</f>
        <v>Design and Accounting Exam – U.S.</v>
      </c>
      <c r="K2" s="529"/>
      <c r="L2" s="529"/>
      <c r="M2" s="529"/>
      <c r="N2" s="529"/>
      <c r="O2" s="529"/>
      <c r="P2" s="529"/>
      <c r="Q2" s="529"/>
      <c r="R2" s="529"/>
      <c r="S2" s="529"/>
      <c r="T2" s="529"/>
      <c r="U2" s="529"/>
    </row>
    <row r="3" spans="1:21">
      <c r="A3" s="559" t="s">
        <v>34</v>
      </c>
      <c r="J3" s="559" t="s">
        <v>34</v>
      </c>
      <c r="K3" s="529"/>
      <c r="L3" s="529"/>
      <c r="M3" s="529"/>
      <c r="N3" s="529"/>
      <c r="O3" s="529"/>
      <c r="P3" s="529"/>
      <c r="Q3" s="529"/>
      <c r="R3" s="529"/>
      <c r="S3" s="529"/>
      <c r="T3" s="529"/>
      <c r="U3" s="529"/>
    </row>
    <row r="4" spans="1:21">
      <c r="J4" s="529"/>
      <c r="K4" s="529"/>
      <c r="L4" s="529"/>
      <c r="M4" s="529"/>
      <c r="N4" s="529"/>
      <c r="O4" s="529"/>
      <c r="P4" s="529"/>
      <c r="Q4" s="529"/>
      <c r="R4" s="529"/>
      <c r="S4" s="529"/>
      <c r="T4" s="529"/>
      <c r="U4" s="529"/>
    </row>
    <row r="5" spans="1:21" ht="16.2">
      <c r="A5" s="558" t="s">
        <v>697</v>
      </c>
      <c r="J5" s="558" t="s">
        <v>696</v>
      </c>
      <c r="K5" s="529"/>
      <c r="L5" s="529"/>
      <c r="M5" s="529"/>
      <c r="N5" s="529"/>
      <c r="O5" s="529"/>
      <c r="P5" s="529"/>
      <c r="Q5" s="529"/>
      <c r="R5" s="529"/>
      <c r="S5" s="529"/>
      <c r="T5" s="529"/>
      <c r="U5" s="529"/>
    </row>
    <row r="6" spans="1:21">
      <c r="A6" s="557"/>
      <c r="J6" s="529"/>
      <c r="K6" s="529"/>
      <c r="L6" s="529"/>
      <c r="M6" s="529"/>
      <c r="N6" s="529"/>
      <c r="O6" s="529"/>
      <c r="P6" s="529"/>
      <c r="Q6" s="529"/>
      <c r="R6" s="529"/>
      <c r="S6" s="529"/>
      <c r="T6" s="529"/>
      <c r="U6" s="529"/>
    </row>
    <row r="7" spans="1:21" ht="15.75" customHeight="1">
      <c r="A7" s="557"/>
      <c r="B7" s="547" t="s">
        <v>695</v>
      </c>
      <c r="J7" s="529" t="s">
        <v>687</v>
      </c>
      <c r="K7" s="1616" t="s">
        <v>686</v>
      </c>
      <c r="L7" s="1616"/>
      <c r="M7" s="1616"/>
      <c r="N7" s="1616"/>
      <c r="O7" s="1616"/>
      <c r="P7" s="1616"/>
      <c r="Q7" s="1616"/>
      <c r="R7" s="1616"/>
      <c r="S7" s="1616"/>
      <c r="T7" s="1616"/>
      <c r="U7" s="1616"/>
    </row>
    <row r="8" spans="1:21">
      <c r="B8" s="529" t="s">
        <v>694</v>
      </c>
      <c r="J8" s="529"/>
      <c r="K8" s="543"/>
      <c r="L8" s="529"/>
      <c r="M8" s="529"/>
      <c r="N8" s="529"/>
      <c r="O8" s="529"/>
      <c r="P8" s="545"/>
      <c r="Q8" s="544"/>
      <c r="R8" s="544"/>
      <c r="S8" s="544"/>
      <c r="T8" s="544"/>
      <c r="U8" s="544"/>
    </row>
    <row r="9" spans="1:21">
      <c r="B9" s="556"/>
      <c r="C9" s="556"/>
      <c r="D9" s="556"/>
      <c r="E9" s="556"/>
      <c r="F9" s="556"/>
      <c r="G9" s="556"/>
      <c r="J9" s="529"/>
      <c r="K9" s="543" t="s">
        <v>685</v>
      </c>
      <c r="L9" s="529"/>
      <c r="M9" s="529"/>
      <c r="N9" s="529"/>
      <c r="O9" s="529"/>
      <c r="P9" s="545"/>
      <c r="Q9" s="544"/>
      <c r="R9" s="544"/>
      <c r="S9" s="544"/>
      <c r="T9" s="544"/>
      <c r="U9" s="544"/>
    </row>
    <row r="10" spans="1:21" ht="20.25" customHeight="1">
      <c r="B10" s="552" t="s">
        <v>693</v>
      </c>
      <c r="C10" s="555" t="s">
        <v>692</v>
      </c>
      <c r="D10" s="554" t="s">
        <v>691</v>
      </c>
      <c r="E10" s="554" t="s">
        <v>690</v>
      </c>
      <c r="F10" s="554" t="s">
        <v>689</v>
      </c>
      <c r="G10" s="553"/>
      <c r="H10" s="553"/>
      <c r="J10" s="529"/>
      <c r="K10" s="529"/>
      <c r="L10" s="543"/>
      <c r="M10" s="529"/>
      <c r="N10" s="529"/>
      <c r="O10" s="529"/>
      <c r="P10" s="529"/>
      <c r="Q10" s="542"/>
      <c r="R10" s="544"/>
      <c r="S10" s="544"/>
      <c r="T10" s="544"/>
      <c r="U10" s="544"/>
    </row>
    <row r="11" spans="1:21">
      <c r="B11" s="552" t="s">
        <v>644</v>
      </c>
      <c r="C11" s="551">
        <v>0.4</v>
      </c>
      <c r="D11" s="550">
        <v>3.2000000000000001E-2</v>
      </c>
      <c r="E11" s="550">
        <v>0.03</v>
      </c>
      <c r="F11" s="550">
        <v>5.5E-2</v>
      </c>
      <c r="G11" s="1617"/>
      <c r="H11" s="1617"/>
      <c r="J11" s="529"/>
      <c r="K11" s="543" t="s">
        <v>684</v>
      </c>
      <c r="L11" s="543"/>
      <c r="M11" s="529"/>
      <c r="N11" s="529"/>
      <c r="O11" s="529"/>
      <c r="P11" s="529"/>
      <c r="Q11" s="542"/>
      <c r="R11" s="544"/>
      <c r="S11" s="544"/>
      <c r="T11" s="544"/>
      <c r="U11" s="544"/>
    </row>
    <row r="12" spans="1:21" ht="15.75" customHeight="1">
      <c r="B12" s="552" t="s">
        <v>645</v>
      </c>
      <c r="C12" s="551">
        <v>0.6</v>
      </c>
      <c r="D12" s="550">
        <v>7.6999999999999999E-2</v>
      </c>
      <c r="E12" s="550">
        <v>6.6000000000000003E-2</v>
      </c>
      <c r="F12" s="550">
        <v>0.18</v>
      </c>
      <c r="G12" s="1618"/>
      <c r="H12" s="1618"/>
      <c r="J12" s="529"/>
      <c r="K12" s="529"/>
      <c r="L12" s="540"/>
      <c r="M12" s="540"/>
      <c r="N12" s="540"/>
      <c r="O12" s="540"/>
      <c r="P12" s="540"/>
      <c r="Q12" s="540"/>
      <c r="R12" s="540"/>
      <c r="S12" s="540"/>
      <c r="T12" s="540"/>
      <c r="U12" s="540"/>
    </row>
    <row r="13" spans="1:21">
      <c r="B13" s="548"/>
      <c r="C13" s="549"/>
      <c r="D13" s="548"/>
      <c r="E13" s="549"/>
      <c r="F13" s="548"/>
      <c r="G13" s="548"/>
      <c r="J13" s="529"/>
      <c r="K13" s="541" t="s">
        <v>683</v>
      </c>
      <c r="L13" s="540"/>
      <c r="M13" s="540"/>
      <c r="N13" s="540"/>
      <c r="O13" s="540"/>
      <c r="P13" s="540"/>
      <c r="Q13" s="540"/>
      <c r="R13" s="540"/>
      <c r="S13" s="540"/>
      <c r="T13" s="540"/>
      <c r="U13" s="540"/>
    </row>
    <row r="14" spans="1:21">
      <c r="B14" s="547" t="s">
        <v>688</v>
      </c>
      <c r="D14" s="542">
        <v>0.25</v>
      </c>
      <c r="J14" s="529"/>
      <c r="K14" s="543"/>
      <c r="L14" s="529"/>
      <c r="M14" s="529"/>
      <c r="N14" s="529"/>
      <c r="O14" s="529"/>
      <c r="P14" s="542"/>
      <c r="Q14" s="544"/>
      <c r="R14" s="544"/>
      <c r="S14" s="544"/>
      <c r="T14" s="544"/>
      <c r="U14" s="544"/>
    </row>
    <row r="15" spans="1:21">
      <c r="B15" s="546"/>
      <c r="C15" s="545"/>
    </row>
    <row r="16" spans="1:21" ht="15.75" customHeight="1">
      <c r="A16" s="529" t="s">
        <v>687</v>
      </c>
      <c r="B16" s="1616" t="s">
        <v>686</v>
      </c>
      <c r="C16" s="1616"/>
      <c r="D16" s="1616"/>
      <c r="E16" s="1616"/>
      <c r="F16" s="1616"/>
      <c r="G16" s="1616"/>
      <c r="H16" s="544"/>
    </row>
    <row r="17" spans="2:15">
      <c r="B17" s="543"/>
      <c r="G17" s="545"/>
      <c r="H17" s="544"/>
    </row>
    <row r="18" spans="2:15">
      <c r="B18" s="543" t="s">
        <v>685</v>
      </c>
      <c r="G18" s="545"/>
      <c r="H18" s="544"/>
    </row>
    <row r="19" spans="2:15">
      <c r="C19" s="543"/>
      <c r="H19" s="542"/>
    </row>
    <row r="20" spans="2:15">
      <c r="B20" s="543" t="s">
        <v>684</v>
      </c>
      <c r="C20" s="543"/>
      <c r="H20" s="542"/>
    </row>
    <row r="21" spans="2:15">
      <c r="C21" s="540"/>
      <c r="D21" s="540"/>
      <c r="E21" s="540"/>
      <c r="F21" s="540"/>
      <c r="G21" s="540"/>
      <c r="H21" s="540"/>
    </row>
    <row r="22" spans="2:15">
      <c r="B22" s="541" t="s">
        <v>683</v>
      </c>
      <c r="C22" s="540"/>
      <c r="D22" s="540"/>
      <c r="E22" s="540"/>
      <c r="F22" s="540"/>
      <c r="G22" s="540"/>
      <c r="H22" s="540"/>
      <c r="M22" s="533"/>
      <c r="N22" s="533"/>
      <c r="O22" s="533"/>
    </row>
    <row r="23" spans="2:15">
      <c r="O23" s="532"/>
    </row>
    <row r="24" spans="2:15">
      <c r="K24" s="534"/>
      <c r="O24" s="532"/>
    </row>
    <row r="25" spans="2:15">
      <c r="K25" s="534"/>
      <c r="L25" s="537"/>
      <c r="O25" s="532"/>
    </row>
    <row r="26" spans="2:15">
      <c r="K26" s="534"/>
      <c r="L26" s="537"/>
      <c r="O26" s="532"/>
    </row>
    <row r="27" spans="2:15">
      <c r="K27" s="534"/>
      <c r="L27" s="537"/>
      <c r="O27" s="535"/>
    </row>
    <row r="28" spans="2:15">
      <c r="K28" s="534"/>
      <c r="L28" s="539"/>
    </row>
    <row r="29" spans="2:15">
      <c r="L29" s="537"/>
    </row>
    <row r="30" spans="2:15">
      <c r="L30" s="537"/>
      <c r="M30" s="530"/>
    </row>
    <row r="31" spans="2:15">
      <c r="L31" s="537"/>
      <c r="O31" s="535"/>
    </row>
    <row r="33" spans="11:15">
      <c r="K33" s="538"/>
      <c r="L33" s="537"/>
    </row>
    <row r="34" spans="11:15">
      <c r="L34" s="537"/>
    </row>
    <row r="35" spans="11:15">
      <c r="L35" s="537"/>
    </row>
    <row r="36" spans="11:15">
      <c r="K36" s="536"/>
      <c r="L36" s="536"/>
      <c r="O36" s="535"/>
    </row>
    <row r="37" spans="11:15">
      <c r="K37" s="534"/>
    </row>
    <row r="38" spans="11:15">
      <c r="L38" s="533"/>
      <c r="M38" s="533"/>
      <c r="N38" s="533"/>
      <c r="O38" s="533"/>
    </row>
    <row r="39" spans="11:15">
      <c r="O39" s="532"/>
    </row>
    <row r="40" spans="11:15">
      <c r="O40" s="532"/>
    </row>
    <row r="41" spans="11:15">
      <c r="O41" s="532"/>
    </row>
    <row r="42" spans="11:15">
      <c r="O42" s="532"/>
    </row>
    <row r="43" spans="11:15" ht="17.399999999999999">
      <c r="O43" s="531"/>
    </row>
    <row r="46" spans="11:15">
      <c r="M46" s="530"/>
    </row>
  </sheetData>
  <sheetProtection algorithmName="SHA-512" hashValue="0Neu/gqA2OFtnMVjwFr5Ww8gPHx+RetboK+V4A4HmBUyxh/qYdnzGBtmPxuXaYWOau1Q/CKSpbB2N1+Msg5k/A==" saltValue="rCm0qV3nZctTO7GRINH/Hg==" spinCount="100000" sheet="1" formatCells="0" formatColumns="0" formatRows="0" insertColumns="0" insertRows="0"/>
  <mergeCells count="4">
    <mergeCell ref="K7:U7"/>
    <mergeCell ref="G11:H11"/>
    <mergeCell ref="G12:H12"/>
    <mergeCell ref="B16:G16"/>
  </mergeCells>
  <pageMargins left="0.7" right="0.7" top="0.75" bottom="0.75" header="0.3" footer="0.3"/>
  <pageSetup scale="68" orientation="portrait" horizontalDpi="4294967293"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E64A-92AE-4FBF-8B03-C4E6A0E991AF}">
  <dimension ref="A1:W50"/>
  <sheetViews>
    <sheetView topLeftCell="A10" zoomScaleNormal="100" zoomScaleSheetLayoutView="100" workbookViewId="0"/>
  </sheetViews>
  <sheetFormatPr defaultColWidth="9.33203125" defaultRowHeight="15.6"/>
  <cols>
    <col min="1" max="1" width="3.6640625" style="2" customWidth="1"/>
    <col min="2" max="6" width="20.6640625" style="2" customWidth="1"/>
    <col min="7" max="9" width="3.6640625" style="2" customWidth="1"/>
    <col min="10" max="10" width="1.6640625" style="3" customWidth="1"/>
    <col min="11" max="11" width="3.6640625" style="560" customWidth="1"/>
    <col min="12" max="22" width="10.6640625" style="560" customWidth="1"/>
    <col min="23" max="23" width="1.6640625" style="561" customWidth="1"/>
    <col min="24" max="16384" width="9.33203125" style="560"/>
  </cols>
  <sheetData>
    <row r="1" spans="1:22">
      <c r="A1" s="1" t="s">
        <v>719</v>
      </c>
      <c r="K1" s="1" t="s">
        <v>719</v>
      </c>
      <c r="L1" s="2"/>
      <c r="M1" s="2"/>
      <c r="N1" s="2"/>
      <c r="O1" s="2"/>
      <c r="P1" s="2"/>
      <c r="Q1" s="2"/>
      <c r="R1" s="2"/>
      <c r="S1" s="2"/>
      <c r="T1" s="2"/>
      <c r="U1" s="2"/>
      <c r="V1" s="2"/>
    </row>
    <row r="2" spans="1:22">
      <c r="A2" s="1" t="s">
        <v>718</v>
      </c>
      <c r="K2" s="1" t="s">
        <v>718</v>
      </c>
      <c r="L2" s="2"/>
      <c r="M2" s="2"/>
      <c r="N2" s="2"/>
      <c r="O2" s="2"/>
      <c r="P2" s="2"/>
      <c r="Q2" s="2"/>
      <c r="R2" s="2"/>
      <c r="S2" s="2"/>
      <c r="T2" s="2"/>
      <c r="U2" s="2"/>
      <c r="V2" s="2"/>
    </row>
    <row r="3" spans="1:22">
      <c r="A3" s="1" t="s">
        <v>34</v>
      </c>
      <c r="K3" s="1" t="s">
        <v>34</v>
      </c>
      <c r="L3" s="2"/>
      <c r="M3" s="2"/>
      <c r="N3" s="2"/>
      <c r="O3" s="2"/>
      <c r="P3" s="2"/>
      <c r="Q3" s="2"/>
      <c r="R3" s="2"/>
      <c r="S3" s="2"/>
      <c r="T3" s="2"/>
      <c r="U3" s="2"/>
      <c r="V3" s="2"/>
    </row>
    <row r="4" spans="1:22">
      <c r="K4" s="2"/>
      <c r="L4" s="2"/>
      <c r="M4" s="2"/>
      <c r="N4" s="2"/>
      <c r="O4" s="2"/>
      <c r="P4" s="2"/>
      <c r="Q4" s="2"/>
      <c r="R4" s="2"/>
      <c r="S4" s="2"/>
      <c r="T4" s="2"/>
      <c r="U4" s="2"/>
      <c r="V4" s="2"/>
    </row>
    <row r="5" spans="1:22" ht="16.2">
      <c r="A5" s="6" t="s">
        <v>697</v>
      </c>
      <c r="K5" s="6" t="s">
        <v>696</v>
      </c>
      <c r="L5" s="2"/>
      <c r="M5" s="2"/>
      <c r="N5" s="2"/>
      <c r="O5" s="2"/>
      <c r="P5" s="2"/>
      <c r="Q5" s="2"/>
      <c r="R5" s="2"/>
      <c r="S5" s="2"/>
      <c r="T5" s="2"/>
      <c r="U5" s="2"/>
      <c r="V5" s="2"/>
    </row>
    <row r="6" spans="1:22">
      <c r="A6" s="594"/>
      <c r="K6" s="2"/>
      <c r="L6" s="2"/>
      <c r="M6" s="2"/>
      <c r="N6" s="2"/>
      <c r="O6" s="2"/>
      <c r="P6" s="2"/>
      <c r="Q6" s="2"/>
      <c r="R6" s="2"/>
      <c r="S6" s="2"/>
      <c r="T6" s="2"/>
      <c r="U6" s="2"/>
      <c r="V6" s="2"/>
    </row>
    <row r="7" spans="1:22" ht="15.75" customHeight="1">
      <c r="A7" s="594"/>
      <c r="B7" s="585" t="s">
        <v>695</v>
      </c>
      <c r="K7" s="2" t="s">
        <v>687</v>
      </c>
      <c r="L7" s="1462" t="s">
        <v>686</v>
      </c>
      <c r="M7" s="1462"/>
      <c r="N7" s="1462"/>
      <c r="O7" s="1462"/>
      <c r="P7" s="1462"/>
      <c r="Q7" s="1462"/>
      <c r="R7" s="1462"/>
      <c r="S7" s="1462"/>
      <c r="T7" s="1462"/>
      <c r="U7" s="1462"/>
      <c r="V7" s="1462"/>
    </row>
    <row r="8" spans="1:22">
      <c r="B8" s="2" t="s">
        <v>694</v>
      </c>
      <c r="K8" s="2"/>
      <c r="L8" s="581"/>
      <c r="M8" s="2"/>
      <c r="N8" s="2"/>
      <c r="O8" s="2"/>
      <c r="P8" s="2"/>
      <c r="Q8" s="582"/>
      <c r="R8" s="9"/>
      <c r="S8" s="9"/>
      <c r="T8" s="9"/>
      <c r="U8" s="9"/>
      <c r="V8" s="9"/>
    </row>
    <row r="9" spans="1:22">
      <c r="B9" s="593"/>
      <c r="C9" s="593"/>
      <c r="D9" s="593"/>
      <c r="E9" s="593"/>
      <c r="F9" s="593"/>
      <c r="G9" s="593"/>
      <c r="H9" s="593"/>
      <c r="K9" s="2"/>
      <c r="L9" s="581" t="s">
        <v>685</v>
      </c>
      <c r="M9" s="2"/>
      <c r="N9" s="2"/>
      <c r="O9" s="2"/>
      <c r="P9" s="2"/>
      <c r="Q9" s="582"/>
      <c r="R9" s="9"/>
      <c r="S9" s="9"/>
      <c r="T9" s="9"/>
      <c r="U9" s="9"/>
      <c r="V9" s="9"/>
    </row>
    <row r="10" spans="1:22">
      <c r="B10" s="590" t="s">
        <v>693</v>
      </c>
      <c r="C10" s="589" t="s">
        <v>691</v>
      </c>
      <c r="D10" s="589" t="s">
        <v>690</v>
      </c>
      <c r="E10" s="589" t="s">
        <v>689</v>
      </c>
      <c r="F10" s="592" t="s">
        <v>692</v>
      </c>
      <c r="G10" s="591"/>
      <c r="H10" s="591"/>
      <c r="K10" s="2"/>
      <c r="L10" s="581"/>
      <c r="M10" s="2"/>
      <c r="N10" s="2"/>
      <c r="O10" s="2"/>
      <c r="P10" s="2"/>
      <c r="Q10" s="584"/>
      <c r="R10" s="9"/>
      <c r="S10" s="9"/>
      <c r="T10" s="9"/>
      <c r="U10" s="9"/>
      <c r="V10" s="9"/>
    </row>
    <row r="11" spans="1:22">
      <c r="B11" s="590" t="s">
        <v>644</v>
      </c>
      <c r="C11" s="589">
        <v>3.2000000000000001E-2</v>
      </c>
      <c r="D11" s="589">
        <v>0.03</v>
      </c>
      <c r="E11" s="589">
        <v>5.5E-2</v>
      </c>
      <c r="F11" s="588">
        <v>0.4</v>
      </c>
      <c r="G11" s="1619"/>
      <c r="H11" s="1619"/>
      <c r="K11" s="2"/>
      <c r="L11" s="581" t="s">
        <v>717</v>
      </c>
      <c r="M11" s="2"/>
      <c r="N11" s="2"/>
      <c r="O11" s="2"/>
      <c r="P11" s="2"/>
      <c r="Q11" s="584"/>
      <c r="R11" s="9"/>
      <c r="S11" s="9"/>
      <c r="T11" s="9"/>
      <c r="U11" s="9"/>
      <c r="V11" s="9"/>
    </row>
    <row r="12" spans="1:22" ht="15.75" customHeight="1">
      <c r="B12" s="590" t="s">
        <v>645</v>
      </c>
      <c r="C12" s="589">
        <v>7.6999999999999999E-2</v>
      </c>
      <c r="D12" s="589">
        <v>6.6000000000000003E-2</v>
      </c>
      <c r="E12" s="589">
        <v>0.18</v>
      </c>
      <c r="F12" s="588">
        <v>0.6</v>
      </c>
      <c r="G12" s="1620"/>
      <c r="H12" s="1620"/>
      <c r="K12" s="2"/>
      <c r="L12" s="5"/>
      <c r="M12" s="5"/>
      <c r="N12" s="5"/>
      <c r="O12" s="5"/>
      <c r="P12" s="5"/>
      <c r="Q12" s="5"/>
      <c r="R12" s="5"/>
      <c r="S12" s="5"/>
      <c r="T12" s="5"/>
      <c r="U12" s="5"/>
      <c r="V12" s="5"/>
    </row>
    <row r="13" spans="1:22">
      <c r="B13" s="586"/>
      <c r="C13" s="587"/>
      <c r="D13" s="586"/>
      <c r="E13" s="587"/>
      <c r="F13" s="586"/>
      <c r="G13" s="587"/>
      <c r="H13" s="586"/>
      <c r="K13" s="2"/>
      <c r="L13" s="28" t="s">
        <v>683</v>
      </c>
      <c r="M13" s="5"/>
      <c r="N13" s="5"/>
      <c r="O13" s="5"/>
      <c r="P13" s="5"/>
      <c r="Q13" s="5"/>
      <c r="R13" s="5"/>
      <c r="S13" s="5"/>
      <c r="T13" s="5"/>
      <c r="U13" s="5"/>
      <c r="V13" s="5"/>
    </row>
    <row r="14" spans="1:22">
      <c r="B14" s="585" t="s">
        <v>716</v>
      </c>
      <c r="C14" s="584">
        <v>0.25</v>
      </c>
      <c r="K14" s="2"/>
      <c r="L14" s="581"/>
      <c r="M14" s="2"/>
      <c r="N14" s="2"/>
      <c r="O14" s="2"/>
      <c r="P14" s="2"/>
      <c r="Q14" s="584"/>
      <c r="R14" s="9"/>
      <c r="S14" s="9"/>
      <c r="T14" s="9"/>
      <c r="U14" s="9"/>
      <c r="V14" s="9"/>
    </row>
    <row r="15" spans="1:22">
      <c r="B15" s="583"/>
      <c r="C15" s="582"/>
    </row>
    <row r="17" spans="2:16">
      <c r="L17" s="577" t="s">
        <v>715</v>
      </c>
      <c r="M17" s="575"/>
    </row>
    <row r="19" spans="2:16">
      <c r="B19" s="581"/>
      <c r="C19" s="581"/>
      <c r="D19" s="581"/>
      <c r="E19" s="581"/>
      <c r="F19" s="581"/>
      <c r="G19" s="581"/>
      <c r="H19" s="581"/>
      <c r="M19" s="575" t="s">
        <v>714</v>
      </c>
    </row>
    <row r="20" spans="2:16">
      <c r="B20" s="581"/>
      <c r="C20" s="581"/>
      <c r="D20" s="581"/>
      <c r="E20" s="581"/>
      <c r="F20" s="581"/>
      <c r="G20" s="581"/>
      <c r="H20" s="581"/>
      <c r="L20" s="573"/>
      <c r="M20" s="571" t="s">
        <v>713</v>
      </c>
    </row>
    <row r="21" spans="2:16">
      <c r="M21" s="571" t="s">
        <v>712</v>
      </c>
    </row>
    <row r="22" spans="2:16">
      <c r="M22" s="571"/>
      <c r="P22" s="579"/>
    </row>
    <row r="23" spans="2:16">
      <c r="M23" s="569" t="s">
        <v>700</v>
      </c>
      <c r="N23" s="580">
        <f>C11*F11+C12*F12</f>
        <v>5.8999999999999997E-2</v>
      </c>
      <c r="P23" s="579"/>
    </row>
    <row r="24" spans="2:16">
      <c r="M24" s="578"/>
      <c r="N24" s="578"/>
      <c r="O24" s="578"/>
      <c r="P24" s="578"/>
    </row>
    <row r="25" spans="2:16">
      <c r="L25" s="577" t="s">
        <v>711</v>
      </c>
      <c r="N25" s="566"/>
      <c r="O25" s="565"/>
      <c r="P25" s="567"/>
    </row>
    <row r="26" spans="2:16">
      <c r="L26" s="572"/>
      <c r="N26" s="566"/>
      <c r="O26" s="565"/>
      <c r="P26" s="567"/>
    </row>
    <row r="27" spans="2:16">
      <c r="L27" s="572"/>
      <c r="M27" s="571" t="s">
        <v>710</v>
      </c>
      <c r="N27" s="566"/>
      <c r="O27" s="565"/>
      <c r="P27" s="567"/>
    </row>
    <row r="28" spans="2:16">
      <c r="L28" s="572"/>
      <c r="M28" s="571" t="s">
        <v>709</v>
      </c>
      <c r="N28" s="566"/>
      <c r="O28" s="565"/>
      <c r="P28" s="567"/>
    </row>
    <row r="29" spans="2:16">
      <c r="L29" s="572"/>
      <c r="M29" s="571" t="s">
        <v>708</v>
      </c>
      <c r="N29" s="566"/>
      <c r="O29" s="565"/>
    </row>
    <row r="30" spans="2:16">
      <c r="L30" s="572"/>
      <c r="M30" s="571"/>
      <c r="N30" s="566"/>
      <c r="O30" s="565"/>
      <c r="P30" s="576"/>
    </row>
    <row r="31" spans="2:16">
      <c r="L31" s="572"/>
      <c r="M31" s="569" t="s">
        <v>700</v>
      </c>
      <c r="N31" s="568">
        <f>(E11^2*F11^2+E12^2*F12^2+2*F12*F11*E11*E12*C14)^0.5</f>
        <v>0.11548160026601639</v>
      </c>
      <c r="O31" s="565"/>
      <c r="P31" s="576"/>
    </row>
    <row r="32" spans="2:16">
      <c r="L32" s="572"/>
      <c r="M32" s="575"/>
      <c r="P32" s="562"/>
    </row>
    <row r="33" spans="12:16">
      <c r="M33" s="571" t="s">
        <v>707</v>
      </c>
    </row>
    <row r="34" spans="12:16">
      <c r="M34" s="571" t="s">
        <v>706</v>
      </c>
      <c r="N34" s="563"/>
      <c r="P34" s="562"/>
    </row>
    <row r="35" spans="12:16">
      <c r="M35" s="571" t="s">
        <v>705</v>
      </c>
    </row>
    <row r="37" spans="12:16">
      <c r="L37" s="574"/>
      <c r="M37" s="569" t="s">
        <v>700</v>
      </c>
      <c r="N37" s="568">
        <f>EXP(LN(1+N23)-LN((1+(N31^2)/((1+N23)^2)/2)))-1</f>
        <v>5.2740709782129747E-2</v>
      </c>
    </row>
    <row r="39" spans="12:16">
      <c r="M39" s="571" t="s">
        <v>704</v>
      </c>
    </row>
    <row r="40" spans="12:16">
      <c r="L40" s="573"/>
      <c r="M40" s="571" t="s">
        <v>703</v>
      </c>
    </row>
    <row r="41" spans="12:16">
      <c r="L41" s="572"/>
      <c r="M41" s="571" t="s">
        <v>702</v>
      </c>
    </row>
    <row r="42" spans="12:16">
      <c r="M42" s="570" t="s">
        <v>701</v>
      </c>
    </row>
    <row r="43" spans="12:16">
      <c r="N43" s="566"/>
      <c r="O43" s="565"/>
      <c r="P43" s="567"/>
    </row>
    <row r="44" spans="12:16">
      <c r="M44" s="569" t="s">
        <v>700</v>
      </c>
      <c r="N44" s="568">
        <f>N23-((N31)^2/2)</f>
        <v>5.2331999999999997E-2</v>
      </c>
      <c r="O44" s="565"/>
      <c r="P44" s="567"/>
    </row>
    <row r="45" spans="12:16">
      <c r="N45" s="566"/>
      <c r="O45" s="565"/>
      <c r="P45" s="567"/>
    </row>
    <row r="46" spans="12:16">
      <c r="N46" s="566"/>
      <c r="O46" s="565"/>
      <c r="P46" s="567"/>
    </row>
    <row r="47" spans="12:16" ht="17.399999999999999">
      <c r="N47" s="566"/>
      <c r="O47" s="565"/>
      <c r="P47" s="564"/>
    </row>
    <row r="48" spans="12:16">
      <c r="P48" s="562"/>
    </row>
    <row r="50" spans="14:16">
      <c r="N50" s="563"/>
      <c r="P50" s="562"/>
    </row>
  </sheetData>
  <sheetProtection formatCells="0" formatColumns="0" formatRows="0" insertColumns="0" insertRows="0"/>
  <mergeCells count="3">
    <mergeCell ref="L7:V7"/>
    <mergeCell ref="G11:H11"/>
    <mergeCell ref="G12:H12"/>
  </mergeCells>
  <pageMargins left="0.7" right="0.7" top="0.75" bottom="0.75" header="0.3" footer="0.3"/>
  <pageSetup scale="68" orientation="portrait" horizontalDpi="4294967293" verticalDpi="300" r:id="rId1"/>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D1E25-8650-4EAF-9CB2-5019E2833743}">
  <dimension ref="A1:W50"/>
  <sheetViews>
    <sheetView zoomScale="70" zoomScaleNormal="70" zoomScaleSheetLayoutView="100" workbookViewId="0"/>
  </sheetViews>
  <sheetFormatPr defaultColWidth="9.88671875" defaultRowHeight="15.6"/>
  <cols>
    <col min="1" max="1" width="3.88671875" style="619" customWidth="1"/>
    <col min="2" max="2" width="40.88671875" style="619" customWidth="1"/>
    <col min="3" max="7" width="6.109375" style="619" bestFit="1" customWidth="1"/>
    <col min="8" max="8" width="6.6640625" style="619" bestFit="1" customWidth="1"/>
    <col min="9" max="9" width="7.33203125" style="619" bestFit="1" customWidth="1"/>
    <col min="10" max="10" width="1" style="618" customWidth="1"/>
    <col min="11" max="11" width="4.109375" style="616" customWidth="1"/>
    <col min="12" max="12" width="18.88671875" style="616" customWidth="1"/>
    <col min="13" max="13" width="14.5546875" style="616" customWidth="1"/>
    <col min="14" max="14" width="9.88671875" style="616" customWidth="1"/>
    <col min="15" max="16" width="14.109375" style="616" customWidth="1"/>
    <col min="17" max="17" width="10.5546875" style="616" customWidth="1"/>
    <col min="18" max="18" width="14" style="616" customWidth="1"/>
    <col min="19" max="19" width="2.88671875" style="616" customWidth="1"/>
    <col min="20" max="22" width="5" style="616" customWidth="1"/>
    <col min="23" max="23" width="4.88671875" style="617" customWidth="1"/>
    <col min="24" max="16384" width="9.88671875" style="616"/>
  </cols>
  <sheetData>
    <row r="1" spans="1:22">
      <c r="A1" s="661" t="s">
        <v>750</v>
      </c>
      <c r="K1" s="661" t="s">
        <v>750</v>
      </c>
      <c r="L1" s="619"/>
      <c r="M1" s="619"/>
      <c r="N1" s="619"/>
      <c r="O1" s="619"/>
      <c r="P1" s="619"/>
      <c r="Q1" s="619"/>
      <c r="R1" s="619"/>
      <c r="S1" s="619"/>
      <c r="T1" s="619"/>
      <c r="U1" s="619"/>
      <c r="V1" s="619"/>
    </row>
    <row r="2" spans="1:22">
      <c r="A2" s="661" t="s">
        <v>1</v>
      </c>
      <c r="K2" s="661" t="s">
        <v>1</v>
      </c>
      <c r="L2" s="619"/>
      <c r="M2" s="619"/>
      <c r="N2" s="619"/>
      <c r="O2" s="619"/>
      <c r="P2" s="619"/>
      <c r="Q2" s="619"/>
      <c r="R2" s="619"/>
      <c r="S2" s="619"/>
      <c r="T2" s="619"/>
      <c r="U2" s="619"/>
      <c r="V2" s="619"/>
    </row>
    <row r="3" spans="1:22">
      <c r="A3" s="661" t="s">
        <v>162</v>
      </c>
      <c r="K3" s="661" t="s">
        <v>162</v>
      </c>
      <c r="L3" s="619"/>
      <c r="M3" s="619"/>
      <c r="N3" s="619"/>
      <c r="O3" s="619"/>
      <c r="P3" s="619"/>
      <c r="Q3" s="619"/>
      <c r="R3" s="619"/>
      <c r="S3" s="619"/>
      <c r="T3" s="619"/>
      <c r="U3" s="619"/>
      <c r="V3" s="619"/>
    </row>
    <row r="4" spans="1:22">
      <c r="K4" s="619"/>
      <c r="L4" s="619"/>
      <c r="M4" s="619"/>
      <c r="N4" s="619"/>
      <c r="O4" s="619"/>
      <c r="P4" s="619"/>
      <c r="Q4" s="619"/>
      <c r="R4" s="619"/>
      <c r="S4" s="619"/>
      <c r="T4" s="619"/>
      <c r="U4" s="619"/>
      <c r="V4" s="619"/>
    </row>
    <row r="5" spans="1:22" ht="16.2">
      <c r="A5" s="660" t="s">
        <v>697</v>
      </c>
      <c r="K5" s="660" t="s">
        <v>731</v>
      </c>
      <c r="L5" s="619"/>
      <c r="M5" s="619"/>
      <c r="N5" s="619"/>
      <c r="O5" s="619"/>
      <c r="P5" s="619"/>
      <c r="Q5" s="619"/>
      <c r="R5" s="619"/>
      <c r="S5" s="619"/>
      <c r="T5" s="619"/>
      <c r="U5" s="619"/>
      <c r="V5" s="619"/>
    </row>
    <row r="6" spans="1:22">
      <c r="A6" s="659"/>
      <c r="K6" s="619"/>
      <c r="L6" s="619"/>
      <c r="M6" s="619"/>
      <c r="N6" s="619"/>
      <c r="O6" s="619"/>
      <c r="P6" s="619"/>
      <c r="Q6" s="619"/>
      <c r="R6" s="619"/>
      <c r="S6" s="619"/>
      <c r="T6" s="619"/>
      <c r="U6" s="619"/>
      <c r="V6" s="619"/>
    </row>
    <row r="7" spans="1:22" ht="15.75" customHeight="1">
      <c r="A7" s="659" t="s">
        <v>730</v>
      </c>
      <c r="K7" s="619" t="s">
        <v>723</v>
      </c>
      <c r="L7" s="1621" t="s">
        <v>745</v>
      </c>
      <c r="M7" s="1621"/>
      <c r="N7" s="1621"/>
      <c r="O7" s="1621"/>
      <c r="P7" s="1621"/>
      <c r="Q7" s="1621"/>
      <c r="R7" s="1621"/>
      <c r="S7" s="1621"/>
      <c r="T7" s="1621"/>
      <c r="U7" s="1621"/>
      <c r="V7" s="1621"/>
    </row>
    <row r="8" spans="1:22" ht="16.2" thickBot="1">
      <c r="B8" s="658"/>
      <c r="C8" s="658"/>
      <c r="D8" s="658"/>
      <c r="E8" s="658"/>
      <c r="F8" s="658"/>
      <c r="G8" s="658"/>
      <c r="H8" s="658"/>
      <c r="I8" s="658"/>
      <c r="K8" s="619"/>
      <c r="L8" s="639"/>
      <c r="M8" s="619"/>
      <c r="N8" s="619"/>
      <c r="O8" s="619"/>
      <c r="P8" s="619"/>
      <c r="Q8" s="638"/>
      <c r="R8" s="653"/>
      <c r="S8" s="653"/>
      <c r="T8" s="653"/>
      <c r="U8" s="653"/>
      <c r="V8" s="653"/>
    </row>
    <row r="9" spans="1:22" ht="16.2" thickBot="1">
      <c r="B9" s="647"/>
      <c r="C9" s="657">
        <v>2018</v>
      </c>
      <c r="D9" s="656">
        <f>2019</f>
        <v>2019</v>
      </c>
      <c r="E9" s="657">
        <v>2020</v>
      </c>
      <c r="F9" s="656">
        <v>2021</v>
      </c>
      <c r="G9" s="656">
        <v>2022</v>
      </c>
      <c r="H9" s="656" t="s">
        <v>440</v>
      </c>
      <c r="I9" s="655"/>
      <c r="K9" s="619"/>
      <c r="L9" s="636" t="s">
        <v>683</v>
      </c>
      <c r="M9" s="619"/>
      <c r="N9" s="619"/>
      <c r="O9" s="619"/>
      <c r="P9" s="619"/>
      <c r="Q9" s="638"/>
      <c r="R9" s="653"/>
      <c r="S9" s="653"/>
      <c r="T9" s="653"/>
      <c r="U9" s="653"/>
      <c r="V9" s="653"/>
    </row>
    <row r="10" spans="1:22" ht="16.2" thickBot="1">
      <c r="B10" s="652" t="s">
        <v>749</v>
      </c>
      <c r="C10" s="651">
        <v>10</v>
      </c>
      <c r="D10" s="651">
        <v>20</v>
      </c>
      <c r="E10" s="651">
        <v>30</v>
      </c>
      <c r="F10" s="651">
        <v>90</v>
      </c>
      <c r="G10" s="651">
        <v>90</v>
      </c>
      <c r="H10" s="651">
        <v>240</v>
      </c>
      <c r="I10" s="654"/>
      <c r="K10" s="619"/>
      <c r="L10" s="619"/>
      <c r="M10" s="619"/>
      <c r="N10" s="619"/>
      <c r="O10" s="619"/>
      <c r="P10" s="619"/>
      <c r="Q10" s="635"/>
      <c r="R10" s="653"/>
      <c r="S10" s="653"/>
      <c r="T10" s="653"/>
      <c r="U10" s="653"/>
      <c r="V10" s="653"/>
    </row>
    <row r="11" spans="1:22" ht="31.8" thickBot="1">
      <c r="B11" s="652" t="s">
        <v>748</v>
      </c>
      <c r="C11" s="651">
        <v>25</v>
      </c>
      <c r="D11" s="651">
        <v>25</v>
      </c>
      <c r="E11" s="651">
        <v>25</v>
      </c>
      <c r="F11" s="651">
        <v>25</v>
      </c>
      <c r="G11" s="651">
        <v>25</v>
      </c>
      <c r="H11" s="651">
        <v>125</v>
      </c>
      <c r="I11" s="650"/>
      <c r="L11" s="631"/>
      <c r="Q11" s="649"/>
      <c r="R11" s="648"/>
      <c r="S11" s="648"/>
      <c r="T11" s="648"/>
      <c r="U11" s="648"/>
      <c r="V11" s="648"/>
    </row>
    <row r="12" spans="1:22" ht="35.25" customHeight="1" thickBot="1">
      <c r="B12" s="647" t="s">
        <v>724</v>
      </c>
      <c r="C12" s="646" t="s">
        <v>72</v>
      </c>
      <c r="D12" s="646" t="s">
        <v>72</v>
      </c>
      <c r="E12" s="646" t="s">
        <v>72</v>
      </c>
      <c r="F12" s="646" t="s">
        <v>72</v>
      </c>
      <c r="G12" s="646" t="s">
        <v>72</v>
      </c>
      <c r="H12" s="646">
        <v>1022</v>
      </c>
      <c r="L12" s="645"/>
      <c r="M12" s="645"/>
      <c r="N12" s="645"/>
      <c r="O12" s="645"/>
      <c r="P12" s="645"/>
      <c r="Q12" s="645"/>
      <c r="R12" s="645"/>
      <c r="S12" s="645"/>
      <c r="T12" s="645"/>
      <c r="U12" s="645"/>
      <c r="V12" s="645"/>
    </row>
    <row r="13" spans="1:22" ht="43.5" customHeight="1" thickBot="1">
      <c r="B13" s="647" t="s">
        <v>747</v>
      </c>
      <c r="C13" s="646" t="s">
        <v>72</v>
      </c>
      <c r="D13" s="646" t="s">
        <v>72</v>
      </c>
      <c r="E13" s="646" t="s">
        <v>72</v>
      </c>
      <c r="F13" s="646" t="s">
        <v>72</v>
      </c>
      <c r="G13" s="646" t="s">
        <v>72</v>
      </c>
      <c r="H13" s="646">
        <v>1245</v>
      </c>
      <c r="M13" s="645"/>
      <c r="N13" s="645"/>
      <c r="O13" s="645"/>
      <c r="P13" s="645"/>
      <c r="Q13" s="645"/>
      <c r="R13" s="645"/>
      <c r="S13" s="645"/>
      <c r="T13" s="645"/>
      <c r="U13" s="645"/>
      <c r="V13" s="645"/>
    </row>
    <row r="14" spans="1:22">
      <c r="B14" s="642"/>
      <c r="C14" s="642"/>
      <c r="D14" s="642"/>
      <c r="E14" s="641"/>
      <c r="F14" s="641"/>
    </row>
    <row r="15" spans="1:22">
      <c r="B15" s="643" t="s">
        <v>746</v>
      </c>
      <c r="C15" s="642"/>
      <c r="D15" s="642"/>
      <c r="E15" s="641"/>
      <c r="F15" s="641"/>
      <c r="M15" s="644"/>
    </row>
    <row r="16" spans="1:22">
      <c r="B16" s="643"/>
      <c r="C16" s="642"/>
      <c r="D16" s="642"/>
      <c r="E16" s="641"/>
      <c r="F16" s="641"/>
    </row>
    <row r="17" spans="1:20" ht="38.25" customHeight="1">
      <c r="A17" s="640" t="s">
        <v>723</v>
      </c>
      <c r="B17" s="1621" t="s">
        <v>745</v>
      </c>
      <c r="C17" s="1621"/>
      <c r="D17" s="1621"/>
      <c r="E17" s="1621"/>
      <c r="F17" s="1621"/>
      <c r="G17" s="1621"/>
      <c r="H17" s="1621"/>
      <c r="I17" s="1621"/>
    </row>
    <row r="18" spans="1:20">
      <c r="B18" s="639"/>
      <c r="C18" s="639"/>
      <c r="D18" s="639"/>
      <c r="I18" s="638"/>
    </row>
    <row r="19" spans="1:20">
      <c r="B19" s="636"/>
      <c r="C19" s="636"/>
      <c r="D19" s="636"/>
      <c r="I19" s="635"/>
      <c r="L19" s="629"/>
    </row>
    <row r="20" spans="1:20">
      <c r="I20" s="635"/>
      <c r="L20" s="631"/>
      <c r="N20" s="624"/>
      <c r="O20" s="623"/>
      <c r="P20" s="625"/>
    </row>
    <row r="21" spans="1:20">
      <c r="B21" s="636"/>
      <c r="C21" s="636"/>
      <c r="D21" s="636"/>
      <c r="E21" s="637"/>
      <c r="F21" s="637"/>
      <c r="G21" s="637"/>
      <c r="H21" s="637"/>
      <c r="I21" s="637"/>
      <c r="L21" s="627"/>
      <c r="N21" s="624"/>
      <c r="O21" s="623"/>
      <c r="P21" s="625"/>
    </row>
    <row r="22" spans="1:20" ht="17.399999999999999">
      <c r="B22" s="637"/>
      <c r="C22" s="637"/>
      <c r="D22" s="637"/>
      <c r="E22" s="637"/>
      <c r="F22" s="637"/>
      <c r="G22" s="637"/>
      <c r="H22" s="637"/>
      <c r="I22" s="637"/>
      <c r="L22" s="634"/>
      <c r="N22" s="631"/>
      <c r="O22" s="623"/>
      <c r="P22" s="622"/>
      <c r="T22" s="633"/>
    </row>
    <row r="23" spans="1:20">
      <c r="B23" s="636"/>
      <c r="C23" s="636"/>
      <c r="D23" s="636"/>
      <c r="I23" s="635"/>
      <c r="L23" s="634"/>
      <c r="N23" s="631"/>
      <c r="P23" s="620"/>
    </row>
    <row r="24" spans="1:20">
      <c r="L24" s="632"/>
      <c r="M24" s="628"/>
      <c r="N24" s="631"/>
      <c r="P24" s="620"/>
    </row>
    <row r="25" spans="1:20">
      <c r="L25" s="630"/>
      <c r="M25" s="630"/>
    </row>
    <row r="27" spans="1:20">
      <c r="N27" s="624"/>
      <c r="O27" s="623"/>
      <c r="P27" s="625"/>
    </row>
    <row r="28" spans="1:20">
      <c r="L28" s="627"/>
      <c r="N28" s="624"/>
      <c r="O28" s="623"/>
      <c r="P28" s="625"/>
    </row>
    <row r="29" spans="1:20">
      <c r="L29" s="631"/>
      <c r="N29" s="624"/>
      <c r="O29" s="623"/>
      <c r="P29" s="625"/>
    </row>
    <row r="30" spans="1:20">
      <c r="L30" s="627"/>
      <c r="N30" s="624"/>
      <c r="O30" s="623"/>
      <c r="P30" s="625"/>
    </row>
    <row r="31" spans="1:20" ht="17.399999999999999">
      <c r="L31" s="634"/>
      <c r="N31" s="631"/>
      <c r="O31" s="623"/>
      <c r="P31" s="622"/>
      <c r="T31" s="633"/>
    </row>
    <row r="32" spans="1:20">
      <c r="L32" s="634"/>
      <c r="N32" s="631"/>
      <c r="P32" s="620"/>
      <c r="T32" s="633"/>
    </row>
    <row r="33" spans="12:16">
      <c r="L33" s="632"/>
      <c r="M33" s="628"/>
      <c r="N33" s="631"/>
      <c r="P33" s="620"/>
    </row>
    <row r="34" spans="12:16">
      <c r="L34" s="630"/>
      <c r="M34" s="630"/>
    </row>
    <row r="37" spans="12:16">
      <c r="L37" s="629"/>
    </row>
    <row r="40" spans="12:16">
      <c r="L40" s="628"/>
    </row>
    <row r="41" spans="12:16">
      <c r="L41" s="627"/>
    </row>
    <row r="42" spans="12:16">
      <c r="M42" s="626"/>
      <c r="N42" s="626"/>
      <c r="O42" s="626"/>
      <c r="P42" s="626"/>
    </row>
    <row r="43" spans="12:16">
      <c r="N43" s="624"/>
      <c r="O43" s="623"/>
      <c r="P43" s="625"/>
    </row>
    <row r="44" spans="12:16">
      <c r="N44" s="624"/>
      <c r="O44" s="623"/>
      <c r="P44" s="625"/>
    </row>
    <row r="45" spans="12:16">
      <c r="N45" s="624"/>
      <c r="O45" s="623"/>
      <c r="P45" s="625"/>
    </row>
    <row r="46" spans="12:16">
      <c r="N46" s="624"/>
      <c r="O46" s="623"/>
      <c r="P46" s="625"/>
    </row>
    <row r="47" spans="12:16" ht="17.399999999999999">
      <c r="N47" s="624"/>
      <c r="O47" s="623"/>
      <c r="P47" s="622"/>
    </row>
    <row r="48" spans="12:16">
      <c r="P48" s="620"/>
    </row>
    <row r="50" spans="14:16">
      <c r="N50" s="621"/>
      <c r="P50" s="620"/>
    </row>
  </sheetData>
  <sheetProtection algorithmName="SHA-512" hashValue="n/WUFjrBY+fsy60ppbQJ9fJlSDTJkQmE40TmRXo4EOBZZd57RL3lZplySMJgoMJBue/BEnzUcv1n3m5PClnOQg==" saltValue="9sPkWv5imvFQxEx7dDc36g==" spinCount="100000" sheet="1" formatCells="0" formatColumns="0" formatRows="0" insertColumns="0" insertRows="0"/>
  <mergeCells count="2">
    <mergeCell ref="L7:V7"/>
    <mergeCell ref="B17:I17"/>
  </mergeCells>
  <pageMargins left="0.7" right="0.7" top="0.75" bottom="0.75" header="0.3" footer="0.3"/>
  <pageSetup scale="68" orientation="portrait" horizontalDpi="4294967293" verticalDpi="300" r:id="rId1"/>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D849C-3465-4D3C-BD53-9E24098EF1E0}">
  <dimension ref="A1:W50"/>
  <sheetViews>
    <sheetView zoomScale="70" zoomScaleNormal="70" zoomScaleSheetLayoutView="100" workbookViewId="0"/>
  </sheetViews>
  <sheetFormatPr defaultColWidth="9.88671875" defaultRowHeight="15.6"/>
  <cols>
    <col min="1" max="1" width="3.88671875" style="619" customWidth="1"/>
    <col min="2" max="2" width="40.88671875" style="619" customWidth="1"/>
    <col min="3" max="7" width="6.109375" style="619" bestFit="1" customWidth="1"/>
    <col min="8" max="8" width="6.6640625" style="619" bestFit="1" customWidth="1"/>
    <col min="9" max="9" width="7.33203125" style="619" bestFit="1" customWidth="1"/>
    <col min="10" max="10" width="1" style="618" customWidth="1"/>
    <col min="11" max="11" width="4.109375" style="616" customWidth="1"/>
    <col min="12" max="12" width="18.88671875" style="616" customWidth="1"/>
    <col min="13" max="13" width="14.5546875" style="616" customWidth="1"/>
    <col min="14" max="14" width="9.88671875" style="616" customWidth="1"/>
    <col min="15" max="16" width="14.109375" style="616" customWidth="1"/>
    <col min="17" max="17" width="10.5546875" style="616" customWidth="1"/>
    <col min="18" max="18" width="14" style="616" customWidth="1"/>
    <col min="19" max="19" width="2.88671875" style="616" customWidth="1"/>
    <col min="20" max="22" width="5" style="616" customWidth="1"/>
    <col min="23" max="23" width="4.88671875" style="617" customWidth="1"/>
    <col min="24" max="16384" width="9.88671875" style="616"/>
  </cols>
  <sheetData>
    <row r="1" spans="1:22">
      <c r="A1" s="661" t="s">
        <v>750</v>
      </c>
      <c r="K1" s="661" t="s">
        <v>750</v>
      </c>
      <c r="L1" s="619"/>
      <c r="M1" s="619"/>
      <c r="N1" s="619"/>
      <c r="O1" s="619"/>
      <c r="P1" s="619"/>
      <c r="Q1" s="619"/>
      <c r="R1" s="619"/>
      <c r="S1" s="619"/>
      <c r="T1" s="619"/>
      <c r="U1" s="619"/>
      <c r="V1" s="619"/>
    </row>
    <row r="2" spans="1:22">
      <c r="A2" s="661" t="s">
        <v>1</v>
      </c>
      <c r="K2" s="661" t="s">
        <v>1</v>
      </c>
      <c r="L2" s="619"/>
      <c r="M2" s="619"/>
      <c r="N2" s="619"/>
      <c r="O2" s="619"/>
      <c r="P2" s="619"/>
      <c r="Q2" s="619"/>
      <c r="R2" s="619"/>
      <c r="S2" s="619"/>
      <c r="T2" s="619"/>
      <c r="U2" s="619"/>
      <c r="V2" s="619"/>
    </row>
    <row r="3" spans="1:22">
      <c r="A3" s="661" t="s">
        <v>162</v>
      </c>
      <c r="K3" s="661" t="s">
        <v>162</v>
      </c>
      <c r="L3" s="619"/>
      <c r="M3" s="619"/>
      <c r="N3" s="619"/>
      <c r="O3" s="619"/>
      <c r="P3" s="619"/>
      <c r="Q3" s="619"/>
      <c r="R3" s="619"/>
      <c r="S3" s="619"/>
      <c r="T3" s="619"/>
      <c r="U3" s="619"/>
      <c r="V3" s="619"/>
    </row>
    <row r="4" spans="1:22">
      <c r="K4" s="619"/>
      <c r="L4" s="619"/>
      <c r="M4" s="619"/>
      <c r="N4" s="619"/>
      <c r="O4" s="619"/>
      <c r="P4" s="619"/>
      <c r="Q4" s="619"/>
      <c r="R4" s="619"/>
      <c r="S4" s="619"/>
      <c r="T4" s="619"/>
      <c r="U4" s="619"/>
      <c r="V4" s="619"/>
    </row>
    <row r="5" spans="1:22" ht="16.2">
      <c r="A5" s="660" t="s">
        <v>697</v>
      </c>
      <c r="K5" s="660" t="s">
        <v>731</v>
      </c>
      <c r="L5" s="619"/>
      <c r="M5" s="619"/>
      <c r="N5" s="619"/>
      <c r="O5" s="619"/>
      <c r="P5" s="619"/>
      <c r="Q5" s="619"/>
      <c r="R5" s="619"/>
      <c r="S5" s="619"/>
      <c r="T5" s="619"/>
      <c r="U5" s="619"/>
      <c r="V5" s="619"/>
    </row>
    <row r="6" spans="1:22">
      <c r="A6" s="659"/>
      <c r="K6" s="619"/>
      <c r="L6" s="619"/>
      <c r="M6" s="619"/>
      <c r="N6" s="619"/>
      <c r="O6" s="619"/>
      <c r="P6" s="619"/>
      <c r="Q6" s="619"/>
      <c r="R6" s="619"/>
      <c r="S6" s="619"/>
      <c r="T6" s="619"/>
      <c r="U6" s="619"/>
      <c r="V6" s="619"/>
    </row>
    <row r="7" spans="1:22" ht="15.75" customHeight="1">
      <c r="A7" s="659" t="s">
        <v>730</v>
      </c>
      <c r="K7" s="619" t="s">
        <v>723</v>
      </c>
      <c r="L7" s="1621" t="s">
        <v>745</v>
      </c>
      <c r="M7" s="1621"/>
      <c r="N7" s="1621"/>
      <c r="O7" s="1621"/>
      <c r="P7" s="1621"/>
      <c r="Q7" s="1621"/>
      <c r="R7" s="1621"/>
      <c r="S7" s="1621"/>
      <c r="T7" s="1621"/>
      <c r="U7" s="1621"/>
      <c r="V7" s="1621"/>
    </row>
    <row r="8" spans="1:22" ht="16.2" thickBot="1">
      <c r="B8" s="658"/>
      <c r="C8" s="658"/>
      <c r="D8" s="658"/>
      <c r="E8" s="658"/>
      <c r="F8" s="658"/>
      <c r="G8" s="658"/>
      <c r="H8" s="658"/>
      <c r="I8" s="658"/>
      <c r="K8" s="619"/>
      <c r="L8" s="639"/>
      <c r="M8" s="619"/>
      <c r="N8" s="619"/>
      <c r="O8" s="619"/>
      <c r="P8" s="619"/>
      <c r="Q8" s="638"/>
      <c r="R8" s="653"/>
      <c r="S8" s="653"/>
      <c r="T8" s="653"/>
      <c r="U8" s="653"/>
      <c r="V8" s="653"/>
    </row>
    <row r="9" spans="1:22" ht="16.2" thickBot="1">
      <c r="B9" s="647"/>
      <c r="C9" s="657">
        <v>2018</v>
      </c>
      <c r="D9" s="656">
        <f>2019</f>
        <v>2019</v>
      </c>
      <c r="E9" s="657">
        <v>2020</v>
      </c>
      <c r="F9" s="656">
        <v>2021</v>
      </c>
      <c r="G9" s="656">
        <v>2022</v>
      </c>
      <c r="H9" s="656" t="s">
        <v>440</v>
      </c>
      <c r="I9" s="655"/>
      <c r="K9" s="619"/>
      <c r="L9" s="636" t="s">
        <v>683</v>
      </c>
      <c r="M9" s="619"/>
      <c r="N9" s="619"/>
      <c r="O9" s="619"/>
      <c r="P9" s="619"/>
      <c r="Q9" s="638"/>
      <c r="R9" s="653"/>
      <c r="S9" s="653"/>
      <c r="T9" s="653"/>
      <c r="U9" s="653"/>
      <c r="V9" s="653"/>
    </row>
    <row r="10" spans="1:22" ht="16.2" thickBot="1">
      <c r="B10" s="652" t="s">
        <v>749</v>
      </c>
      <c r="C10" s="651">
        <v>10</v>
      </c>
      <c r="D10" s="651">
        <v>20</v>
      </c>
      <c r="E10" s="651">
        <v>30</v>
      </c>
      <c r="F10" s="651">
        <v>90</v>
      </c>
      <c r="G10" s="651">
        <v>90</v>
      </c>
      <c r="H10" s="651">
        <v>240</v>
      </c>
      <c r="I10" s="654"/>
      <c r="K10" s="619"/>
      <c r="L10" s="619"/>
      <c r="M10" s="619"/>
      <c r="N10" s="619"/>
      <c r="O10" s="619"/>
      <c r="P10" s="619"/>
      <c r="Q10" s="635"/>
      <c r="R10" s="653"/>
      <c r="S10" s="653"/>
      <c r="T10" s="653"/>
      <c r="U10" s="653"/>
      <c r="V10" s="653"/>
    </row>
    <row r="11" spans="1:22" ht="31.8" thickBot="1">
      <c r="B11" s="652" t="s">
        <v>748</v>
      </c>
      <c r="C11" s="651">
        <v>25</v>
      </c>
      <c r="D11" s="651">
        <v>25</v>
      </c>
      <c r="E11" s="651">
        <v>25</v>
      </c>
      <c r="F11" s="651">
        <v>25</v>
      </c>
      <c r="G11" s="651">
        <v>25</v>
      </c>
      <c r="H11" s="651">
        <v>125</v>
      </c>
      <c r="I11" s="650"/>
      <c r="L11" s="631"/>
      <c r="Q11" s="649"/>
      <c r="R11" s="648"/>
      <c r="S11" s="648"/>
      <c r="T11" s="648"/>
      <c r="U11" s="648"/>
      <c r="V11" s="648"/>
    </row>
    <row r="12" spans="1:22" ht="35.25" customHeight="1" thickBot="1">
      <c r="B12" s="647" t="s">
        <v>724</v>
      </c>
      <c r="C12" s="646" t="s">
        <v>72</v>
      </c>
      <c r="D12" s="646" t="s">
        <v>72</v>
      </c>
      <c r="E12" s="646" t="s">
        <v>72</v>
      </c>
      <c r="F12" s="646" t="s">
        <v>72</v>
      </c>
      <c r="G12" s="646" t="s">
        <v>72</v>
      </c>
      <c r="H12" s="646">
        <v>1022</v>
      </c>
      <c r="L12" s="664" t="s">
        <v>751</v>
      </c>
      <c r="M12" s="662"/>
      <c r="N12" s="668"/>
      <c r="O12" s="645"/>
      <c r="P12" s="645"/>
      <c r="Q12" s="645"/>
      <c r="R12" s="645"/>
      <c r="S12" s="645"/>
      <c r="T12" s="645"/>
      <c r="U12" s="645"/>
      <c r="V12" s="645"/>
    </row>
    <row r="13" spans="1:22" ht="43.5" customHeight="1" thickBot="1">
      <c r="B13" s="647" t="s">
        <v>747</v>
      </c>
      <c r="C13" s="646" t="s">
        <v>72</v>
      </c>
      <c r="D13" s="646" t="s">
        <v>72</v>
      </c>
      <c r="E13" s="646" t="s">
        <v>72</v>
      </c>
      <c r="F13" s="646" t="s">
        <v>72</v>
      </c>
      <c r="G13" s="646" t="s">
        <v>72</v>
      </c>
      <c r="H13" s="646">
        <v>1245</v>
      </c>
      <c r="L13" s="669"/>
      <c r="M13" s="662"/>
      <c r="N13" s="668"/>
      <c r="O13" s="645"/>
      <c r="P13" s="645"/>
      <c r="Q13" s="645"/>
      <c r="R13" s="645"/>
      <c r="S13" s="645"/>
      <c r="T13" s="645"/>
      <c r="U13" s="645"/>
      <c r="V13" s="645"/>
    </row>
    <row r="14" spans="1:22">
      <c r="B14" s="642"/>
      <c r="C14" s="642"/>
      <c r="D14" s="642"/>
      <c r="E14" s="641"/>
      <c r="F14" s="641"/>
      <c r="L14" s="667" t="s">
        <v>739</v>
      </c>
      <c r="M14" s="662">
        <f>SQRT(H10/H13)</f>
        <v>0.43905703995876139</v>
      </c>
      <c r="N14" s="664" t="s">
        <v>738</v>
      </c>
    </row>
    <row r="15" spans="1:22">
      <c r="B15" s="643" t="s">
        <v>746</v>
      </c>
      <c r="C15" s="642"/>
      <c r="D15" s="642"/>
      <c r="E15" s="641"/>
      <c r="F15" s="641"/>
      <c r="L15" s="667" t="s">
        <v>737</v>
      </c>
      <c r="M15" s="662">
        <f>H10/H11</f>
        <v>1.92</v>
      </c>
      <c r="N15" s="664" t="s">
        <v>736</v>
      </c>
    </row>
    <row r="16" spans="1:22">
      <c r="B16" s="643"/>
      <c r="C16" s="642"/>
      <c r="D16" s="642"/>
      <c r="E16" s="641"/>
      <c r="F16" s="641"/>
      <c r="L16" s="666" t="s">
        <v>735</v>
      </c>
      <c r="M16" s="665" t="s">
        <v>734</v>
      </c>
      <c r="N16" s="664"/>
    </row>
    <row r="17" spans="1:20" ht="38.25" customHeight="1">
      <c r="A17" s="640" t="s">
        <v>723</v>
      </c>
      <c r="B17" s="1621" t="s">
        <v>745</v>
      </c>
      <c r="C17" s="1621"/>
      <c r="D17" s="1621"/>
      <c r="E17" s="1621"/>
      <c r="F17" s="1621"/>
      <c r="G17" s="1621"/>
      <c r="H17" s="1621"/>
      <c r="I17" s="1621"/>
      <c r="L17" s="663" t="s">
        <v>733</v>
      </c>
      <c r="M17" s="663">
        <f>(M14*M15) + (1-M14)</f>
        <v>1.4039324767620602</v>
      </c>
      <c r="N17" s="662"/>
    </row>
    <row r="18" spans="1:20">
      <c r="B18" s="639"/>
      <c r="C18" s="639"/>
      <c r="D18" s="639"/>
      <c r="I18" s="638"/>
    </row>
    <row r="19" spans="1:20">
      <c r="B19" s="636"/>
      <c r="C19" s="636"/>
      <c r="D19" s="636"/>
      <c r="I19" s="635"/>
      <c r="L19" s="629"/>
    </row>
    <row r="20" spans="1:20">
      <c r="I20" s="635"/>
      <c r="L20" s="631"/>
      <c r="N20" s="624"/>
      <c r="O20" s="623"/>
      <c r="P20" s="625"/>
    </row>
    <row r="21" spans="1:20">
      <c r="B21" s="636"/>
      <c r="C21" s="636"/>
      <c r="D21" s="636"/>
      <c r="E21" s="637"/>
      <c r="F21" s="637"/>
      <c r="G21" s="637"/>
      <c r="H21" s="637"/>
      <c r="I21" s="637"/>
      <c r="L21" s="627"/>
      <c r="N21" s="624"/>
      <c r="O21" s="623"/>
      <c r="P21" s="625"/>
    </row>
    <row r="22" spans="1:20" ht="17.399999999999999">
      <c r="B22" s="637"/>
      <c r="C22" s="637"/>
      <c r="D22" s="637"/>
      <c r="E22" s="637"/>
      <c r="F22" s="637"/>
      <c r="G22" s="637"/>
      <c r="H22" s="637"/>
      <c r="I22" s="637"/>
      <c r="L22" s="634"/>
      <c r="N22" s="631"/>
      <c r="O22" s="623"/>
      <c r="P22" s="622"/>
      <c r="T22" s="633"/>
    </row>
    <row r="23" spans="1:20">
      <c r="B23" s="636"/>
      <c r="C23" s="636"/>
      <c r="D23" s="636"/>
      <c r="I23" s="635"/>
      <c r="L23" s="634"/>
      <c r="N23" s="631"/>
      <c r="P23" s="620"/>
    </row>
    <row r="24" spans="1:20">
      <c r="L24" s="632"/>
      <c r="M24" s="628"/>
      <c r="N24" s="631"/>
      <c r="P24" s="620"/>
    </row>
    <row r="25" spans="1:20">
      <c r="L25" s="630"/>
      <c r="M25" s="630"/>
    </row>
    <row r="27" spans="1:20">
      <c r="N27" s="624"/>
      <c r="O27" s="623"/>
      <c r="P27" s="625"/>
    </row>
    <row r="28" spans="1:20">
      <c r="L28" s="627"/>
      <c r="N28" s="624"/>
      <c r="O28" s="623"/>
      <c r="P28" s="625"/>
    </row>
    <row r="29" spans="1:20">
      <c r="L29" s="631"/>
      <c r="N29" s="624"/>
      <c r="O29" s="623"/>
      <c r="P29" s="625"/>
    </row>
    <row r="30" spans="1:20">
      <c r="L30" s="627"/>
      <c r="N30" s="624"/>
      <c r="O30" s="623"/>
      <c r="P30" s="625"/>
    </row>
    <row r="31" spans="1:20" ht="17.399999999999999">
      <c r="L31" s="634"/>
      <c r="N31" s="631"/>
      <c r="O31" s="623"/>
      <c r="P31" s="622"/>
      <c r="T31" s="633"/>
    </row>
    <row r="32" spans="1:20">
      <c r="L32" s="634"/>
      <c r="N32" s="631"/>
      <c r="P32" s="620"/>
      <c r="T32" s="633"/>
    </row>
    <row r="33" spans="12:16">
      <c r="L33" s="632"/>
      <c r="M33" s="628"/>
      <c r="N33" s="631"/>
      <c r="P33" s="620"/>
    </row>
    <row r="34" spans="12:16">
      <c r="L34" s="630"/>
      <c r="M34" s="630"/>
    </row>
    <row r="37" spans="12:16">
      <c r="L37" s="629"/>
    </row>
    <row r="40" spans="12:16">
      <c r="L40" s="628"/>
    </row>
    <row r="41" spans="12:16">
      <c r="L41" s="627"/>
    </row>
    <row r="42" spans="12:16">
      <c r="M42" s="626"/>
      <c r="N42" s="626"/>
      <c r="O42" s="626"/>
      <c r="P42" s="626"/>
    </row>
    <row r="43" spans="12:16">
      <c r="N43" s="624"/>
      <c r="O43" s="623"/>
      <c r="P43" s="625"/>
    </row>
    <row r="44" spans="12:16">
      <c r="N44" s="624"/>
      <c r="O44" s="623"/>
      <c r="P44" s="625"/>
    </row>
    <row r="45" spans="12:16">
      <c r="N45" s="624"/>
      <c r="O45" s="623"/>
      <c r="P45" s="625"/>
    </row>
    <row r="46" spans="12:16">
      <c r="N46" s="624"/>
      <c r="O46" s="623"/>
      <c r="P46" s="625"/>
    </row>
    <row r="47" spans="12:16" ht="17.399999999999999">
      <c r="N47" s="624"/>
      <c r="O47" s="623"/>
      <c r="P47" s="622"/>
    </row>
    <row r="48" spans="12:16">
      <c r="P48" s="620"/>
    </row>
    <row r="50" spans="14:16">
      <c r="N50" s="621"/>
      <c r="P50" s="620"/>
    </row>
  </sheetData>
  <sheetProtection algorithmName="SHA-512" hashValue="n/WUFjrBY+fsy60ppbQJ9fJlSDTJkQmE40TmRXo4EOBZZd57RL3lZplySMJgoMJBue/BEnzUcv1n3m5PClnOQg==" saltValue="9sPkWv5imvFQxEx7dDc36g==" spinCount="100000" sheet="1" formatCells="0" formatColumns="0" formatRows="0" insertColumns="0" insertRows="0"/>
  <mergeCells count="2">
    <mergeCell ref="L7:V7"/>
    <mergeCell ref="B17:I17"/>
  </mergeCells>
  <pageMargins left="0.7" right="0.7" top="0.75" bottom="0.75" header="0.3" footer="0.3"/>
  <pageSetup scale="68" orientation="portrait" horizontalDpi="4294967293" verticalDpi="300" r:id="rId1"/>
  <colBreaks count="1" manualBreakCount="1">
    <brk id="10"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25ED3-9942-489A-B50E-C8B84EDC70D8}">
  <dimension ref="A1:K54"/>
  <sheetViews>
    <sheetView workbookViewId="0"/>
  </sheetViews>
  <sheetFormatPr defaultColWidth="8.88671875" defaultRowHeight="15.6"/>
  <cols>
    <col min="1" max="1" width="3.5546875" style="172" customWidth="1"/>
    <col min="2" max="2" width="24.44140625" style="172" customWidth="1"/>
    <col min="3" max="5" width="17" style="172" customWidth="1"/>
    <col min="6" max="8" width="8.88671875" style="172"/>
    <col min="9" max="9" width="2.5546875" style="173" customWidth="1"/>
    <col min="10" max="16384" width="8.88671875" style="4"/>
  </cols>
  <sheetData>
    <row r="1" spans="1:10">
      <c r="A1" s="172" t="s">
        <v>217</v>
      </c>
      <c r="J1" s="4" t="s">
        <v>217</v>
      </c>
    </row>
    <row r="2" spans="1:10">
      <c r="A2" s="172" t="s">
        <v>218</v>
      </c>
      <c r="J2" s="4" t="s">
        <v>218</v>
      </c>
    </row>
    <row r="3" spans="1:10" ht="18.45" customHeight="1">
      <c r="A3" s="174"/>
    </row>
    <row r="4" spans="1:10" ht="18.45" customHeight="1">
      <c r="A4" s="175"/>
      <c r="J4" s="4" t="s">
        <v>219</v>
      </c>
    </row>
    <row r="5" spans="1:10">
      <c r="A5" s="175"/>
      <c r="B5" s="176" t="s">
        <v>220</v>
      </c>
      <c r="C5" s="172" t="s">
        <v>221</v>
      </c>
    </row>
    <row r="6" spans="1:10">
      <c r="A6" s="177"/>
    </row>
    <row r="7" spans="1:10">
      <c r="A7" s="178"/>
      <c r="B7" s="179" t="s">
        <v>177</v>
      </c>
      <c r="C7" s="180"/>
    </row>
    <row r="8" spans="1:10" ht="32.25" customHeight="1">
      <c r="A8" s="178"/>
      <c r="B8" s="181" t="s">
        <v>222</v>
      </c>
      <c r="C8" s="1373" t="s">
        <v>223</v>
      </c>
      <c r="D8" s="1373"/>
    </row>
    <row r="9" spans="1:10">
      <c r="A9" s="182"/>
      <c r="B9" s="181" t="s">
        <v>224</v>
      </c>
      <c r="C9" s="1373" t="s">
        <v>42</v>
      </c>
      <c r="D9" s="1373"/>
      <c r="E9" s="183"/>
      <c r="F9" s="183"/>
    </row>
    <row r="10" spans="1:10">
      <c r="A10" s="182"/>
      <c r="B10" s="181" t="s">
        <v>225</v>
      </c>
      <c r="C10" s="1373" t="s">
        <v>181</v>
      </c>
      <c r="D10" s="1373"/>
      <c r="E10" s="183"/>
      <c r="F10" s="183"/>
    </row>
    <row r="11" spans="1:10" ht="30.75" customHeight="1">
      <c r="A11" s="184"/>
      <c r="B11" s="181" t="s">
        <v>226</v>
      </c>
      <c r="C11" s="1373" t="s">
        <v>227</v>
      </c>
      <c r="D11" s="1373"/>
    </row>
    <row r="12" spans="1:10" ht="30.75" customHeight="1">
      <c r="A12" s="184"/>
      <c r="B12" s="181" t="s">
        <v>228</v>
      </c>
      <c r="C12" s="1373" t="s">
        <v>229</v>
      </c>
      <c r="D12" s="1373"/>
    </row>
    <row r="13" spans="1:10">
      <c r="B13" s="185"/>
    </row>
    <row r="14" spans="1:10">
      <c r="A14" s="186"/>
      <c r="B14" s="179" t="s">
        <v>230</v>
      </c>
    </row>
    <row r="15" spans="1:10">
      <c r="B15" s="187" t="s">
        <v>231</v>
      </c>
      <c r="C15" s="187" t="s">
        <v>232</v>
      </c>
      <c r="D15" s="180"/>
    </row>
    <row r="16" spans="1:10" ht="16.2">
      <c r="A16" s="188"/>
      <c r="B16" s="187" t="s">
        <v>233</v>
      </c>
      <c r="C16" s="187" t="s">
        <v>234</v>
      </c>
      <c r="E16" s="180"/>
    </row>
    <row r="17" spans="2:5">
      <c r="B17" s="187" t="s">
        <v>235</v>
      </c>
      <c r="C17" s="187" t="s">
        <v>181</v>
      </c>
      <c r="E17" s="180"/>
    </row>
    <row r="18" spans="2:5">
      <c r="B18" s="187" t="s">
        <v>236</v>
      </c>
      <c r="C18" s="187" t="s">
        <v>59</v>
      </c>
      <c r="D18" s="180"/>
      <c r="E18" s="180"/>
    </row>
    <row r="19" spans="2:5">
      <c r="B19" s="187" t="s">
        <v>237</v>
      </c>
      <c r="C19" s="187" t="s">
        <v>238</v>
      </c>
      <c r="D19" s="180"/>
      <c r="E19" s="180"/>
    </row>
    <row r="21" spans="2:5">
      <c r="B21" s="179" t="s">
        <v>239</v>
      </c>
      <c r="C21" s="180"/>
      <c r="D21" s="180"/>
      <c r="E21" s="180"/>
    </row>
    <row r="22" spans="2:5">
      <c r="B22" s="189"/>
      <c r="C22" s="190" t="s">
        <v>67</v>
      </c>
      <c r="D22" s="190" t="s">
        <v>68</v>
      </c>
      <c r="E22" s="190" t="s">
        <v>240</v>
      </c>
    </row>
    <row r="23" spans="2:5">
      <c r="B23" s="181" t="s">
        <v>55</v>
      </c>
      <c r="C23" s="191">
        <v>40</v>
      </c>
      <c r="D23" s="191">
        <v>50</v>
      </c>
      <c r="E23" s="191">
        <v>60</v>
      </c>
    </row>
    <row r="24" spans="2:5">
      <c r="B24" s="181" t="s">
        <v>241</v>
      </c>
      <c r="C24" s="192">
        <v>60000</v>
      </c>
      <c r="D24" s="192">
        <v>70000</v>
      </c>
      <c r="E24" s="192">
        <v>80000</v>
      </c>
    </row>
    <row r="25" spans="2:5">
      <c r="B25" s="181" t="s">
        <v>242</v>
      </c>
      <c r="C25" s="191">
        <v>10</v>
      </c>
      <c r="D25" s="191">
        <v>20</v>
      </c>
      <c r="E25" s="191">
        <v>25</v>
      </c>
    </row>
    <row r="27" spans="2:5">
      <c r="B27" s="179" t="s">
        <v>243</v>
      </c>
    </row>
    <row r="28" spans="2:5" ht="15.75" customHeight="1">
      <c r="B28" s="193"/>
      <c r="C28" s="1371">
        <v>13.5</v>
      </c>
    </row>
    <row r="29" spans="2:5">
      <c r="B29" s="194"/>
      <c r="C29" s="1372"/>
    </row>
    <row r="30" spans="2:5">
      <c r="B30" s="193"/>
      <c r="C30" s="1371">
        <v>15</v>
      </c>
    </row>
    <row r="31" spans="2:5">
      <c r="B31" s="194"/>
      <c r="C31" s="1372"/>
    </row>
    <row r="33" spans="1:11">
      <c r="B33" s="179" t="s">
        <v>244</v>
      </c>
    </row>
    <row r="34" spans="1:11" ht="31.2">
      <c r="B34" s="181" t="s">
        <v>245</v>
      </c>
      <c r="C34" s="195">
        <v>1000000</v>
      </c>
    </row>
    <row r="36" spans="1:11">
      <c r="A36" s="172" t="s">
        <v>246</v>
      </c>
      <c r="B36" s="176" t="s">
        <v>247</v>
      </c>
      <c r="C36" s="172" t="s">
        <v>248</v>
      </c>
    </row>
    <row r="37" spans="1:11">
      <c r="B37" s="176"/>
    </row>
    <row r="38" spans="1:11">
      <c r="B38" s="176"/>
      <c r="C38" s="1375" t="s">
        <v>249</v>
      </c>
      <c r="D38" s="1375"/>
      <c r="E38" s="1375"/>
      <c r="F38" s="1375"/>
      <c r="G38" s="1375"/>
      <c r="H38" s="1375"/>
      <c r="I38" s="1375"/>
      <c r="J38" s="196"/>
      <c r="K38" s="196"/>
    </row>
    <row r="39" spans="1:11">
      <c r="B39" s="176"/>
    </row>
    <row r="41" spans="1:11">
      <c r="B41" s="197" t="s">
        <v>78</v>
      </c>
    </row>
    <row r="42" spans="1:11">
      <c r="B42" s="1374" t="s">
        <v>250</v>
      </c>
      <c r="C42" s="1374"/>
      <c r="D42" s="1374"/>
      <c r="E42" s="198">
        <v>-0.1</v>
      </c>
    </row>
    <row r="43" spans="1:11">
      <c r="B43" s="1376" t="s">
        <v>251</v>
      </c>
      <c r="C43" s="1376"/>
      <c r="D43" s="1376"/>
      <c r="E43" s="199">
        <v>50000</v>
      </c>
    </row>
    <row r="44" spans="1:11">
      <c r="B44" s="1374" t="s">
        <v>252</v>
      </c>
      <c r="C44" s="1374"/>
      <c r="D44" s="1374"/>
      <c r="E44" s="198">
        <v>0.1</v>
      </c>
    </row>
    <row r="45" spans="1:11" ht="30" customHeight="1">
      <c r="B45" s="1377" t="s">
        <v>253</v>
      </c>
      <c r="C45" s="1377"/>
      <c r="D45" s="1377"/>
      <c r="E45" s="1377"/>
    </row>
    <row r="46" spans="1:11">
      <c r="B46" s="1374" t="s">
        <v>254</v>
      </c>
      <c r="C46" s="1374"/>
      <c r="D46" s="1374"/>
      <c r="E46" s="1374"/>
    </row>
    <row r="48" spans="1:11">
      <c r="A48" s="172" t="s">
        <v>6</v>
      </c>
      <c r="B48" s="176" t="s">
        <v>247</v>
      </c>
      <c r="C48" s="172" t="s">
        <v>255</v>
      </c>
    </row>
    <row r="49" spans="1:9">
      <c r="B49" s="176"/>
    </row>
    <row r="50" spans="1:9">
      <c r="B50" s="176"/>
      <c r="C50" s="1375" t="s">
        <v>249</v>
      </c>
      <c r="D50" s="1375"/>
      <c r="E50" s="1375"/>
      <c r="F50" s="1375"/>
      <c r="G50" s="1375"/>
      <c r="H50" s="1375"/>
      <c r="I50" s="1375"/>
    </row>
    <row r="52" spans="1:9">
      <c r="A52" s="172" t="s">
        <v>256</v>
      </c>
      <c r="B52" s="176" t="s">
        <v>257</v>
      </c>
      <c r="C52" s="178" t="s">
        <v>258</v>
      </c>
    </row>
    <row r="54" spans="1:9">
      <c r="C54" s="1375" t="s">
        <v>249</v>
      </c>
      <c r="D54" s="1375"/>
      <c r="E54" s="1375"/>
      <c r="F54" s="1375"/>
      <c r="G54" s="1375"/>
      <c r="H54" s="1375"/>
      <c r="I54" s="1375"/>
    </row>
  </sheetData>
  <mergeCells count="15">
    <mergeCell ref="B46:E46"/>
    <mergeCell ref="C50:I50"/>
    <mergeCell ref="C54:I54"/>
    <mergeCell ref="C30:C31"/>
    <mergeCell ref="C38:I38"/>
    <mergeCell ref="B42:D42"/>
    <mergeCell ref="B43:D43"/>
    <mergeCell ref="B44:D44"/>
    <mergeCell ref="B45:E45"/>
    <mergeCell ref="C28:C29"/>
    <mergeCell ref="C8:D8"/>
    <mergeCell ref="C9:D9"/>
    <mergeCell ref="C10:D10"/>
    <mergeCell ref="C11:D11"/>
    <mergeCell ref="C12:D12"/>
  </mergeCells>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2049" r:id="rId4">
          <objectPr defaultSize="0" autoPict="0" r:id="rId5">
            <anchor moveWithCells="1" sizeWithCells="1">
              <from>
                <xdr:col>1</xdr:col>
                <xdr:colOff>0</xdr:colOff>
                <xdr:row>27</xdr:row>
                <xdr:rowOff>0</xdr:rowOff>
              </from>
              <to>
                <xdr:col>1</xdr:col>
                <xdr:colOff>274320</xdr:colOff>
                <xdr:row>28</xdr:row>
                <xdr:rowOff>68580</xdr:rowOff>
              </to>
            </anchor>
          </objectPr>
        </oleObject>
      </mc:Choice>
      <mc:Fallback>
        <oleObject progId="Equation.DSMT4" shapeId="2049" r:id="rId4"/>
      </mc:Fallback>
    </mc:AlternateContent>
    <mc:AlternateContent xmlns:mc="http://schemas.openxmlformats.org/markup-compatibility/2006">
      <mc:Choice Requires="x14">
        <oleObject progId="Equation.DSMT4" shapeId="2050" r:id="rId6">
          <objectPr defaultSize="0" autoPict="0" r:id="rId7">
            <anchor moveWithCells="1" sizeWithCells="1">
              <from>
                <xdr:col>1</xdr:col>
                <xdr:colOff>0</xdr:colOff>
                <xdr:row>29</xdr:row>
                <xdr:rowOff>0</xdr:rowOff>
              </from>
              <to>
                <xdr:col>1</xdr:col>
                <xdr:colOff>274320</xdr:colOff>
                <xdr:row>30</xdr:row>
                <xdr:rowOff>68580</xdr:rowOff>
              </to>
            </anchor>
          </objectPr>
        </oleObject>
      </mc:Choice>
      <mc:Fallback>
        <oleObject progId="Equation.DSMT4" shapeId="2050" r:id="rId6"/>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50F9A-AB72-46D4-B668-776D0F6A1CFC}">
  <sheetPr>
    <tabColor theme="1"/>
  </sheetPr>
  <dimension ref="A1"/>
  <sheetViews>
    <sheetView workbookViewId="0">
      <selection activeCell="W45" sqref="W45"/>
    </sheetView>
  </sheetViews>
  <sheetFormatPr defaultRowHeight="14.4"/>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B5070-CBCA-4D3C-9529-C8E09352658C}">
  <dimension ref="A1:AX20"/>
  <sheetViews>
    <sheetView workbookViewId="0">
      <selection sqref="A1:XFD1048576"/>
    </sheetView>
  </sheetViews>
  <sheetFormatPr defaultColWidth="9.33203125" defaultRowHeight="15.6"/>
  <cols>
    <col min="1" max="1" width="3.6640625" style="2" customWidth="1"/>
    <col min="2" max="2" width="45.33203125" style="2" customWidth="1"/>
    <col min="3" max="3" width="24.33203125" style="2" customWidth="1"/>
    <col min="4" max="4" width="17.88671875" style="2" customWidth="1"/>
    <col min="5" max="5" width="1" style="3" customWidth="1"/>
    <col min="6" max="6" width="4" style="560" customWidth="1"/>
    <col min="7" max="11" width="10.33203125" style="560" customWidth="1"/>
    <col min="12" max="16" width="9.33203125" style="560"/>
    <col min="17" max="17" width="3" style="560" customWidth="1"/>
    <col min="18" max="18" width="1" style="3" customWidth="1"/>
    <col min="19" max="16384" width="9.33203125" style="560"/>
  </cols>
  <sheetData>
    <row r="1" spans="1:50" s="561" customFormat="1">
      <c r="A1" s="1" t="s">
        <v>836</v>
      </c>
      <c r="B1" s="2"/>
      <c r="C1" s="2"/>
      <c r="D1" s="2"/>
      <c r="E1" s="3"/>
      <c r="F1" s="1" t="s">
        <v>836</v>
      </c>
      <c r="G1" s="2"/>
      <c r="H1" s="2"/>
      <c r="I1" s="2"/>
      <c r="J1" s="2"/>
      <c r="K1" s="2"/>
      <c r="L1" s="2"/>
      <c r="M1" s="2"/>
      <c r="N1" s="2"/>
      <c r="O1" s="2"/>
      <c r="P1" s="2"/>
      <c r="Q1" s="2"/>
      <c r="R1" s="3"/>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row>
    <row r="2" spans="1:50" s="561" customFormat="1">
      <c r="A2" s="1" t="s">
        <v>732</v>
      </c>
      <c r="B2" s="2"/>
      <c r="C2" s="2"/>
      <c r="D2" s="2"/>
      <c r="E2" s="3"/>
      <c r="F2" s="1" t="s">
        <v>732</v>
      </c>
      <c r="G2" s="2"/>
      <c r="H2" s="2"/>
      <c r="I2" s="2"/>
      <c r="J2" s="2"/>
      <c r="K2" s="2"/>
      <c r="L2" s="2"/>
      <c r="M2" s="2"/>
      <c r="N2" s="2"/>
      <c r="O2" s="2"/>
      <c r="P2" s="2"/>
      <c r="Q2" s="2"/>
      <c r="R2" s="3"/>
      <c r="S2" s="560"/>
      <c r="T2" s="560"/>
      <c r="U2" s="560"/>
      <c r="V2" s="560"/>
      <c r="W2" s="560"/>
      <c r="X2" s="560"/>
      <c r="Y2" s="560"/>
      <c r="Z2" s="560"/>
      <c r="AA2" s="560"/>
      <c r="AB2" s="560"/>
      <c r="AC2" s="560"/>
      <c r="AD2" s="560"/>
      <c r="AE2" s="560"/>
      <c r="AF2" s="560"/>
      <c r="AG2" s="560"/>
      <c r="AH2" s="560"/>
      <c r="AI2" s="560"/>
      <c r="AJ2" s="560"/>
      <c r="AK2" s="560"/>
      <c r="AL2" s="560"/>
      <c r="AM2" s="560"/>
      <c r="AN2" s="560"/>
      <c r="AO2" s="560"/>
      <c r="AP2" s="560"/>
      <c r="AQ2" s="560"/>
      <c r="AR2" s="560"/>
      <c r="AS2" s="560"/>
      <c r="AT2" s="560"/>
      <c r="AU2" s="560"/>
      <c r="AV2" s="560"/>
      <c r="AW2" s="560"/>
      <c r="AX2" s="560"/>
    </row>
    <row r="3" spans="1:50" s="561" customFormat="1">
      <c r="A3" s="1" t="s">
        <v>464</v>
      </c>
      <c r="B3" s="2"/>
      <c r="C3" s="2"/>
      <c r="D3" s="2"/>
      <c r="E3" s="3"/>
      <c r="F3" s="1" t="s">
        <v>464</v>
      </c>
      <c r="G3" s="2"/>
      <c r="H3" s="2"/>
      <c r="I3" s="2"/>
      <c r="J3" s="2"/>
      <c r="K3" s="2"/>
      <c r="L3" s="2"/>
      <c r="M3" s="2"/>
      <c r="N3" s="2"/>
      <c r="O3" s="2"/>
      <c r="P3" s="2"/>
      <c r="Q3" s="2"/>
      <c r="R3" s="3"/>
      <c r="S3" s="560"/>
      <c r="T3" s="560"/>
      <c r="U3" s="560"/>
      <c r="V3" s="560"/>
      <c r="W3" s="560"/>
      <c r="X3" s="560"/>
      <c r="Y3" s="560"/>
      <c r="Z3" s="560"/>
      <c r="AA3" s="560"/>
      <c r="AB3" s="560"/>
      <c r="AC3" s="560"/>
      <c r="AD3" s="560"/>
      <c r="AE3" s="560"/>
      <c r="AF3" s="560"/>
      <c r="AG3" s="560"/>
      <c r="AH3" s="560"/>
      <c r="AI3" s="560"/>
      <c r="AJ3" s="560"/>
      <c r="AK3" s="560"/>
      <c r="AL3" s="560"/>
      <c r="AM3" s="560"/>
      <c r="AN3" s="560"/>
      <c r="AO3" s="560"/>
      <c r="AP3" s="560"/>
      <c r="AQ3" s="560"/>
      <c r="AR3" s="560"/>
      <c r="AS3" s="560"/>
      <c r="AT3" s="560"/>
      <c r="AU3" s="560"/>
      <c r="AV3" s="560"/>
      <c r="AW3" s="560"/>
      <c r="AX3" s="560"/>
    </row>
    <row r="4" spans="1:50" s="561" customFormat="1">
      <c r="A4" s="2"/>
      <c r="B4" s="2"/>
      <c r="C4" s="2"/>
      <c r="D4" s="2"/>
      <c r="E4" s="3"/>
      <c r="F4" s="2"/>
      <c r="G4" s="2"/>
      <c r="H4" s="2"/>
      <c r="I4" s="2"/>
      <c r="J4" s="2"/>
      <c r="K4" s="2"/>
      <c r="L4" s="2"/>
      <c r="M4" s="2"/>
      <c r="N4" s="2"/>
      <c r="O4" s="2"/>
      <c r="P4" s="2"/>
      <c r="Q4" s="2"/>
      <c r="R4" s="3"/>
      <c r="S4" s="560"/>
      <c r="T4" s="560"/>
      <c r="U4" s="560"/>
      <c r="V4" s="560"/>
      <c r="W4" s="560"/>
      <c r="X4" s="560"/>
      <c r="Y4" s="560"/>
      <c r="Z4" s="560"/>
      <c r="AA4" s="560"/>
      <c r="AB4" s="560"/>
      <c r="AC4" s="560"/>
      <c r="AD4" s="560"/>
      <c r="AE4" s="560"/>
      <c r="AF4" s="560"/>
      <c r="AG4" s="560"/>
      <c r="AH4" s="560"/>
      <c r="AI4" s="560"/>
      <c r="AJ4" s="560"/>
      <c r="AK4" s="560"/>
      <c r="AL4" s="560"/>
      <c r="AM4" s="560"/>
      <c r="AN4" s="560"/>
      <c r="AO4" s="560"/>
      <c r="AP4" s="560"/>
      <c r="AQ4" s="560"/>
      <c r="AR4" s="560"/>
      <c r="AS4" s="560"/>
      <c r="AT4" s="560"/>
      <c r="AU4" s="560"/>
      <c r="AV4" s="560"/>
      <c r="AW4" s="560"/>
      <c r="AX4" s="560"/>
    </row>
    <row r="5" spans="1:50" s="561" customFormat="1" ht="16.2">
      <c r="A5" s="6" t="s">
        <v>697</v>
      </c>
      <c r="B5" s="2"/>
      <c r="C5" s="2"/>
      <c r="D5" s="2"/>
      <c r="E5" s="3"/>
      <c r="F5" s="6" t="s">
        <v>786</v>
      </c>
      <c r="G5" s="2"/>
      <c r="H5" s="2"/>
      <c r="I5" s="2"/>
      <c r="J5" s="2"/>
      <c r="K5" s="2"/>
      <c r="L5" s="2"/>
      <c r="M5" s="2"/>
      <c r="N5" s="2"/>
      <c r="O5" s="2"/>
      <c r="P5" s="2"/>
      <c r="Q5" s="2"/>
      <c r="R5" s="3"/>
      <c r="S5" s="560"/>
      <c r="T5" s="560"/>
      <c r="U5" s="560"/>
      <c r="V5" s="560"/>
      <c r="W5" s="560"/>
      <c r="X5" s="560"/>
      <c r="Y5" s="560"/>
      <c r="Z5" s="560"/>
      <c r="AA5" s="560"/>
      <c r="AB5" s="560"/>
      <c r="AC5" s="560"/>
      <c r="AD5" s="560"/>
      <c r="AE5" s="560"/>
      <c r="AF5" s="560"/>
      <c r="AG5" s="560"/>
      <c r="AH5" s="560"/>
      <c r="AI5" s="560"/>
      <c r="AJ5" s="560"/>
      <c r="AK5" s="560"/>
      <c r="AL5" s="560"/>
      <c r="AM5" s="560"/>
      <c r="AN5" s="560"/>
      <c r="AO5" s="560"/>
      <c r="AP5" s="560"/>
      <c r="AQ5" s="560"/>
      <c r="AR5" s="560"/>
      <c r="AS5" s="560"/>
      <c r="AT5" s="560"/>
      <c r="AU5" s="560"/>
      <c r="AV5" s="560"/>
      <c r="AW5" s="560"/>
      <c r="AX5" s="560"/>
    </row>
    <row r="6" spans="1:50" s="561" customFormat="1">
      <c r="A6" s="594"/>
      <c r="B6" s="2"/>
      <c r="C6" s="2"/>
      <c r="D6" s="2"/>
      <c r="E6" s="3"/>
      <c r="F6" s="2"/>
      <c r="G6" s="2"/>
      <c r="H6" s="2"/>
      <c r="I6" s="2"/>
      <c r="J6" s="2"/>
      <c r="K6" s="2"/>
      <c r="L6" s="2"/>
      <c r="M6" s="2"/>
      <c r="N6" s="2"/>
      <c r="O6" s="2"/>
      <c r="P6" s="2"/>
      <c r="Q6" s="2"/>
      <c r="R6" s="3"/>
      <c r="S6" s="560"/>
      <c r="T6" s="560"/>
      <c r="U6" s="560"/>
      <c r="V6" s="560"/>
      <c r="W6" s="560"/>
      <c r="X6" s="560"/>
      <c r="Y6" s="560"/>
      <c r="Z6" s="560"/>
      <c r="AA6" s="560"/>
      <c r="AB6" s="560"/>
      <c r="AC6" s="560"/>
      <c r="AD6" s="560"/>
      <c r="AE6" s="560"/>
      <c r="AF6" s="560"/>
      <c r="AG6" s="560"/>
      <c r="AH6" s="560"/>
      <c r="AI6" s="560"/>
      <c r="AJ6" s="560"/>
      <c r="AK6" s="560"/>
      <c r="AL6" s="560"/>
      <c r="AM6" s="560"/>
      <c r="AN6" s="560"/>
      <c r="AO6" s="560"/>
      <c r="AP6" s="560"/>
      <c r="AQ6" s="560"/>
      <c r="AR6" s="560"/>
      <c r="AS6" s="560"/>
      <c r="AT6" s="560"/>
      <c r="AU6" s="560"/>
      <c r="AV6" s="560"/>
      <c r="AW6" s="560"/>
      <c r="AX6" s="560"/>
    </row>
    <row r="7" spans="1:50" s="561" customFormat="1" ht="15.75" customHeight="1">
      <c r="A7" s="594" t="s">
        <v>835</v>
      </c>
      <c r="B7" s="2"/>
      <c r="C7" s="2"/>
      <c r="D7" s="2"/>
      <c r="E7" s="3"/>
      <c r="F7" s="2" t="s">
        <v>834</v>
      </c>
      <c r="G7" s="1462" t="s">
        <v>833</v>
      </c>
      <c r="H7" s="1462"/>
      <c r="I7" s="1462"/>
      <c r="J7" s="1462"/>
      <c r="K7" s="1462"/>
      <c r="L7" s="1462"/>
      <c r="M7" s="1462"/>
      <c r="N7" s="1462"/>
      <c r="O7" s="1462"/>
      <c r="P7" s="1462"/>
      <c r="Q7" s="1462"/>
      <c r="R7" s="3"/>
      <c r="S7" s="560"/>
      <c r="T7" s="560"/>
      <c r="U7" s="560"/>
      <c r="V7" s="560"/>
      <c r="W7" s="560"/>
      <c r="X7" s="560"/>
      <c r="Y7" s="560"/>
      <c r="Z7" s="560"/>
      <c r="AA7" s="560"/>
      <c r="AB7" s="560"/>
      <c r="AC7" s="560"/>
      <c r="AD7" s="560"/>
      <c r="AE7" s="560"/>
      <c r="AF7" s="560"/>
      <c r="AG7" s="560"/>
      <c r="AH7" s="560"/>
      <c r="AI7" s="560"/>
      <c r="AJ7" s="560"/>
      <c r="AK7" s="560"/>
      <c r="AL7" s="560"/>
      <c r="AM7" s="560"/>
      <c r="AN7" s="560"/>
      <c r="AO7" s="560"/>
      <c r="AP7" s="560"/>
      <c r="AQ7" s="560"/>
      <c r="AR7" s="560"/>
      <c r="AS7" s="560"/>
      <c r="AT7" s="560"/>
      <c r="AU7" s="560"/>
      <c r="AV7" s="560"/>
      <c r="AW7" s="560"/>
      <c r="AX7" s="560"/>
    </row>
    <row r="8" spans="1:50" s="561" customFormat="1">
      <c r="A8" s="2"/>
      <c r="B8" s="2"/>
      <c r="C8" s="2"/>
      <c r="D8" s="2"/>
      <c r="E8" s="3"/>
      <c r="F8" s="2"/>
      <c r="G8" s="581" t="s">
        <v>832</v>
      </c>
      <c r="H8" s="2"/>
      <c r="I8" s="2"/>
      <c r="J8" s="2"/>
      <c r="K8" s="2"/>
      <c r="L8" s="582">
        <v>6.4999999999999997E-3</v>
      </c>
      <c r="M8" s="9"/>
      <c r="N8" s="9"/>
      <c r="O8" s="9"/>
      <c r="P8" s="9"/>
      <c r="Q8" s="9"/>
      <c r="R8" s="3"/>
      <c r="S8" s="560"/>
      <c r="T8" s="560"/>
      <c r="U8" s="560"/>
      <c r="V8" s="560"/>
      <c r="W8" s="560"/>
      <c r="X8" s="560"/>
      <c r="Y8" s="560"/>
      <c r="Z8" s="560"/>
      <c r="AA8" s="560"/>
      <c r="AB8" s="560"/>
      <c r="AC8" s="560"/>
      <c r="AD8" s="560"/>
      <c r="AE8" s="560"/>
      <c r="AF8" s="560"/>
      <c r="AG8" s="560"/>
      <c r="AH8" s="560"/>
      <c r="AI8" s="560"/>
      <c r="AJ8" s="560"/>
      <c r="AK8" s="560"/>
      <c r="AL8" s="560"/>
      <c r="AM8" s="560"/>
      <c r="AN8" s="560"/>
      <c r="AO8" s="560"/>
      <c r="AP8" s="560"/>
      <c r="AQ8" s="560"/>
      <c r="AR8" s="560"/>
      <c r="AS8" s="560"/>
      <c r="AT8" s="560"/>
      <c r="AU8" s="560"/>
      <c r="AV8" s="560"/>
      <c r="AW8" s="560"/>
      <c r="AX8" s="560"/>
    </row>
    <row r="9" spans="1:50" s="561" customFormat="1">
      <c r="A9" s="2"/>
      <c r="B9" s="593" t="s">
        <v>831</v>
      </c>
      <c r="C9" s="714"/>
      <c r="D9" s="2"/>
      <c r="E9" s="3"/>
      <c r="F9" s="2"/>
      <c r="G9" s="581" t="s">
        <v>830</v>
      </c>
      <c r="H9" s="2"/>
      <c r="I9" s="2"/>
      <c r="J9" s="2"/>
      <c r="K9" s="2"/>
      <c r="L9" s="584">
        <v>0.1</v>
      </c>
      <c r="M9" s="9"/>
      <c r="N9" s="9"/>
      <c r="O9" s="9"/>
      <c r="P9" s="9"/>
      <c r="Q9" s="9"/>
      <c r="R9" s="3"/>
      <c r="S9" s="560"/>
      <c r="T9" s="560"/>
      <c r="U9" s="560"/>
      <c r="V9" s="560"/>
      <c r="W9" s="560"/>
      <c r="X9" s="560"/>
      <c r="Y9" s="560"/>
      <c r="Z9" s="560"/>
      <c r="AA9" s="560"/>
      <c r="AB9" s="560"/>
      <c r="AC9" s="560"/>
      <c r="AD9" s="560"/>
      <c r="AE9" s="560"/>
      <c r="AF9" s="560"/>
      <c r="AG9" s="560"/>
      <c r="AH9" s="560"/>
      <c r="AI9" s="560"/>
      <c r="AJ9" s="560"/>
      <c r="AK9" s="560"/>
      <c r="AL9" s="560"/>
      <c r="AM9" s="560"/>
      <c r="AN9" s="560"/>
      <c r="AO9" s="560"/>
      <c r="AP9" s="560"/>
      <c r="AQ9" s="560"/>
      <c r="AR9" s="560"/>
      <c r="AS9" s="560"/>
      <c r="AT9" s="560"/>
      <c r="AU9" s="560"/>
      <c r="AV9" s="560"/>
      <c r="AW9" s="560"/>
      <c r="AX9" s="560"/>
    </row>
    <row r="10" spans="1:50" s="561" customFormat="1">
      <c r="A10" s="2"/>
      <c r="B10" s="591"/>
      <c r="C10" s="714"/>
      <c r="D10" s="2"/>
      <c r="E10" s="3"/>
      <c r="F10" s="2"/>
      <c r="G10" s="581"/>
      <c r="H10" s="2"/>
      <c r="I10" s="2"/>
      <c r="J10" s="2"/>
      <c r="K10" s="2"/>
      <c r="L10" s="584"/>
      <c r="M10" s="9"/>
      <c r="N10" s="9"/>
      <c r="O10" s="9"/>
      <c r="P10" s="9"/>
      <c r="Q10" s="9"/>
      <c r="R10" s="3"/>
      <c r="S10" s="560"/>
      <c r="T10" s="560"/>
      <c r="U10" s="560"/>
      <c r="V10" s="560"/>
      <c r="W10" s="560"/>
      <c r="X10" s="560"/>
      <c r="Y10" s="560"/>
      <c r="Z10" s="560"/>
      <c r="AA10" s="560"/>
      <c r="AB10" s="560"/>
      <c r="AC10" s="560"/>
      <c r="AD10" s="560"/>
      <c r="AE10" s="560"/>
      <c r="AF10" s="560"/>
      <c r="AG10" s="560"/>
      <c r="AH10" s="560"/>
      <c r="AI10" s="560"/>
      <c r="AJ10" s="560"/>
      <c r="AK10" s="560"/>
      <c r="AL10" s="560"/>
      <c r="AM10" s="560"/>
      <c r="AN10" s="560"/>
      <c r="AO10" s="560"/>
      <c r="AP10" s="560"/>
      <c r="AQ10" s="560"/>
      <c r="AR10" s="560"/>
      <c r="AS10" s="560"/>
      <c r="AT10" s="560"/>
      <c r="AU10" s="560"/>
      <c r="AV10" s="560"/>
      <c r="AW10" s="560"/>
      <c r="AX10" s="560"/>
    </row>
    <row r="11" spans="1:50" s="561" customFormat="1">
      <c r="A11" s="2"/>
      <c r="B11" s="590" t="s">
        <v>829</v>
      </c>
      <c r="C11" s="713">
        <v>1900000</v>
      </c>
      <c r="D11" s="2"/>
      <c r="E11" s="3"/>
      <c r="F11" s="2"/>
      <c r="G11" s="1462" t="s">
        <v>683</v>
      </c>
      <c r="H11" s="1462"/>
      <c r="I11" s="1462"/>
      <c r="J11" s="1462"/>
      <c r="K11" s="1462"/>
      <c r="L11" s="1462"/>
      <c r="M11" s="1462"/>
      <c r="N11" s="1462"/>
      <c r="O11" s="1462"/>
      <c r="P11" s="1462"/>
      <c r="Q11" s="1462"/>
      <c r="R11" s="3"/>
      <c r="S11" s="560"/>
      <c r="T11" s="560"/>
      <c r="U11" s="560"/>
      <c r="V11" s="560"/>
      <c r="W11" s="560"/>
      <c r="X11" s="560"/>
      <c r="Y11" s="560"/>
      <c r="Z11" s="560"/>
      <c r="AA11" s="560"/>
      <c r="AB11" s="560"/>
      <c r="AC11" s="560"/>
      <c r="AD11" s="560"/>
      <c r="AE11" s="560"/>
      <c r="AF11" s="560"/>
      <c r="AG11" s="560"/>
      <c r="AH11" s="560"/>
      <c r="AI11" s="560"/>
      <c r="AJ11" s="560"/>
      <c r="AK11" s="560"/>
      <c r="AL11" s="560"/>
      <c r="AM11" s="560"/>
      <c r="AN11" s="560"/>
      <c r="AO11" s="560"/>
      <c r="AP11" s="560"/>
      <c r="AQ11" s="560"/>
      <c r="AR11" s="560"/>
      <c r="AS11" s="560"/>
      <c r="AT11" s="560"/>
      <c r="AU11" s="560"/>
      <c r="AV11" s="560"/>
      <c r="AW11" s="560"/>
      <c r="AX11" s="560"/>
    </row>
    <row r="12" spans="1:50" s="561" customFormat="1">
      <c r="A12" s="2"/>
      <c r="B12" s="590" t="s">
        <v>828</v>
      </c>
      <c r="C12" s="712">
        <v>14.6</v>
      </c>
      <c r="D12" s="2"/>
      <c r="E12" s="3"/>
      <c r="F12" s="2"/>
      <c r="G12" s="581"/>
      <c r="H12" s="2"/>
      <c r="I12" s="2"/>
      <c r="J12" s="2"/>
      <c r="K12" s="2"/>
      <c r="L12" s="584"/>
      <c r="M12" s="9"/>
      <c r="N12" s="9"/>
      <c r="O12" s="9"/>
      <c r="P12" s="9"/>
      <c r="Q12" s="9"/>
      <c r="R12" s="3"/>
      <c r="S12" s="560"/>
      <c r="T12" s="560"/>
      <c r="U12" s="560"/>
      <c r="V12" s="560"/>
      <c r="W12" s="560"/>
      <c r="X12" s="560"/>
      <c r="Y12" s="560"/>
      <c r="Z12" s="560"/>
      <c r="AA12" s="560"/>
      <c r="AB12" s="560"/>
      <c r="AC12" s="560"/>
      <c r="AD12" s="560"/>
      <c r="AE12" s="560"/>
      <c r="AF12" s="560"/>
      <c r="AG12" s="560"/>
      <c r="AH12" s="560"/>
      <c r="AI12" s="560"/>
      <c r="AJ12" s="560"/>
      <c r="AK12" s="560"/>
      <c r="AL12" s="560"/>
      <c r="AM12" s="560"/>
      <c r="AN12" s="560"/>
      <c r="AO12" s="560"/>
      <c r="AP12" s="560"/>
      <c r="AQ12" s="560"/>
      <c r="AR12" s="560"/>
      <c r="AS12" s="560"/>
      <c r="AT12" s="560"/>
      <c r="AU12" s="560"/>
      <c r="AV12" s="560"/>
      <c r="AW12" s="560"/>
      <c r="AX12" s="560"/>
    </row>
    <row r="13" spans="1:50" s="561" customFormat="1" ht="15.75" customHeight="1">
      <c r="A13" s="2"/>
      <c r="B13" s="590" t="s">
        <v>827</v>
      </c>
      <c r="C13" s="711">
        <v>1700000</v>
      </c>
      <c r="D13" s="2"/>
      <c r="E13" s="3"/>
      <c r="F13" s="560"/>
      <c r="G13" s="560"/>
      <c r="H13" s="560"/>
      <c r="I13" s="560"/>
      <c r="J13" s="560"/>
      <c r="K13" s="560"/>
      <c r="L13" s="560"/>
      <c r="M13" s="560"/>
      <c r="N13" s="560"/>
      <c r="O13" s="560"/>
      <c r="P13" s="560"/>
      <c r="Q13" s="560"/>
      <c r="R13" s="3"/>
      <c r="S13" s="560"/>
      <c r="T13" s="560"/>
      <c r="U13" s="560"/>
      <c r="V13" s="560"/>
      <c r="W13" s="560"/>
      <c r="X13" s="560"/>
      <c r="Y13" s="560"/>
      <c r="Z13" s="560"/>
      <c r="AA13" s="560"/>
      <c r="AB13" s="560"/>
      <c r="AC13" s="560"/>
      <c r="AD13" s="560"/>
      <c r="AE13" s="560"/>
      <c r="AF13" s="560"/>
      <c r="AG13" s="560"/>
      <c r="AH13" s="560"/>
      <c r="AI13" s="560"/>
      <c r="AJ13" s="560"/>
      <c r="AK13" s="560"/>
      <c r="AL13" s="560"/>
      <c r="AM13" s="560"/>
      <c r="AN13" s="560"/>
      <c r="AO13" s="560"/>
      <c r="AP13" s="560"/>
      <c r="AQ13" s="560"/>
      <c r="AR13" s="560"/>
      <c r="AS13" s="560"/>
      <c r="AT13" s="560"/>
      <c r="AU13" s="560"/>
      <c r="AV13" s="560"/>
      <c r="AW13" s="560"/>
      <c r="AX13" s="560"/>
    </row>
    <row r="14" spans="1:50" s="561" customFormat="1">
      <c r="A14" s="2"/>
      <c r="B14" s="1622" t="s">
        <v>826</v>
      </c>
      <c r="C14" s="710" t="s">
        <v>825</v>
      </c>
      <c r="D14" s="2"/>
      <c r="E14" s="3"/>
      <c r="F14" s="560"/>
      <c r="G14" s="573"/>
      <c r="H14" s="560"/>
      <c r="I14" s="560"/>
      <c r="J14" s="560"/>
      <c r="K14" s="560"/>
      <c r="L14" s="560"/>
      <c r="M14" s="560"/>
      <c r="N14" s="560"/>
      <c r="O14" s="560"/>
      <c r="P14" s="560"/>
      <c r="Q14" s="560"/>
      <c r="R14" s="3"/>
      <c r="S14" s="560"/>
      <c r="T14" s="560"/>
      <c r="U14" s="560"/>
      <c r="V14" s="560"/>
      <c r="W14" s="560"/>
      <c r="X14" s="560"/>
      <c r="Y14" s="560"/>
      <c r="Z14" s="560"/>
      <c r="AA14" s="560"/>
      <c r="AB14" s="560"/>
      <c r="AC14" s="560"/>
      <c r="AD14" s="560"/>
      <c r="AE14" s="560"/>
      <c r="AF14" s="560"/>
      <c r="AG14" s="560"/>
      <c r="AH14" s="560"/>
      <c r="AI14" s="560"/>
      <c r="AJ14" s="560"/>
      <c r="AK14" s="560"/>
      <c r="AL14" s="560"/>
      <c r="AM14" s="560"/>
      <c r="AN14" s="560"/>
      <c r="AO14" s="560"/>
      <c r="AP14" s="560"/>
      <c r="AQ14" s="560"/>
      <c r="AR14" s="560"/>
      <c r="AS14" s="560"/>
      <c r="AT14" s="560"/>
      <c r="AU14" s="560"/>
      <c r="AV14" s="560"/>
      <c r="AW14" s="560"/>
      <c r="AX14" s="560"/>
    </row>
    <row r="15" spans="1:50" s="561" customFormat="1">
      <c r="A15" s="2"/>
      <c r="B15" s="1622"/>
      <c r="C15" s="709" t="s">
        <v>824</v>
      </c>
      <c r="D15" s="2"/>
      <c r="E15" s="3"/>
      <c r="F15" s="560"/>
      <c r="G15" s="560"/>
      <c r="H15" s="560"/>
      <c r="I15" s="560"/>
      <c r="J15" s="560"/>
      <c r="K15" s="560"/>
      <c r="L15" s="560"/>
      <c r="M15" s="560"/>
      <c r="N15" s="560"/>
      <c r="O15" s="560"/>
      <c r="P15" s="560"/>
      <c r="Q15" s="560"/>
      <c r="R15" s="3"/>
      <c r="S15" s="560"/>
      <c r="T15" s="560"/>
      <c r="U15" s="560"/>
      <c r="V15" s="560"/>
      <c r="W15" s="560"/>
      <c r="X15" s="560"/>
      <c r="Y15" s="560"/>
      <c r="Z15" s="560"/>
      <c r="AA15" s="560"/>
      <c r="AB15" s="560"/>
      <c r="AC15" s="560"/>
      <c r="AD15" s="560"/>
      <c r="AE15" s="560"/>
      <c r="AF15" s="560"/>
      <c r="AG15" s="560"/>
      <c r="AH15" s="560"/>
      <c r="AI15" s="560"/>
      <c r="AJ15" s="560"/>
      <c r="AK15" s="560"/>
      <c r="AL15" s="560"/>
      <c r="AM15" s="560"/>
      <c r="AN15" s="560"/>
      <c r="AO15" s="560"/>
      <c r="AP15" s="560"/>
      <c r="AQ15" s="560"/>
      <c r="AR15" s="560"/>
      <c r="AS15" s="560"/>
      <c r="AT15" s="560"/>
      <c r="AU15" s="560"/>
      <c r="AV15" s="560"/>
      <c r="AW15" s="560"/>
      <c r="AX15" s="560"/>
    </row>
    <row r="16" spans="1:50" s="561" customFormat="1" ht="15.75" customHeight="1">
      <c r="A16" s="2"/>
      <c r="B16" s="590" t="s">
        <v>823</v>
      </c>
      <c r="C16" s="709">
        <v>5.0999999999999996</v>
      </c>
      <c r="D16" s="2"/>
      <c r="E16" s="3"/>
      <c r="F16" s="560"/>
      <c r="G16" s="560"/>
      <c r="H16" s="560"/>
      <c r="I16" s="560"/>
      <c r="J16" s="560"/>
      <c r="K16" s="560"/>
      <c r="L16" s="560"/>
      <c r="M16" s="560"/>
      <c r="N16" s="560"/>
      <c r="O16" s="560"/>
      <c r="P16" s="560"/>
      <c r="Q16" s="560"/>
      <c r="R16" s="3"/>
      <c r="S16" s="560"/>
      <c r="T16" s="560"/>
      <c r="U16" s="560"/>
      <c r="V16" s="560"/>
      <c r="W16" s="560"/>
      <c r="X16" s="560"/>
      <c r="Y16" s="560"/>
      <c r="Z16" s="560"/>
      <c r="AA16" s="560"/>
      <c r="AB16" s="560"/>
      <c r="AC16" s="560"/>
      <c r="AD16" s="560"/>
      <c r="AE16" s="560"/>
      <c r="AF16" s="560"/>
      <c r="AG16" s="560"/>
      <c r="AH16" s="560"/>
      <c r="AI16" s="560"/>
      <c r="AJ16" s="560"/>
      <c r="AK16" s="560"/>
      <c r="AL16" s="560"/>
      <c r="AM16" s="560"/>
      <c r="AN16" s="560"/>
      <c r="AO16" s="560"/>
      <c r="AP16" s="560"/>
      <c r="AQ16" s="560"/>
      <c r="AR16" s="560"/>
      <c r="AS16" s="560"/>
      <c r="AT16" s="560"/>
      <c r="AU16" s="560"/>
      <c r="AV16" s="560"/>
      <c r="AW16" s="560"/>
      <c r="AX16" s="560"/>
    </row>
    <row r="19" spans="2:50" s="2" customFormat="1">
      <c r="B19" s="581"/>
      <c r="C19" s="582"/>
      <c r="E19" s="3"/>
      <c r="F19" s="560"/>
      <c r="G19" s="560"/>
      <c r="H19" s="560"/>
      <c r="I19" s="560"/>
      <c r="J19" s="560"/>
      <c r="K19" s="560"/>
      <c r="L19" s="560"/>
      <c r="M19" s="560"/>
      <c r="N19" s="560"/>
      <c r="O19" s="560"/>
      <c r="P19" s="560"/>
      <c r="Q19" s="560"/>
      <c r="R19" s="3"/>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row>
    <row r="20" spans="2:50" s="2" customFormat="1">
      <c r="B20" s="581"/>
      <c r="C20" s="584"/>
      <c r="E20" s="3"/>
      <c r="F20" s="560"/>
      <c r="G20" s="560"/>
      <c r="H20" s="560"/>
      <c r="I20" s="560"/>
      <c r="J20" s="560"/>
      <c r="K20" s="560"/>
      <c r="L20" s="560"/>
      <c r="M20" s="560"/>
      <c r="N20" s="560"/>
      <c r="O20" s="560"/>
      <c r="P20" s="560"/>
      <c r="Q20" s="560"/>
      <c r="R20" s="3"/>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row>
  </sheetData>
  <sheetProtection algorithmName="SHA-512" hashValue="WwRIWTaTDLdcHRbUelOkc7EiJ8xqLvMCdHjKBDGez3cNXvFuRq3U4rKYzjIUigNesIojs+uU8Um+oD4JHJLZlw==" saltValue="VyStbKDgNuRA/8ZC53PIkw==" spinCount="100000" sheet="1" objects="1" scenarios="1"/>
  <mergeCells count="3">
    <mergeCell ref="G7:Q7"/>
    <mergeCell ref="G11:Q11"/>
    <mergeCell ref="B14:B1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442B9-FF52-497B-A731-BADC822A4EB6}">
  <dimension ref="A1:R33"/>
  <sheetViews>
    <sheetView zoomScaleNormal="100" workbookViewId="0">
      <selection sqref="A1:XFD1048576"/>
    </sheetView>
  </sheetViews>
  <sheetFormatPr defaultColWidth="9.44140625" defaultRowHeight="15.6"/>
  <cols>
    <col min="1" max="1" width="3.5546875" style="2" customWidth="1"/>
    <col min="2" max="2" width="45.44140625" style="2" customWidth="1"/>
    <col min="3" max="3" width="24.44140625" style="2" customWidth="1"/>
    <col min="4" max="4" width="2.88671875" style="2" customWidth="1"/>
    <col min="5" max="5" width="1" style="3" customWidth="1"/>
    <col min="6" max="6" width="4" style="560" customWidth="1"/>
    <col min="7" max="8" width="9.44140625" style="560"/>
    <col min="9" max="9" width="9.6640625" style="560" bestFit="1" customWidth="1"/>
    <col min="10" max="12" width="9.44140625" style="560"/>
    <col min="13" max="13" width="15.5546875" style="560" customWidth="1"/>
    <col min="14" max="14" width="14.109375" style="560" bestFit="1" customWidth="1"/>
    <col min="15" max="17" width="9.44140625" style="560"/>
    <col min="18" max="18" width="1" style="561" customWidth="1"/>
    <col min="19" max="16384" width="9.44140625" style="560"/>
  </cols>
  <sheetData>
    <row r="1" spans="1:17">
      <c r="A1" s="1" t="s">
        <v>848</v>
      </c>
      <c r="F1" s="1" t="s">
        <v>848</v>
      </c>
      <c r="G1" s="2"/>
      <c r="H1" s="2"/>
      <c r="I1" s="2"/>
      <c r="J1" s="2"/>
      <c r="K1" s="2"/>
      <c r="L1" s="2"/>
      <c r="M1" s="2"/>
      <c r="N1" s="2"/>
      <c r="O1" s="2"/>
      <c r="P1" s="2"/>
      <c r="Q1" s="2"/>
    </row>
    <row r="2" spans="1:17">
      <c r="A2" s="1" t="s">
        <v>1</v>
      </c>
      <c r="F2" s="1" t="s">
        <v>1</v>
      </c>
      <c r="G2" s="2"/>
      <c r="H2" s="2"/>
      <c r="I2" s="2"/>
      <c r="J2" s="2"/>
      <c r="K2" s="2"/>
      <c r="L2" s="2"/>
      <c r="M2" s="2"/>
      <c r="N2" s="2"/>
      <c r="O2" s="2"/>
      <c r="P2" s="2"/>
      <c r="Q2" s="2"/>
    </row>
    <row r="3" spans="1:17">
      <c r="A3" s="1" t="s">
        <v>464</v>
      </c>
      <c r="F3" s="1" t="s">
        <v>464</v>
      </c>
      <c r="G3" s="2"/>
      <c r="H3" s="2"/>
      <c r="I3" s="2"/>
      <c r="J3" s="2"/>
      <c r="K3" s="2"/>
      <c r="L3" s="2"/>
      <c r="M3" s="2"/>
      <c r="N3" s="2"/>
      <c r="O3" s="2"/>
      <c r="P3" s="2"/>
      <c r="Q3" s="2"/>
    </row>
    <row r="4" spans="1:17">
      <c r="F4" s="2"/>
      <c r="G4" s="2"/>
      <c r="H4" s="2"/>
      <c r="I4" s="2"/>
      <c r="J4" s="2"/>
      <c r="K4" s="2"/>
      <c r="L4" s="2"/>
      <c r="M4" s="2"/>
      <c r="N4" s="2"/>
      <c r="O4" s="2"/>
      <c r="P4" s="2"/>
      <c r="Q4" s="2"/>
    </row>
    <row r="5" spans="1:17" ht="16.2">
      <c r="A5" s="6" t="s">
        <v>697</v>
      </c>
      <c r="F5" s="6" t="s">
        <v>786</v>
      </c>
      <c r="G5" s="2"/>
      <c r="H5" s="2"/>
      <c r="I5" s="2"/>
      <c r="J5" s="2"/>
      <c r="K5" s="2"/>
      <c r="L5" s="2"/>
      <c r="M5" s="2"/>
      <c r="N5" s="2"/>
      <c r="O5" s="2"/>
      <c r="P5" s="2"/>
      <c r="Q5" s="2"/>
    </row>
    <row r="6" spans="1:17">
      <c r="A6" s="594"/>
      <c r="F6" s="2"/>
      <c r="G6" s="2"/>
      <c r="H6" s="2"/>
      <c r="I6" s="2"/>
      <c r="J6" s="2"/>
      <c r="K6" s="2"/>
      <c r="L6" s="2"/>
      <c r="M6" s="2"/>
      <c r="N6" s="2"/>
      <c r="O6" s="2"/>
      <c r="P6" s="2"/>
      <c r="Q6" s="2"/>
    </row>
    <row r="7" spans="1:17" ht="15.75" customHeight="1">
      <c r="A7" s="594" t="s">
        <v>835</v>
      </c>
      <c r="F7" s="2" t="s">
        <v>834</v>
      </c>
      <c r="G7" s="1462" t="s">
        <v>833</v>
      </c>
      <c r="H7" s="1462"/>
      <c r="I7" s="1462"/>
      <c r="J7" s="1462"/>
      <c r="K7" s="1462"/>
      <c r="L7" s="1462"/>
      <c r="M7" s="1462"/>
      <c r="N7" s="1462"/>
      <c r="O7" s="1462"/>
      <c r="P7" s="1462"/>
      <c r="Q7" s="1462"/>
    </row>
    <row r="8" spans="1:17">
      <c r="F8" s="2"/>
      <c r="G8" s="581" t="s">
        <v>832</v>
      </c>
      <c r="H8" s="2"/>
      <c r="I8" s="2"/>
      <c r="J8" s="2"/>
      <c r="K8" s="2"/>
      <c r="L8" s="582">
        <v>6.4999999999999997E-3</v>
      </c>
      <c r="M8" s="9"/>
      <c r="N8" s="9"/>
      <c r="O8" s="9"/>
      <c r="P8" s="9"/>
      <c r="Q8" s="9"/>
    </row>
    <row r="9" spans="1:17">
      <c r="B9" s="593" t="s">
        <v>831</v>
      </c>
      <c r="C9" s="714"/>
      <c r="F9" s="2"/>
      <c r="G9" s="581" t="s">
        <v>830</v>
      </c>
      <c r="H9" s="2"/>
      <c r="I9" s="2"/>
      <c r="J9" s="2"/>
      <c r="K9" s="2"/>
      <c r="L9" s="584">
        <v>0.1</v>
      </c>
      <c r="M9" s="9"/>
      <c r="N9" s="9"/>
      <c r="O9" s="9"/>
      <c r="P9" s="9"/>
      <c r="Q9" s="9"/>
    </row>
    <row r="10" spans="1:17">
      <c r="B10" s="591"/>
      <c r="C10" s="714"/>
      <c r="F10" s="2"/>
      <c r="G10" s="581"/>
      <c r="H10" s="2"/>
      <c r="I10" s="2"/>
      <c r="J10" s="2"/>
      <c r="K10" s="2"/>
      <c r="L10" s="584"/>
      <c r="M10" s="9"/>
      <c r="N10" s="9"/>
      <c r="O10" s="9"/>
      <c r="P10" s="9"/>
      <c r="Q10" s="9"/>
    </row>
    <row r="11" spans="1:17">
      <c r="B11" s="590" t="s">
        <v>829</v>
      </c>
      <c r="C11" s="713">
        <v>1900000</v>
      </c>
      <c r="F11" s="2"/>
      <c r="G11" s="1462" t="s">
        <v>683</v>
      </c>
      <c r="H11" s="1462"/>
      <c r="I11" s="1462"/>
      <c r="J11" s="1462"/>
      <c r="K11" s="1462"/>
      <c r="L11" s="1462"/>
      <c r="M11" s="1462"/>
      <c r="N11" s="1462"/>
      <c r="O11" s="1462"/>
      <c r="P11" s="1462"/>
      <c r="Q11" s="1462"/>
    </row>
    <row r="12" spans="1:17">
      <c r="B12" s="590" t="s">
        <v>828</v>
      </c>
      <c r="C12" s="712">
        <v>14.6</v>
      </c>
      <c r="F12" s="2"/>
      <c r="G12" s="581"/>
      <c r="H12" s="2"/>
      <c r="I12" s="2"/>
      <c r="J12" s="2"/>
      <c r="K12" s="2"/>
      <c r="L12" s="584"/>
      <c r="M12" s="9"/>
      <c r="N12" s="9"/>
      <c r="O12" s="9"/>
      <c r="P12" s="9"/>
      <c r="Q12" s="9"/>
    </row>
    <row r="13" spans="1:17">
      <c r="B13" s="590" t="s">
        <v>827</v>
      </c>
      <c r="C13" s="711">
        <v>1700000</v>
      </c>
    </row>
    <row r="14" spans="1:17">
      <c r="B14" s="1622" t="s">
        <v>826</v>
      </c>
      <c r="C14" s="710" t="s">
        <v>825</v>
      </c>
      <c r="G14" s="4" t="s">
        <v>847</v>
      </c>
    </row>
    <row r="15" spans="1:17">
      <c r="B15" s="1622"/>
      <c r="C15" s="709" t="s">
        <v>824</v>
      </c>
    </row>
    <row r="16" spans="1:17">
      <c r="B16" s="590" t="s">
        <v>823</v>
      </c>
      <c r="C16" s="709">
        <v>5.0999999999999996</v>
      </c>
      <c r="G16" s="4" t="s">
        <v>846</v>
      </c>
    </row>
    <row r="17" spans="2:14">
      <c r="G17" s="573"/>
    </row>
    <row r="18" spans="2:14">
      <c r="G18" s="4" t="s">
        <v>845</v>
      </c>
      <c r="N18" s="716">
        <f>50%*C13</f>
        <v>850000</v>
      </c>
    </row>
    <row r="19" spans="2:14">
      <c r="B19" s="581"/>
      <c r="C19" s="582"/>
    </row>
    <row r="20" spans="2:14">
      <c r="B20" s="581"/>
      <c r="C20" s="584"/>
      <c r="G20" s="4" t="s">
        <v>844</v>
      </c>
    </row>
    <row r="21" spans="2:14">
      <c r="G21" s="4" t="s">
        <v>843</v>
      </c>
    </row>
    <row r="23" spans="2:14">
      <c r="G23" s="4" t="s">
        <v>842</v>
      </c>
      <c r="N23" s="717">
        <f>(1+C16/100)^0.65</f>
        <v>1.0328607295798884</v>
      </c>
    </row>
    <row r="25" spans="2:14">
      <c r="G25" s="4" t="s">
        <v>841</v>
      </c>
      <c r="N25" s="718">
        <f>(1+L9)</f>
        <v>1.1000000000000001</v>
      </c>
    </row>
    <row r="27" spans="2:14">
      <c r="G27" s="4" t="s">
        <v>840</v>
      </c>
      <c r="N27" s="717">
        <f>(1+C12/100)^0.65</f>
        <v>1.0926221525919746</v>
      </c>
    </row>
    <row r="29" spans="2:14">
      <c r="G29" s="4" t="s">
        <v>839</v>
      </c>
      <c r="N29" s="716">
        <f>N18*N25+N18*N23</f>
        <v>1812931.6201429053</v>
      </c>
    </row>
    <row r="31" spans="2:14">
      <c r="G31" s="4" t="s">
        <v>838</v>
      </c>
      <c r="N31" s="716">
        <f>C11*N27</f>
        <v>2075982.0899247518</v>
      </c>
    </row>
    <row r="33" spans="7:14">
      <c r="G33" s="4" t="s">
        <v>837</v>
      </c>
      <c r="N33" s="715">
        <f>N29-N31</f>
        <v>-263050.46978184651</v>
      </c>
    </row>
  </sheetData>
  <sheetProtection algorithmName="SHA-512" hashValue="B2sqKmm9fVccwugrDvQbecLKEntVDs+E+XWehOZ1eiJ7jYdFqVb8J3RhzvZSrvOSrNG0H8/w/wkOp6tEZTE4mw==" saltValue="tmjMEFnXZJw35uDcMES06Q==" spinCount="100000" sheet="1" objects="1" scenarios="1" formatCells="0" formatColumns="0" formatRows="0" insertColumns="0" insertRows="0"/>
  <mergeCells count="3">
    <mergeCell ref="G7:Q7"/>
    <mergeCell ref="G11:Q11"/>
    <mergeCell ref="B14:B15"/>
  </mergeCells>
  <pageMargins left="0.7" right="0.7" top="0.75" bottom="0.75" header="0.3" footer="0.3"/>
  <pageSetup scale="84" orientation="portrait" horizontalDpi="4294967293" r:id="rId1"/>
  <colBreaks count="1" manualBreakCount="1">
    <brk id="5"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276D6-4323-4613-9DAE-E0F0DBF99BEC}">
  <dimension ref="A1:O18"/>
  <sheetViews>
    <sheetView zoomScaleNormal="100" workbookViewId="0">
      <selection sqref="A1:XFD1048576"/>
    </sheetView>
  </sheetViews>
  <sheetFormatPr defaultColWidth="9.109375" defaultRowHeight="15.6"/>
  <cols>
    <col min="1" max="1" width="2.33203125" style="2" customWidth="1"/>
    <col min="2" max="2" width="72.5546875" style="2" customWidth="1"/>
    <col min="3" max="3" width="15.5546875" style="2" customWidth="1"/>
    <col min="4" max="4" width="1" style="3" customWidth="1"/>
    <col min="5" max="5" width="3.6640625" style="560" customWidth="1"/>
    <col min="6" max="7" width="9.109375" style="560"/>
    <col min="8" max="8" width="9.109375" style="560" customWidth="1"/>
    <col min="9" max="14" width="9.109375" style="560"/>
    <col min="15" max="15" width="1" style="561" customWidth="1"/>
    <col min="16" max="16384" width="9.109375" style="560"/>
  </cols>
  <sheetData>
    <row r="1" spans="1:14">
      <c r="A1" s="1" t="s">
        <v>836</v>
      </c>
      <c r="E1" s="1" t="s">
        <v>836</v>
      </c>
      <c r="F1" s="2"/>
      <c r="G1" s="2"/>
      <c r="H1" s="2"/>
      <c r="I1" s="2"/>
      <c r="J1" s="2"/>
      <c r="K1" s="2"/>
      <c r="L1" s="2"/>
      <c r="M1" s="2"/>
      <c r="N1" s="2"/>
    </row>
    <row r="2" spans="1:14">
      <c r="A2" s="1" t="s">
        <v>732</v>
      </c>
      <c r="E2" s="1" t="s">
        <v>732</v>
      </c>
      <c r="F2" s="2"/>
      <c r="G2" s="2"/>
      <c r="H2" s="2"/>
      <c r="I2" s="2"/>
      <c r="J2" s="2"/>
      <c r="K2" s="2"/>
      <c r="L2" s="2"/>
      <c r="M2" s="2"/>
      <c r="N2" s="2"/>
    </row>
    <row r="3" spans="1:14">
      <c r="A3" s="1" t="s">
        <v>336</v>
      </c>
      <c r="E3" s="1" t="s">
        <v>336</v>
      </c>
      <c r="F3" s="2"/>
      <c r="G3" s="2"/>
      <c r="H3" s="2"/>
      <c r="I3" s="2"/>
      <c r="J3" s="2"/>
      <c r="K3" s="2"/>
      <c r="L3" s="2"/>
      <c r="M3" s="2"/>
      <c r="N3" s="2"/>
    </row>
    <row r="4" spans="1:14">
      <c r="E4" s="2"/>
      <c r="F4" s="2"/>
      <c r="G4" s="2"/>
      <c r="H4" s="2"/>
      <c r="I4" s="2"/>
      <c r="J4" s="2"/>
      <c r="K4" s="2"/>
      <c r="L4" s="2"/>
      <c r="M4" s="2"/>
      <c r="N4" s="2"/>
    </row>
    <row r="5" spans="1:14" ht="16.2">
      <c r="A5" s="6" t="s">
        <v>697</v>
      </c>
      <c r="E5" s="6" t="s">
        <v>786</v>
      </c>
      <c r="F5" s="2"/>
      <c r="G5" s="2"/>
      <c r="H5" s="2"/>
      <c r="I5" s="2"/>
      <c r="J5" s="2"/>
      <c r="K5" s="2"/>
      <c r="L5" s="2"/>
      <c r="M5" s="2"/>
      <c r="N5" s="2"/>
    </row>
    <row r="6" spans="1:14" ht="16.2">
      <c r="A6" s="6"/>
      <c r="E6" s="6"/>
      <c r="F6" s="2"/>
      <c r="G6" s="2"/>
      <c r="H6" s="2"/>
      <c r="I6" s="2"/>
      <c r="J6" s="2"/>
      <c r="K6" s="2"/>
      <c r="L6" s="2"/>
      <c r="M6" s="2"/>
      <c r="N6" s="2"/>
    </row>
    <row r="7" spans="1:14" ht="15.75" customHeight="1">
      <c r="A7" s="594" t="s">
        <v>835</v>
      </c>
      <c r="C7" s="9"/>
      <c r="E7" s="2" t="s">
        <v>834</v>
      </c>
      <c r="F7" s="1462" t="s">
        <v>853</v>
      </c>
      <c r="G7" s="1462"/>
      <c r="H7" s="1462"/>
      <c r="I7" s="1462"/>
      <c r="J7" s="1462"/>
      <c r="K7" s="1462"/>
      <c r="L7" s="1462"/>
      <c r="M7" s="1462"/>
      <c r="N7" s="1462"/>
    </row>
    <row r="8" spans="1:14">
      <c r="B8" s="9"/>
      <c r="C8" s="9"/>
      <c r="E8" s="2"/>
      <c r="F8" s="1462"/>
      <c r="G8" s="1462"/>
      <c r="H8" s="1462"/>
      <c r="I8" s="1462"/>
      <c r="J8" s="1462"/>
      <c r="K8" s="1462"/>
      <c r="L8" s="1462"/>
      <c r="M8" s="1462"/>
      <c r="N8" s="1462"/>
    </row>
    <row r="9" spans="1:14" ht="15.75" customHeight="1">
      <c r="A9" s="720"/>
      <c r="B9" s="1462" t="s">
        <v>852</v>
      </c>
      <c r="C9" s="1462"/>
      <c r="E9" s="2"/>
      <c r="F9" s="1462"/>
      <c r="G9" s="1462"/>
      <c r="H9" s="1462"/>
      <c r="I9" s="1462"/>
      <c r="J9" s="1462"/>
      <c r="K9" s="1462"/>
      <c r="L9" s="1462"/>
      <c r="M9" s="1462"/>
      <c r="N9" s="1462"/>
    </row>
    <row r="10" spans="1:14">
      <c r="B10" s="1462"/>
      <c r="C10" s="1462"/>
      <c r="E10" s="2"/>
      <c r="F10" s="1462"/>
      <c r="G10" s="1462"/>
      <c r="H10" s="1462"/>
      <c r="I10" s="1462"/>
      <c r="J10" s="1462"/>
      <c r="K10" s="1462"/>
      <c r="L10" s="1462"/>
      <c r="M10" s="1462"/>
      <c r="N10" s="1462"/>
    </row>
    <row r="11" spans="1:14">
      <c r="B11" s="1462"/>
      <c r="C11" s="1462"/>
      <c r="E11" s="2"/>
      <c r="F11" s="1462"/>
      <c r="G11" s="1462"/>
      <c r="H11" s="1462"/>
      <c r="I11" s="1462"/>
      <c r="J11" s="1462"/>
      <c r="K11" s="1462"/>
      <c r="L11" s="1462"/>
      <c r="M11" s="1462"/>
      <c r="N11" s="1462"/>
    </row>
    <row r="12" spans="1:14">
      <c r="B12" s="1462"/>
      <c r="C12" s="1462"/>
      <c r="E12" s="2"/>
      <c r="F12" s="1462"/>
      <c r="G12" s="1462"/>
      <c r="H12" s="1462"/>
      <c r="I12" s="1462"/>
      <c r="J12" s="1462"/>
      <c r="K12" s="1462"/>
      <c r="L12" s="1462"/>
      <c r="M12" s="1462"/>
      <c r="N12" s="1462"/>
    </row>
    <row r="13" spans="1:14">
      <c r="E13" s="2"/>
      <c r="F13" s="1462"/>
      <c r="G13" s="1462"/>
      <c r="H13" s="1462"/>
      <c r="I13" s="1462"/>
      <c r="J13" s="1462"/>
      <c r="K13" s="1462"/>
      <c r="L13" s="1462"/>
      <c r="M13" s="1462"/>
      <c r="N13" s="1462"/>
    </row>
    <row r="14" spans="1:14">
      <c r="B14" s="680" t="s">
        <v>851</v>
      </c>
      <c r="C14" s="719">
        <v>970000000</v>
      </c>
      <c r="E14" s="2"/>
      <c r="F14" s="1462"/>
      <c r="G14" s="1462"/>
      <c r="H14" s="1462"/>
      <c r="I14" s="1462"/>
      <c r="J14" s="1462"/>
      <c r="K14" s="1462"/>
      <c r="L14" s="1462"/>
      <c r="M14" s="1462"/>
      <c r="N14" s="1462"/>
    </row>
    <row r="15" spans="1:14">
      <c r="B15" s="680" t="s">
        <v>769</v>
      </c>
      <c r="C15" s="719">
        <v>1070000000</v>
      </c>
      <c r="E15" s="2"/>
      <c r="F15" s="2"/>
      <c r="G15" s="2"/>
      <c r="H15" s="2"/>
      <c r="I15" s="2"/>
      <c r="J15" s="2"/>
      <c r="K15" s="2"/>
      <c r="L15" s="2"/>
      <c r="M15" s="2"/>
      <c r="N15" s="2"/>
    </row>
    <row r="16" spans="1:14">
      <c r="B16" s="680" t="s">
        <v>768</v>
      </c>
      <c r="C16" s="719">
        <v>625000000</v>
      </c>
      <c r="E16" s="2"/>
      <c r="F16" s="1462" t="s">
        <v>683</v>
      </c>
      <c r="G16" s="1462"/>
      <c r="H16" s="1462"/>
      <c r="I16" s="1462"/>
      <c r="J16" s="1462"/>
      <c r="K16" s="1462"/>
      <c r="L16" s="1462"/>
      <c r="M16" s="1462"/>
      <c r="N16" s="1462"/>
    </row>
    <row r="17" spans="2:14">
      <c r="B17" s="680" t="s">
        <v>850</v>
      </c>
      <c r="C17" s="719">
        <v>125000000</v>
      </c>
      <c r="E17" s="2"/>
      <c r="F17" s="1462"/>
      <c r="G17" s="1462"/>
      <c r="H17" s="1462"/>
      <c r="I17" s="1462"/>
      <c r="J17" s="1462"/>
      <c r="K17" s="1462"/>
      <c r="L17" s="1462"/>
      <c r="M17" s="1462"/>
      <c r="N17" s="1462"/>
    </row>
    <row r="18" spans="2:14">
      <c r="B18" s="680" t="s">
        <v>849</v>
      </c>
      <c r="C18" s="719">
        <v>20000000</v>
      </c>
    </row>
  </sheetData>
  <sheetProtection algorithmName="SHA-512" hashValue="mr3dIuyLVS9sbK/J3x3L7uAHBqmjKreEJ2nE7DXIzAmwNKffMqBV4uI3hj/lCtzdirBTjr9Sasbd8PMbTqjvUQ==" saltValue="GMMjVLVRaHDnyK+hudcJzw==" spinCount="100000" sheet="1" objects="1" scenarios="1" formatCells="0" formatColumns="0" formatRows="0" insertColumns="0" insertRows="0"/>
  <mergeCells count="4">
    <mergeCell ref="F7:N14"/>
    <mergeCell ref="B9:C12"/>
    <mergeCell ref="F16:N16"/>
    <mergeCell ref="F17:N17"/>
  </mergeCells>
  <pageMargins left="0.7" right="0.7" top="0.75" bottom="0.75" header="0.3" footer="0.3"/>
  <pageSetup orientation="portrait" horizontalDpi="4294967293"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6EB1B-35C8-4BA2-882B-7BFD9AF7E250}">
  <dimension ref="A1:O46"/>
  <sheetViews>
    <sheetView zoomScaleNormal="100" workbookViewId="0">
      <selection sqref="A1:XFD1048576"/>
    </sheetView>
  </sheetViews>
  <sheetFormatPr defaultColWidth="9.109375" defaultRowHeight="15.6"/>
  <cols>
    <col min="1" max="1" width="2.44140625" style="2" customWidth="1"/>
    <col min="2" max="2" width="72.44140625" style="2" customWidth="1"/>
    <col min="3" max="3" width="15.44140625" style="2" customWidth="1"/>
    <col min="4" max="4" width="1" style="3" customWidth="1"/>
    <col min="5" max="5" width="3.5546875" style="560" customWidth="1"/>
    <col min="6" max="6" width="25.44140625" style="560" customWidth="1"/>
    <col min="7" max="8" width="11.5546875" style="560" bestFit="1" customWidth="1"/>
    <col min="9" max="9" width="20.5546875" style="560" customWidth="1"/>
    <col min="10" max="10" width="18.88671875" style="560" bestFit="1" customWidth="1"/>
    <col min="11" max="14" width="9.109375" style="560"/>
    <col min="15" max="15" width="1" style="561" customWidth="1"/>
    <col min="16" max="16384" width="9.109375" style="560"/>
  </cols>
  <sheetData>
    <row r="1" spans="1:14">
      <c r="A1" s="1" t="s">
        <v>836</v>
      </c>
      <c r="E1" s="1" t="s">
        <v>836</v>
      </c>
      <c r="F1" s="2"/>
      <c r="G1" s="2"/>
      <c r="H1" s="2"/>
      <c r="I1" s="2"/>
      <c r="J1" s="2"/>
      <c r="K1" s="2"/>
      <c r="L1" s="2"/>
      <c r="M1" s="2"/>
      <c r="N1" s="2"/>
    </row>
    <row r="2" spans="1:14">
      <c r="A2" s="1" t="s">
        <v>732</v>
      </c>
      <c r="E2" s="1" t="s">
        <v>732</v>
      </c>
      <c r="F2" s="2"/>
      <c r="G2" s="2"/>
      <c r="H2" s="2"/>
      <c r="I2" s="2"/>
      <c r="J2" s="2"/>
      <c r="K2" s="2"/>
      <c r="L2" s="2"/>
      <c r="M2" s="2"/>
      <c r="N2" s="2"/>
    </row>
    <row r="3" spans="1:14">
      <c r="A3" s="1" t="s">
        <v>336</v>
      </c>
      <c r="E3" s="1" t="s">
        <v>336</v>
      </c>
      <c r="F3" s="2"/>
      <c r="G3" s="2"/>
      <c r="H3" s="2"/>
      <c r="I3" s="2"/>
      <c r="J3" s="2"/>
      <c r="K3" s="2"/>
      <c r="L3" s="2"/>
      <c r="M3" s="2"/>
      <c r="N3" s="2"/>
    </row>
    <row r="4" spans="1:14">
      <c r="E4" s="2"/>
      <c r="F4" s="2"/>
      <c r="G4" s="2"/>
      <c r="H4" s="2"/>
      <c r="I4" s="2"/>
      <c r="J4" s="2"/>
      <c r="K4" s="2"/>
      <c r="L4" s="2"/>
      <c r="M4" s="2"/>
      <c r="N4" s="2"/>
    </row>
    <row r="5" spans="1:14" ht="16.2">
      <c r="A5" s="6" t="s">
        <v>697</v>
      </c>
      <c r="E5" s="6" t="s">
        <v>786</v>
      </c>
      <c r="F5" s="2"/>
      <c r="G5" s="2"/>
      <c r="H5" s="2"/>
      <c r="I5" s="2"/>
      <c r="J5" s="2"/>
      <c r="K5" s="2"/>
      <c r="L5" s="2"/>
      <c r="M5" s="2"/>
      <c r="N5" s="2"/>
    </row>
    <row r="6" spans="1:14" ht="16.2">
      <c r="A6" s="6"/>
      <c r="E6" s="6"/>
      <c r="F6" s="2"/>
      <c r="G6" s="2"/>
      <c r="H6" s="2"/>
      <c r="I6" s="2"/>
      <c r="J6" s="2"/>
      <c r="K6" s="2"/>
      <c r="L6" s="2"/>
      <c r="M6" s="2"/>
      <c r="N6" s="2"/>
    </row>
    <row r="7" spans="1:14" ht="15.75" customHeight="1">
      <c r="A7" s="594" t="s">
        <v>835</v>
      </c>
      <c r="C7" s="9"/>
      <c r="E7" s="2" t="s">
        <v>834</v>
      </c>
      <c r="F7" s="1462" t="s">
        <v>853</v>
      </c>
      <c r="G7" s="1462"/>
      <c r="H7" s="1462"/>
      <c r="I7" s="1462"/>
      <c r="J7" s="1462"/>
      <c r="K7" s="1462"/>
      <c r="L7" s="1462"/>
      <c r="M7" s="1462"/>
      <c r="N7" s="1462"/>
    </row>
    <row r="8" spans="1:14">
      <c r="B8" s="9"/>
      <c r="C8" s="9"/>
      <c r="E8" s="2"/>
      <c r="F8" s="1462"/>
      <c r="G8" s="1462"/>
      <c r="H8" s="1462"/>
      <c r="I8" s="1462"/>
      <c r="J8" s="1462"/>
      <c r="K8" s="1462"/>
      <c r="L8" s="1462"/>
      <c r="M8" s="1462"/>
      <c r="N8" s="1462"/>
    </row>
    <row r="9" spans="1:14" ht="15.75" customHeight="1">
      <c r="A9" s="720"/>
      <c r="B9" s="1462" t="s">
        <v>852</v>
      </c>
      <c r="C9" s="1462"/>
      <c r="E9" s="2"/>
      <c r="F9" s="1462"/>
      <c r="G9" s="1462"/>
      <c r="H9" s="1462"/>
      <c r="I9" s="1462"/>
      <c r="J9" s="1462"/>
      <c r="K9" s="1462"/>
      <c r="L9" s="1462"/>
      <c r="M9" s="1462"/>
      <c r="N9" s="1462"/>
    </row>
    <row r="10" spans="1:14">
      <c r="B10" s="1462"/>
      <c r="C10" s="1462"/>
      <c r="E10" s="2"/>
      <c r="F10" s="1462"/>
      <c r="G10" s="1462"/>
      <c r="H10" s="1462"/>
      <c r="I10" s="1462"/>
      <c r="J10" s="1462"/>
      <c r="K10" s="1462"/>
      <c r="L10" s="1462"/>
      <c r="M10" s="1462"/>
      <c r="N10" s="1462"/>
    </row>
    <row r="11" spans="1:14">
      <c r="B11" s="1462"/>
      <c r="C11" s="1462"/>
      <c r="E11" s="2"/>
      <c r="F11" s="1462"/>
      <c r="G11" s="1462"/>
      <c r="H11" s="1462"/>
      <c r="I11" s="1462"/>
      <c r="J11" s="1462"/>
      <c r="K11" s="1462"/>
      <c r="L11" s="1462"/>
      <c r="M11" s="1462"/>
      <c r="N11" s="1462"/>
    </row>
    <row r="12" spans="1:14">
      <c r="B12" s="1462"/>
      <c r="C12" s="1462"/>
      <c r="E12" s="2"/>
      <c r="F12" s="1462"/>
      <c r="G12" s="1462"/>
      <c r="H12" s="1462"/>
      <c r="I12" s="1462"/>
      <c r="J12" s="1462"/>
      <c r="K12" s="1462"/>
      <c r="L12" s="1462"/>
      <c r="M12" s="1462"/>
      <c r="N12" s="1462"/>
    </row>
    <row r="13" spans="1:14">
      <c r="E13" s="2"/>
      <c r="F13" s="1462"/>
      <c r="G13" s="1462"/>
      <c r="H13" s="1462"/>
      <c r="I13" s="1462"/>
      <c r="J13" s="1462"/>
      <c r="K13" s="1462"/>
      <c r="L13" s="1462"/>
      <c r="M13" s="1462"/>
      <c r="N13" s="1462"/>
    </row>
    <row r="14" spans="1:14">
      <c r="B14" s="680" t="s">
        <v>851</v>
      </c>
      <c r="C14" s="719">
        <v>970000000</v>
      </c>
      <c r="E14" s="2"/>
      <c r="F14" s="1462"/>
      <c r="G14" s="1462"/>
      <c r="H14" s="1462"/>
      <c r="I14" s="1462"/>
      <c r="J14" s="1462"/>
      <c r="K14" s="1462"/>
      <c r="L14" s="1462"/>
      <c r="M14" s="1462"/>
      <c r="N14" s="1462"/>
    </row>
    <row r="15" spans="1:14">
      <c r="B15" s="680" t="s">
        <v>769</v>
      </c>
      <c r="C15" s="719">
        <v>1070000000</v>
      </c>
      <c r="E15" s="2"/>
      <c r="F15" s="2"/>
      <c r="G15" s="2"/>
      <c r="H15" s="2"/>
      <c r="I15" s="2"/>
      <c r="J15" s="2"/>
      <c r="K15" s="2"/>
      <c r="L15" s="2"/>
      <c r="M15" s="2"/>
      <c r="N15" s="2"/>
    </row>
    <row r="16" spans="1:14">
      <c r="B16" s="680" t="s">
        <v>768</v>
      </c>
      <c r="C16" s="719">
        <v>625000000</v>
      </c>
      <c r="E16" s="2"/>
      <c r="F16" s="1462" t="s">
        <v>683</v>
      </c>
      <c r="G16" s="1462"/>
      <c r="H16" s="1462"/>
      <c r="I16" s="1462"/>
      <c r="J16" s="1462"/>
      <c r="K16" s="1462"/>
      <c r="L16" s="1462"/>
      <c r="M16" s="1462"/>
      <c r="N16" s="1462"/>
    </row>
    <row r="17" spans="2:14">
      <c r="B17" s="680" t="s">
        <v>850</v>
      </c>
      <c r="C17" s="719">
        <v>125000000</v>
      </c>
      <c r="E17" s="2"/>
      <c r="F17" s="1462"/>
      <c r="G17" s="1462"/>
      <c r="H17" s="1462"/>
      <c r="I17" s="1462"/>
      <c r="J17" s="1462"/>
      <c r="K17" s="1462"/>
      <c r="L17" s="1462"/>
      <c r="M17" s="1462"/>
      <c r="N17" s="1462"/>
    </row>
    <row r="18" spans="2:14">
      <c r="B18" s="680" t="s">
        <v>849</v>
      </c>
      <c r="C18" s="719">
        <v>20000000</v>
      </c>
    </row>
    <row r="20" spans="2:14">
      <c r="E20" s="560" t="s">
        <v>26</v>
      </c>
      <c r="F20" s="729" t="s">
        <v>872</v>
      </c>
      <c r="G20" s="724"/>
    </row>
    <row r="21" spans="2:14">
      <c r="F21" s="724"/>
    </row>
    <row r="22" spans="2:14">
      <c r="F22" s="722" t="s">
        <v>871</v>
      </c>
    </row>
    <row r="24" spans="2:14">
      <c r="F24" s="722" t="s">
        <v>870</v>
      </c>
      <c r="J24" s="726">
        <f>C14-C15</f>
        <v>-100000000</v>
      </c>
    </row>
    <row r="25" spans="2:14">
      <c r="H25" s="724"/>
      <c r="J25" s="726"/>
    </row>
    <row r="26" spans="2:14">
      <c r="F26" s="725" t="s">
        <v>869</v>
      </c>
      <c r="H26" s="724"/>
      <c r="J26" s="726"/>
    </row>
    <row r="27" spans="2:14">
      <c r="F27" s="725" t="s">
        <v>868</v>
      </c>
      <c r="J27" s="726">
        <f>MIN(0,C17+J24)</f>
        <v>0</v>
      </c>
    </row>
    <row r="28" spans="2:14">
      <c r="J28" s="726"/>
    </row>
    <row r="29" spans="2:14">
      <c r="F29" s="725" t="s">
        <v>867</v>
      </c>
      <c r="G29" s="724"/>
      <c r="J29" s="728">
        <f>C18</f>
        <v>20000000</v>
      </c>
    </row>
    <row r="30" spans="2:14">
      <c r="G30" s="724"/>
      <c r="J30" s="726"/>
    </row>
    <row r="31" spans="2:14">
      <c r="F31" s="722" t="s">
        <v>866</v>
      </c>
      <c r="G31" s="724"/>
      <c r="J31" s="726"/>
    </row>
    <row r="32" spans="2:14">
      <c r="F32" s="722" t="s">
        <v>865</v>
      </c>
      <c r="G32" s="724"/>
      <c r="J32" s="727">
        <f>J27+J29</f>
        <v>20000000</v>
      </c>
    </row>
    <row r="33" spans="5:10">
      <c r="J33" s="726"/>
    </row>
    <row r="34" spans="5:10">
      <c r="E34" s="560" t="s">
        <v>27</v>
      </c>
      <c r="F34" s="722" t="s">
        <v>864</v>
      </c>
      <c r="G34" s="724"/>
      <c r="H34" s="725" t="s">
        <v>863</v>
      </c>
      <c r="J34" s="726">
        <f>C14</f>
        <v>970000000</v>
      </c>
    </row>
    <row r="35" spans="5:10">
      <c r="G35" s="724"/>
    </row>
    <row r="36" spans="5:10">
      <c r="F36" s="722" t="s">
        <v>862</v>
      </c>
      <c r="G36" s="724"/>
      <c r="H36" s="725" t="s">
        <v>861</v>
      </c>
      <c r="J36" s="723">
        <f>C16-J34</f>
        <v>-345000000</v>
      </c>
    </row>
    <row r="37" spans="5:10">
      <c r="G37" s="724"/>
    </row>
    <row r="38" spans="5:10">
      <c r="F38" s="725" t="s">
        <v>860</v>
      </c>
      <c r="G38" s="724"/>
      <c r="H38" s="725" t="s">
        <v>859</v>
      </c>
      <c r="J38" s="723">
        <f>C16-C15</f>
        <v>-445000000</v>
      </c>
    </row>
    <row r="40" spans="5:10">
      <c r="F40" s="725" t="s">
        <v>858</v>
      </c>
      <c r="G40" s="724"/>
      <c r="H40" s="725"/>
      <c r="J40" s="721">
        <f>J36-J38</f>
        <v>100000000</v>
      </c>
    </row>
    <row r="42" spans="5:10">
      <c r="E42" s="560" t="s">
        <v>857</v>
      </c>
      <c r="F42" s="722" t="s">
        <v>856</v>
      </c>
      <c r="J42" s="724">
        <f>C17+J24</f>
        <v>25000000</v>
      </c>
    </row>
    <row r="43" spans="5:10">
      <c r="G43" s="724"/>
    </row>
    <row r="44" spans="5:10">
      <c r="F44" s="722" t="s">
        <v>855</v>
      </c>
      <c r="J44" s="723">
        <f>C18-J29</f>
        <v>0</v>
      </c>
    </row>
    <row r="46" spans="5:10">
      <c r="F46" s="722" t="s">
        <v>854</v>
      </c>
      <c r="J46" s="721">
        <f>C17+C18-J42-J44</f>
        <v>120000000</v>
      </c>
    </row>
  </sheetData>
  <sheetProtection algorithmName="SHA-512" hashValue="mr3dIuyLVS9sbK/J3x3L7uAHBqmjKreEJ2nE7DXIzAmwNKffMqBV4uI3hj/lCtzdirBTjr9Sasbd8PMbTqjvUQ==" saltValue="GMMjVLVRaHDnyK+hudcJzw==" spinCount="100000" sheet="1" objects="1" scenarios="1" formatCells="0" formatColumns="0" formatRows="0" insertColumns="0" insertRows="0"/>
  <mergeCells count="4">
    <mergeCell ref="F7:N14"/>
    <mergeCell ref="B9:C12"/>
    <mergeCell ref="F16:N16"/>
    <mergeCell ref="F17:N17"/>
  </mergeCells>
  <pageMargins left="0.7" right="0.7" top="0.75" bottom="0.75" header="0.3" footer="0.3"/>
  <pageSetup orientation="portrait" horizontalDpi="4294967293"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373EC-692A-4316-B2D7-A9501D5DEFFE}">
  <dimension ref="A1:P23"/>
  <sheetViews>
    <sheetView zoomScaleNormal="100" workbookViewId="0">
      <selection sqref="A1:XFD1048576"/>
    </sheetView>
  </sheetViews>
  <sheetFormatPr defaultColWidth="9.33203125" defaultRowHeight="15.6"/>
  <cols>
    <col min="1" max="1" width="3" style="2" customWidth="1"/>
    <col min="2" max="2" width="52.44140625" style="2" bestFit="1" customWidth="1"/>
    <col min="3" max="3" width="14.44140625" style="2" customWidth="1"/>
    <col min="4" max="4" width="19" style="2" customWidth="1"/>
    <col min="5" max="5" width="1" style="3" customWidth="1"/>
    <col min="6" max="6" width="3.44140625" style="560" customWidth="1"/>
    <col min="7" max="15" width="9.33203125" style="560"/>
    <col min="16" max="16" width="1" style="561" customWidth="1"/>
    <col min="17" max="16384" width="9.33203125" style="560"/>
  </cols>
  <sheetData>
    <row r="1" spans="1:15">
      <c r="A1" s="1" t="s">
        <v>848</v>
      </c>
      <c r="F1" s="1" t="s">
        <v>848</v>
      </c>
      <c r="G1" s="2"/>
      <c r="H1" s="2"/>
      <c r="I1" s="2"/>
      <c r="J1" s="2"/>
      <c r="K1" s="2"/>
      <c r="L1" s="2"/>
      <c r="M1" s="2"/>
      <c r="N1" s="2"/>
      <c r="O1" s="2"/>
    </row>
    <row r="2" spans="1:15">
      <c r="A2" s="1" t="s">
        <v>1</v>
      </c>
      <c r="F2" s="1" t="s">
        <v>1</v>
      </c>
      <c r="G2" s="2"/>
      <c r="H2" s="2"/>
      <c r="I2" s="2"/>
      <c r="J2" s="2"/>
      <c r="K2" s="2"/>
      <c r="L2" s="2"/>
      <c r="M2" s="2"/>
      <c r="N2" s="2"/>
      <c r="O2" s="2"/>
    </row>
    <row r="3" spans="1:15">
      <c r="A3" s="1" t="s">
        <v>336</v>
      </c>
      <c r="F3" s="1" t="s">
        <v>336</v>
      </c>
      <c r="G3" s="2"/>
      <c r="H3" s="2"/>
      <c r="I3" s="2"/>
      <c r="J3" s="2"/>
      <c r="K3" s="2"/>
      <c r="L3" s="2"/>
      <c r="M3" s="2"/>
      <c r="N3" s="2"/>
      <c r="O3" s="2"/>
    </row>
    <row r="4" spans="1:15" ht="16.2" thickBot="1">
      <c r="F4" s="2"/>
      <c r="G4" s="2"/>
      <c r="H4" s="2"/>
      <c r="I4" s="2"/>
      <c r="J4" s="2"/>
      <c r="K4" s="2"/>
      <c r="L4" s="2"/>
      <c r="M4" s="2"/>
      <c r="N4" s="2"/>
      <c r="O4" s="2"/>
    </row>
    <row r="5" spans="1:15" ht="16.8" thickBot="1">
      <c r="A5" s="1623" t="s">
        <v>884</v>
      </c>
      <c r="B5" s="1624"/>
      <c r="C5" s="1624"/>
      <c r="D5" s="1625"/>
      <c r="F5" s="2"/>
      <c r="G5" s="2"/>
      <c r="H5" s="2"/>
      <c r="I5" s="2"/>
      <c r="J5" s="2"/>
      <c r="K5" s="2"/>
      <c r="L5" s="2"/>
      <c r="M5" s="2"/>
      <c r="N5" s="2"/>
      <c r="O5" s="2"/>
    </row>
    <row r="6" spans="1:15">
      <c r="F6" s="2"/>
      <c r="G6" s="2"/>
      <c r="H6" s="2"/>
      <c r="I6" s="2"/>
      <c r="J6" s="2"/>
      <c r="K6" s="2"/>
      <c r="L6" s="2"/>
      <c r="M6" s="2"/>
      <c r="N6" s="2"/>
      <c r="O6" s="2"/>
    </row>
    <row r="7" spans="1:15">
      <c r="F7" s="2"/>
      <c r="G7" s="2"/>
      <c r="H7" s="2"/>
      <c r="I7" s="2"/>
      <c r="J7" s="2"/>
      <c r="K7" s="2"/>
      <c r="L7" s="2"/>
      <c r="M7" s="2"/>
      <c r="N7" s="2"/>
      <c r="O7" s="2"/>
    </row>
    <row r="8" spans="1:15" ht="16.2">
      <c r="A8" s="6" t="s">
        <v>697</v>
      </c>
      <c r="F8" s="6" t="s">
        <v>696</v>
      </c>
      <c r="G8" s="2"/>
      <c r="H8" s="2"/>
      <c r="I8" s="2"/>
      <c r="J8" s="2"/>
      <c r="K8" s="2"/>
      <c r="L8" s="2"/>
      <c r="M8" s="2"/>
      <c r="N8" s="2"/>
      <c r="O8" s="2"/>
    </row>
    <row r="9" spans="1:15" ht="16.2">
      <c r="A9" s="6"/>
      <c r="F9" s="6"/>
      <c r="G9" s="2"/>
      <c r="H9" s="2"/>
      <c r="I9" s="2"/>
      <c r="J9" s="2"/>
      <c r="K9" s="2"/>
      <c r="L9" s="2"/>
      <c r="M9" s="2"/>
      <c r="N9" s="2"/>
      <c r="O9" s="2"/>
    </row>
    <row r="10" spans="1:15" ht="15.75" customHeight="1">
      <c r="A10" s="6"/>
      <c r="B10" s="1462" t="s">
        <v>883</v>
      </c>
      <c r="C10" s="1462"/>
      <c r="D10" s="1462"/>
      <c r="F10" s="2" t="s">
        <v>687</v>
      </c>
      <c r="G10" s="1462" t="s">
        <v>882</v>
      </c>
      <c r="H10" s="1462"/>
      <c r="I10" s="1462"/>
      <c r="J10" s="1462"/>
      <c r="K10" s="1462"/>
      <c r="L10" s="1462"/>
      <c r="M10" s="1462"/>
      <c r="N10" s="1462"/>
      <c r="O10" s="1462"/>
    </row>
    <row r="11" spans="1:15">
      <c r="B11" s="1462"/>
      <c r="C11" s="1462"/>
      <c r="D11" s="1462"/>
      <c r="F11" s="2"/>
      <c r="G11" s="1462"/>
      <c r="H11" s="1462"/>
      <c r="I11" s="1462"/>
      <c r="J11" s="1462"/>
      <c r="K11" s="1462"/>
      <c r="L11" s="1462"/>
      <c r="M11" s="1462"/>
      <c r="N11" s="1462"/>
      <c r="O11" s="1462"/>
    </row>
    <row r="12" spans="1:15">
      <c r="B12" s="1462"/>
      <c r="C12" s="1462"/>
      <c r="D12" s="1462"/>
      <c r="F12" s="2"/>
      <c r="G12" s="1462"/>
      <c r="H12" s="1462"/>
      <c r="I12" s="1462"/>
      <c r="J12" s="1462"/>
      <c r="K12" s="1462"/>
      <c r="L12" s="1462"/>
      <c r="M12" s="1462"/>
      <c r="N12" s="1462"/>
      <c r="O12" s="1462"/>
    </row>
    <row r="13" spans="1:15">
      <c r="F13" s="2"/>
      <c r="G13" s="1462" t="s">
        <v>683</v>
      </c>
      <c r="H13" s="1462"/>
      <c r="I13" s="1462"/>
      <c r="J13" s="1462"/>
      <c r="K13" s="1462"/>
      <c r="L13" s="1462"/>
      <c r="M13" s="1462"/>
      <c r="N13" s="1462"/>
      <c r="O13" s="1462"/>
    </row>
    <row r="14" spans="1:15">
      <c r="B14" s="585" t="s">
        <v>881</v>
      </c>
      <c r="F14" s="2"/>
      <c r="G14" s="581"/>
      <c r="H14" s="2"/>
      <c r="I14" s="2"/>
      <c r="J14" s="2"/>
      <c r="K14" s="2"/>
      <c r="L14" s="584"/>
      <c r="M14" s="9"/>
      <c r="N14" s="9"/>
      <c r="O14" s="9"/>
    </row>
    <row r="16" spans="1:15" ht="31.2">
      <c r="B16" s="590" t="s">
        <v>880</v>
      </c>
      <c r="C16" s="731">
        <v>60000000</v>
      </c>
    </row>
    <row r="17" spans="2:3">
      <c r="B17" s="590" t="s">
        <v>879</v>
      </c>
      <c r="C17" s="731">
        <v>18000000</v>
      </c>
    </row>
    <row r="18" spans="2:3">
      <c r="B18" s="590" t="s">
        <v>878</v>
      </c>
      <c r="C18" s="731">
        <v>17500000</v>
      </c>
    </row>
    <row r="19" spans="2:3">
      <c r="B19" s="590" t="s">
        <v>877</v>
      </c>
      <c r="C19" s="731">
        <v>645000000</v>
      </c>
    </row>
    <row r="20" spans="2:3">
      <c r="B20" s="590" t="s">
        <v>876</v>
      </c>
      <c r="C20" s="731">
        <v>18000000</v>
      </c>
    </row>
    <row r="21" spans="2:3">
      <c r="B21" s="590" t="s">
        <v>875</v>
      </c>
      <c r="C21" s="731">
        <v>17500000</v>
      </c>
    </row>
    <row r="22" spans="2:3">
      <c r="B22" s="590" t="s">
        <v>874</v>
      </c>
      <c r="C22" s="730">
        <v>44105</v>
      </c>
    </row>
    <row r="23" spans="2:3">
      <c r="B23" s="590" t="s">
        <v>873</v>
      </c>
      <c r="C23" s="712">
        <v>10.5</v>
      </c>
    </row>
  </sheetData>
  <sheetProtection algorithmName="SHA-512" hashValue="jooUmqszgz9aGJb1Ix7YSYFn6UqEqDg2oAaFOu0/U6NXiHxTfPMkZFZ4V7KV2x/gm5lIqBFT0TFNLDAnrTzWDA==" saltValue="kLJQbSYhOL4Ms2NdTslxWg==" spinCount="100000" sheet="1" objects="1" scenarios="1" formatCells="0" formatColumns="0" formatRows="0" insertColumns="0" insertRows="0"/>
  <mergeCells count="4">
    <mergeCell ref="A5:D5"/>
    <mergeCell ref="B10:D12"/>
    <mergeCell ref="G10:O12"/>
    <mergeCell ref="G13:O13"/>
  </mergeCells>
  <pageMargins left="0.7" right="0.7" top="0.75" bottom="0.75" header="0.3" footer="0.3"/>
  <pageSetup orientation="portrait" horizontalDpi="4294967293"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7F208-5958-4948-9D77-1B6B53C73934}">
  <dimension ref="A1:P83"/>
  <sheetViews>
    <sheetView zoomScaleNormal="100" workbookViewId="0">
      <selection sqref="A1:XFD1048576"/>
    </sheetView>
  </sheetViews>
  <sheetFormatPr defaultColWidth="9.44140625" defaultRowHeight="15.6"/>
  <cols>
    <col min="1" max="1" width="3" style="2" customWidth="1"/>
    <col min="2" max="2" width="52.44140625" style="2" bestFit="1" customWidth="1"/>
    <col min="3" max="3" width="14.44140625" style="2" customWidth="1"/>
    <col min="4" max="4" width="19" style="2" customWidth="1"/>
    <col min="5" max="5" width="1" style="3" customWidth="1"/>
    <col min="6" max="6" width="3.44140625" style="560" customWidth="1"/>
    <col min="7" max="7" width="35.88671875" style="560" customWidth="1"/>
    <col min="8" max="12" width="19.44140625" style="560" customWidth="1"/>
    <col min="13" max="15" width="9.44140625" style="560"/>
    <col min="16" max="16" width="1" style="561" customWidth="1"/>
    <col min="17" max="16384" width="9.44140625" style="560"/>
  </cols>
  <sheetData>
    <row r="1" spans="1:15">
      <c r="A1" s="1" t="s">
        <v>848</v>
      </c>
      <c r="F1" s="1" t="s">
        <v>848</v>
      </c>
      <c r="G1" s="2"/>
      <c r="H1" s="2"/>
      <c r="I1" s="2"/>
      <c r="J1" s="2"/>
      <c r="K1" s="2"/>
      <c r="L1" s="2"/>
      <c r="M1" s="2"/>
      <c r="N1" s="2"/>
      <c r="O1" s="2"/>
    </row>
    <row r="2" spans="1:15">
      <c r="A2" s="1" t="s">
        <v>1</v>
      </c>
      <c r="F2" s="1" t="s">
        <v>1</v>
      </c>
      <c r="G2" s="2"/>
      <c r="H2" s="2"/>
      <c r="I2" s="2"/>
      <c r="J2" s="2"/>
      <c r="K2" s="2"/>
      <c r="L2" s="2"/>
      <c r="M2" s="2"/>
      <c r="N2" s="2"/>
      <c r="O2" s="2"/>
    </row>
    <row r="3" spans="1:15">
      <c r="A3" s="1" t="s">
        <v>336</v>
      </c>
      <c r="F3" s="1" t="s">
        <v>336</v>
      </c>
      <c r="G3" s="2"/>
      <c r="H3" s="2"/>
      <c r="I3" s="2"/>
      <c r="J3" s="2"/>
      <c r="K3" s="2"/>
      <c r="L3" s="2"/>
      <c r="M3" s="2"/>
      <c r="N3" s="2"/>
      <c r="O3" s="2"/>
    </row>
    <row r="4" spans="1:15" ht="16.2" thickBot="1">
      <c r="F4" s="2"/>
      <c r="G4" s="2"/>
      <c r="H4" s="2"/>
      <c r="I4" s="2"/>
      <c r="J4" s="2"/>
      <c r="K4" s="2"/>
      <c r="L4" s="2"/>
      <c r="M4" s="2"/>
      <c r="N4" s="2"/>
      <c r="O4" s="2"/>
    </row>
    <row r="5" spans="1:15" ht="16.8" thickBot="1">
      <c r="A5" s="1623" t="s">
        <v>884</v>
      </c>
      <c r="B5" s="1624"/>
      <c r="C5" s="1624"/>
      <c r="D5" s="1625"/>
      <c r="F5" s="2"/>
      <c r="G5" s="2"/>
      <c r="H5" s="2"/>
      <c r="I5" s="2"/>
      <c r="J5" s="2"/>
      <c r="K5" s="2"/>
      <c r="L5" s="2"/>
      <c r="M5" s="2"/>
      <c r="N5" s="2"/>
      <c r="O5" s="2"/>
    </row>
    <row r="6" spans="1:15">
      <c r="F6" s="2"/>
      <c r="G6" s="2"/>
      <c r="H6" s="2"/>
      <c r="I6" s="2"/>
      <c r="J6" s="2"/>
      <c r="K6" s="2"/>
      <c r="L6" s="2"/>
      <c r="M6" s="2"/>
      <c r="N6" s="2"/>
      <c r="O6" s="2"/>
    </row>
    <row r="7" spans="1:15">
      <c r="F7" s="2"/>
      <c r="G7" s="2"/>
      <c r="H7" s="2"/>
      <c r="I7" s="2"/>
      <c r="J7" s="2"/>
      <c r="K7" s="2"/>
      <c r="L7" s="2"/>
      <c r="M7" s="2"/>
      <c r="N7" s="2"/>
      <c r="O7" s="2"/>
    </row>
    <row r="8" spans="1:15" ht="16.2">
      <c r="A8" s="6" t="s">
        <v>697</v>
      </c>
      <c r="F8" s="6" t="s">
        <v>696</v>
      </c>
      <c r="G8" s="2"/>
      <c r="H8" s="2"/>
      <c r="I8" s="2"/>
      <c r="J8" s="2"/>
      <c r="K8" s="2"/>
      <c r="L8" s="2"/>
      <c r="M8" s="2"/>
      <c r="N8" s="2"/>
      <c r="O8" s="2"/>
    </row>
    <row r="9" spans="1:15" ht="16.2">
      <c r="A9" s="6"/>
      <c r="F9" s="6"/>
      <c r="G9" s="2"/>
      <c r="H9" s="2"/>
      <c r="I9" s="2"/>
      <c r="J9" s="2"/>
      <c r="K9" s="2"/>
      <c r="L9" s="2"/>
      <c r="M9" s="2"/>
      <c r="N9" s="2"/>
      <c r="O9" s="2"/>
    </row>
    <row r="10" spans="1:15" ht="15.75" customHeight="1">
      <c r="A10" s="6"/>
      <c r="B10" s="1462" t="s">
        <v>883</v>
      </c>
      <c r="C10" s="1462"/>
      <c r="D10" s="1462"/>
      <c r="F10" s="2" t="s">
        <v>687</v>
      </c>
      <c r="G10" s="1462" t="s">
        <v>882</v>
      </c>
      <c r="H10" s="1462"/>
      <c r="I10" s="1462"/>
      <c r="J10" s="1462"/>
      <c r="K10" s="1462"/>
      <c r="L10" s="1462"/>
      <c r="M10" s="1462"/>
      <c r="N10" s="1462"/>
      <c r="O10" s="1462"/>
    </row>
    <row r="11" spans="1:15">
      <c r="B11" s="1462"/>
      <c r="C11" s="1462"/>
      <c r="D11" s="1462"/>
      <c r="F11" s="2"/>
      <c r="G11" s="1462"/>
      <c r="H11" s="1462"/>
      <c r="I11" s="1462"/>
      <c r="J11" s="1462"/>
      <c r="K11" s="1462"/>
      <c r="L11" s="1462"/>
      <c r="M11" s="1462"/>
      <c r="N11" s="1462"/>
      <c r="O11" s="1462"/>
    </row>
    <row r="12" spans="1:15">
      <c r="B12" s="1462"/>
      <c r="C12" s="1462"/>
      <c r="D12" s="1462"/>
      <c r="F12" s="2"/>
      <c r="G12" s="1462"/>
      <c r="H12" s="1462"/>
      <c r="I12" s="1462"/>
      <c r="J12" s="1462"/>
      <c r="K12" s="1462"/>
      <c r="L12" s="1462"/>
      <c r="M12" s="1462"/>
      <c r="N12" s="1462"/>
      <c r="O12" s="1462"/>
    </row>
    <row r="13" spans="1:15">
      <c r="F13" s="2"/>
      <c r="G13" s="1462" t="s">
        <v>683</v>
      </c>
      <c r="H13" s="1462"/>
      <c r="I13" s="1462"/>
      <c r="J13" s="1462"/>
      <c r="K13" s="1462"/>
      <c r="L13" s="1462"/>
      <c r="M13" s="1462"/>
      <c r="N13" s="1462"/>
      <c r="O13" s="1462"/>
    </row>
    <row r="14" spans="1:15">
      <c r="B14" s="585" t="s">
        <v>881</v>
      </c>
      <c r="F14" s="2"/>
      <c r="G14" s="581"/>
      <c r="H14" s="2"/>
      <c r="I14" s="2"/>
      <c r="J14" s="2"/>
      <c r="K14" s="2"/>
      <c r="L14" s="584"/>
      <c r="M14" s="9"/>
      <c r="N14" s="9"/>
      <c r="O14" s="9"/>
    </row>
    <row r="15" spans="1:15">
      <c r="H15" s="737"/>
      <c r="I15" s="737">
        <v>44012</v>
      </c>
      <c r="J15" s="737">
        <v>44012</v>
      </c>
      <c r="K15" s="737">
        <v>44012</v>
      </c>
    </row>
    <row r="16" spans="1:15" ht="31.2">
      <c r="B16" s="590" t="s">
        <v>880</v>
      </c>
      <c r="C16" s="731">
        <v>60000000</v>
      </c>
      <c r="H16" s="737">
        <v>43831</v>
      </c>
      <c r="I16" s="560" t="s">
        <v>939</v>
      </c>
      <c r="J16" s="560" t="s">
        <v>924</v>
      </c>
      <c r="K16" s="560" t="s">
        <v>913</v>
      </c>
    </row>
    <row r="17" spans="2:11">
      <c r="B17" s="590" t="s">
        <v>879</v>
      </c>
      <c r="C17" s="731">
        <v>18000000</v>
      </c>
      <c r="G17" s="560" t="s">
        <v>938</v>
      </c>
      <c r="H17" s="726">
        <v>-1149659000</v>
      </c>
      <c r="I17" s="726">
        <f>-H27</f>
        <v>-1182692000</v>
      </c>
      <c r="J17" s="726">
        <f>-H37</f>
        <v>-1183092350</v>
      </c>
      <c r="K17" s="726">
        <f>-H53</f>
        <v>191382375</v>
      </c>
    </row>
    <row r="18" spans="2:11">
      <c r="B18" s="590" t="s">
        <v>878</v>
      </c>
      <c r="C18" s="731">
        <v>17500000</v>
      </c>
      <c r="G18" s="560" t="s">
        <v>488</v>
      </c>
      <c r="H18" s="736">
        <v>668828000</v>
      </c>
      <c r="I18" s="736">
        <f>H29</f>
        <v>688429000</v>
      </c>
      <c r="J18" s="736">
        <f>H40</f>
        <v>645000000</v>
      </c>
      <c r="K18" s="736">
        <v>0</v>
      </c>
    </row>
    <row r="19" spans="2:11">
      <c r="B19" s="590" t="s">
        <v>877</v>
      </c>
      <c r="C19" s="731">
        <v>645000000</v>
      </c>
      <c r="G19" s="560" t="s">
        <v>937</v>
      </c>
      <c r="H19" s="726">
        <f>SUM(H17:H18)</f>
        <v>-480831000</v>
      </c>
      <c r="I19" s="726">
        <f>SUM(I17:I18)</f>
        <v>-494263000</v>
      </c>
      <c r="J19" s="726">
        <f>SUM(J17:J18)</f>
        <v>-538092350</v>
      </c>
      <c r="K19" s="726">
        <f>SUM(K17:K18)</f>
        <v>191382375</v>
      </c>
    </row>
    <row r="20" spans="2:11">
      <c r="B20" s="590" t="s">
        <v>876</v>
      </c>
      <c r="C20" s="731">
        <v>18000000</v>
      </c>
      <c r="G20" s="560" t="s">
        <v>936</v>
      </c>
      <c r="H20" s="736">
        <v>147412000</v>
      </c>
      <c r="I20" s="736">
        <f>H31</f>
        <v>146042000</v>
      </c>
      <c r="J20" s="736">
        <f>H44</f>
        <v>189871350</v>
      </c>
      <c r="K20" s="736">
        <f>H58</f>
        <v>-189871350</v>
      </c>
    </row>
    <row r="21" spans="2:11" ht="31.2">
      <c r="B21" s="590" t="s">
        <v>875</v>
      </c>
      <c r="C21" s="731">
        <v>17500000</v>
      </c>
      <c r="G21" s="735" t="s">
        <v>935</v>
      </c>
      <c r="H21" s="726">
        <f>SUM(H19:H20)</f>
        <v>-333419000</v>
      </c>
      <c r="I21" s="726">
        <f>SUM(I19:I20)</f>
        <v>-348221000</v>
      </c>
      <c r="J21" s="726">
        <f>SUM(J19:J20)</f>
        <v>-348221000</v>
      </c>
      <c r="K21" s="726">
        <f>SUM(K19:K20)</f>
        <v>1511025</v>
      </c>
    </row>
    <row r="22" spans="2:11">
      <c r="B22" s="590" t="s">
        <v>874</v>
      </c>
      <c r="C22" s="730">
        <v>44105</v>
      </c>
      <c r="H22" s="732"/>
      <c r="I22" s="732"/>
      <c r="J22" s="732"/>
      <c r="K22" s="732"/>
    </row>
    <row r="23" spans="2:11">
      <c r="B23" s="590" t="s">
        <v>873</v>
      </c>
      <c r="C23" s="712">
        <v>10.5</v>
      </c>
      <c r="G23" s="560" t="s">
        <v>934</v>
      </c>
      <c r="H23" s="732"/>
      <c r="I23" s="732"/>
      <c r="J23" s="732"/>
      <c r="K23" s="732"/>
    </row>
    <row r="24" spans="2:11">
      <c r="H24" s="732"/>
      <c r="I24" s="732"/>
      <c r="J24" s="732"/>
      <c r="K24" s="732"/>
    </row>
    <row r="25" spans="2:11">
      <c r="G25" s="603" t="s">
        <v>933</v>
      </c>
      <c r="H25" s="732"/>
      <c r="I25" s="732"/>
      <c r="J25" s="732"/>
      <c r="K25" s="732"/>
    </row>
    <row r="26" spans="2:11">
      <c r="G26" s="560" t="s">
        <v>932</v>
      </c>
      <c r="H26" s="732"/>
      <c r="I26" s="732"/>
      <c r="J26" s="732"/>
      <c r="K26" s="732"/>
    </row>
    <row r="27" spans="2:11">
      <c r="G27" s="560" t="s">
        <v>931</v>
      </c>
      <c r="H27" s="732">
        <f>1149659000+58986000*0.5+44620000*0.5-37540000*0.5</f>
        <v>1182692000</v>
      </c>
      <c r="I27" s="732"/>
      <c r="J27" s="732"/>
      <c r="K27" s="732"/>
    </row>
    <row r="28" spans="2:11">
      <c r="G28" s="560" t="s">
        <v>930</v>
      </c>
      <c r="H28" s="732"/>
      <c r="I28" s="732"/>
      <c r="J28" s="732"/>
      <c r="K28" s="732"/>
    </row>
    <row r="29" spans="2:11">
      <c r="G29" s="560" t="s">
        <v>929</v>
      </c>
      <c r="H29" s="732">
        <f>668828000+41742000*0.5+17500000-37540000*0.5</f>
        <v>688429000</v>
      </c>
      <c r="I29" s="732"/>
      <c r="J29" s="732"/>
      <c r="K29" s="732"/>
    </row>
    <row r="30" spans="2:11">
      <c r="G30" s="560" t="s">
        <v>928</v>
      </c>
      <c r="H30" s="732"/>
      <c r="I30" s="732"/>
      <c r="J30" s="732"/>
      <c r="K30" s="732"/>
    </row>
    <row r="31" spans="2:11">
      <c r="G31" s="560" t="s">
        <v>927</v>
      </c>
      <c r="H31" s="732">
        <f>147412000-2740000*0.5</f>
        <v>146042000</v>
      </c>
      <c r="I31" s="732"/>
      <c r="J31" s="732"/>
      <c r="K31" s="732"/>
    </row>
    <row r="32" spans="2:11">
      <c r="G32" s="560" t="s">
        <v>926</v>
      </c>
      <c r="H32" s="732"/>
      <c r="I32" s="732"/>
      <c r="J32" s="732"/>
      <c r="K32" s="732"/>
    </row>
    <row r="33" spans="7:11">
      <c r="G33" s="560" t="s">
        <v>925</v>
      </c>
      <c r="H33" s="732">
        <f>-333419000-(58986000+44620000-41742000+2740000)*0.5+C18</f>
        <v>-348221000</v>
      </c>
      <c r="I33" s="734"/>
      <c r="J33" s="732"/>
      <c r="K33" s="732"/>
    </row>
    <row r="34" spans="7:11">
      <c r="H34" s="732"/>
      <c r="I34" s="732"/>
      <c r="J34" s="732"/>
      <c r="K34" s="732"/>
    </row>
    <row r="35" spans="7:11">
      <c r="G35" s="560" t="s">
        <v>924</v>
      </c>
      <c r="H35" s="732"/>
      <c r="I35" s="732"/>
      <c r="J35" s="732"/>
      <c r="K35" s="732"/>
    </row>
    <row r="36" spans="7:11">
      <c r="G36" s="560" t="s">
        <v>923</v>
      </c>
      <c r="H36" s="732"/>
      <c r="I36" s="732"/>
      <c r="J36" s="732"/>
      <c r="K36" s="732"/>
    </row>
    <row r="37" spans="7:11">
      <c r="G37" s="560" t="s">
        <v>922</v>
      </c>
      <c r="H37" s="732">
        <f>(1149659000+58986000*0.5)*(1+3.75%*0.5)-C17*(1+3.75%*0.25)</f>
        <v>1183092350</v>
      </c>
      <c r="I37" s="732"/>
      <c r="J37" s="732"/>
      <c r="K37" s="732"/>
    </row>
    <row r="38" spans="7:11">
      <c r="G38" s="560" t="s">
        <v>921</v>
      </c>
      <c r="H38" s="732"/>
      <c r="I38" s="732"/>
      <c r="J38" s="732"/>
      <c r="K38" s="732"/>
    </row>
    <row r="39" spans="7:11">
      <c r="G39" s="560" t="s">
        <v>920</v>
      </c>
      <c r="H39" s="732">
        <f>H37-H27</f>
        <v>400350</v>
      </c>
      <c r="I39" s="732"/>
      <c r="J39" s="732"/>
      <c r="K39" s="732"/>
    </row>
    <row r="40" spans="7:11">
      <c r="G40" s="560" t="s">
        <v>919</v>
      </c>
      <c r="H40" s="732">
        <f>C19</f>
        <v>645000000</v>
      </c>
      <c r="I40" s="734" t="s">
        <v>918</v>
      </c>
      <c r="J40" s="732"/>
      <c r="K40" s="732"/>
    </row>
    <row r="41" spans="7:11">
      <c r="G41" s="560" t="s">
        <v>917</v>
      </c>
      <c r="H41" s="732"/>
      <c r="I41" s="732"/>
      <c r="J41" s="732"/>
      <c r="K41" s="732"/>
    </row>
    <row r="42" spans="7:11">
      <c r="G42" s="560" t="s">
        <v>916</v>
      </c>
      <c r="H42" s="732">
        <f>H29-H40</f>
        <v>43429000</v>
      </c>
      <c r="I42" s="732"/>
      <c r="J42" s="732"/>
      <c r="K42" s="732"/>
    </row>
    <row r="43" spans="7:11">
      <c r="G43" s="560" t="s">
        <v>915</v>
      </c>
      <c r="H43" s="732"/>
      <c r="I43" s="732"/>
      <c r="J43" s="732"/>
      <c r="K43" s="732"/>
    </row>
    <row r="44" spans="7:11">
      <c r="G44" s="560" t="s">
        <v>914</v>
      </c>
      <c r="H44" s="732">
        <f>H31+H39+H42</f>
        <v>189871350</v>
      </c>
      <c r="I44" s="732"/>
      <c r="J44" s="732"/>
      <c r="K44" s="732"/>
    </row>
    <row r="45" spans="7:11">
      <c r="H45" s="732"/>
      <c r="I45" s="732"/>
      <c r="J45" s="732"/>
      <c r="K45" s="732"/>
    </row>
    <row r="46" spans="7:11">
      <c r="G46" s="560" t="s">
        <v>913</v>
      </c>
    </row>
    <row r="47" spans="7:11">
      <c r="G47" s="560" t="s">
        <v>912</v>
      </c>
    </row>
    <row r="48" spans="7:11">
      <c r="G48" s="560" t="s">
        <v>911</v>
      </c>
    </row>
    <row r="49" spans="7:11">
      <c r="G49" s="560" t="s">
        <v>910</v>
      </c>
      <c r="H49" s="732">
        <f>(961292000+C16*0.5)*(1+3.75%*0.5) - C17*(1+3.75%*0.25)</f>
        <v>991709975</v>
      </c>
      <c r="I49" s="732"/>
      <c r="J49" s="732"/>
      <c r="K49" s="732"/>
    </row>
    <row r="50" spans="7:11">
      <c r="G50" s="560" t="s">
        <v>909</v>
      </c>
      <c r="H50" s="732">
        <f>H49</f>
        <v>991709975</v>
      </c>
      <c r="I50" s="732"/>
      <c r="J50" s="732"/>
      <c r="K50" s="732"/>
    </row>
    <row r="51" spans="7:11">
      <c r="H51" s="732"/>
      <c r="I51" s="732"/>
      <c r="J51" s="732"/>
      <c r="K51" s="732"/>
    </row>
    <row r="52" spans="7:11">
      <c r="G52" s="560" t="s">
        <v>908</v>
      </c>
      <c r="H52" s="732"/>
      <c r="I52" s="732"/>
      <c r="J52" s="732"/>
      <c r="K52" s="732"/>
    </row>
    <row r="53" spans="7:11">
      <c r="G53" s="560" t="s">
        <v>907</v>
      </c>
      <c r="H53" s="732">
        <f>H50-H37</f>
        <v>-191382375</v>
      </c>
      <c r="I53" s="732"/>
      <c r="J53" s="732"/>
      <c r="K53" s="732"/>
    </row>
    <row r="54" spans="7:11">
      <c r="G54" s="560" t="s">
        <v>906</v>
      </c>
      <c r="H54" s="732"/>
      <c r="I54" s="732"/>
      <c r="J54" s="732"/>
      <c r="K54" s="732"/>
    </row>
    <row r="55" spans="7:11">
      <c r="G55" s="560" t="s">
        <v>905</v>
      </c>
      <c r="H55" s="732"/>
      <c r="I55" s="732"/>
      <c r="J55" s="732"/>
      <c r="K55" s="732"/>
    </row>
    <row r="56" spans="7:11">
      <c r="G56" s="560" t="s">
        <v>904</v>
      </c>
      <c r="H56" s="732"/>
      <c r="I56" s="732"/>
      <c r="J56" s="732"/>
      <c r="K56" s="732"/>
    </row>
    <row r="57" spans="7:11">
      <c r="H57" s="732"/>
      <c r="I57" s="732"/>
      <c r="J57" s="732"/>
      <c r="K57" s="732"/>
    </row>
    <row r="58" spans="7:11">
      <c r="G58" s="560" t="s">
        <v>903</v>
      </c>
      <c r="H58" s="732">
        <f>-H44</f>
        <v>-189871350</v>
      </c>
      <c r="I58" s="732"/>
      <c r="J58" s="732"/>
      <c r="K58" s="732"/>
    </row>
    <row r="59" spans="7:11">
      <c r="G59" s="560" t="s">
        <v>902</v>
      </c>
      <c r="H59" s="732"/>
      <c r="I59" s="732"/>
      <c r="J59" s="732"/>
      <c r="K59" s="732"/>
    </row>
    <row r="60" spans="7:11">
      <c r="G60" s="560" t="s">
        <v>889</v>
      </c>
      <c r="H60" s="732">
        <f>H53+H44</f>
        <v>-1511025</v>
      </c>
      <c r="I60" s="732"/>
      <c r="J60" s="732"/>
      <c r="K60" s="732"/>
    </row>
    <row r="61" spans="7:11">
      <c r="H61" s="732"/>
      <c r="I61" s="732"/>
      <c r="J61" s="732"/>
      <c r="K61" s="732"/>
    </row>
    <row r="62" spans="7:11">
      <c r="G62" s="560" t="s">
        <v>901</v>
      </c>
      <c r="H62" s="732"/>
      <c r="I62" s="732"/>
      <c r="J62" s="732"/>
      <c r="K62" s="732"/>
    </row>
    <row r="63" spans="7:11">
      <c r="H63" s="732"/>
      <c r="I63" s="732"/>
      <c r="J63" s="732"/>
      <c r="K63" s="732"/>
    </row>
    <row r="64" spans="7:11">
      <c r="G64" s="560" t="s">
        <v>900</v>
      </c>
      <c r="H64" s="732"/>
      <c r="I64" s="732"/>
      <c r="J64" s="732"/>
      <c r="K64" s="732"/>
    </row>
    <row r="65" spans="7:11">
      <c r="G65" s="603" t="s">
        <v>899</v>
      </c>
      <c r="H65" s="733">
        <f>(58986000+44620000-41742000+2740000)*0.5</f>
        <v>32302000</v>
      </c>
      <c r="I65" s="732"/>
      <c r="J65" s="732"/>
      <c r="K65" s="732"/>
    </row>
    <row r="66" spans="7:11">
      <c r="H66" s="732"/>
      <c r="I66" s="732"/>
      <c r="J66" s="732"/>
      <c r="K66" s="732"/>
    </row>
    <row r="67" spans="7:11">
      <c r="G67" s="560" t="s">
        <v>898</v>
      </c>
      <c r="H67" s="732"/>
      <c r="I67" s="732"/>
      <c r="J67" s="732"/>
      <c r="K67" s="732"/>
    </row>
    <row r="68" spans="7:11">
      <c r="G68" s="560" t="s">
        <v>897</v>
      </c>
      <c r="H68" s="732"/>
      <c r="I68" s="732"/>
      <c r="J68" s="732"/>
      <c r="K68" s="732"/>
    </row>
    <row r="69" spans="7:11">
      <c r="G69" s="560" t="s">
        <v>896</v>
      </c>
      <c r="H69" s="732"/>
      <c r="I69" s="732"/>
      <c r="J69" s="732"/>
      <c r="K69" s="732"/>
    </row>
    <row r="70" spans="7:11">
      <c r="G70" s="560" t="s">
        <v>895</v>
      </c>
      <c r="H70" s="732">
        <f>H50*3.75%*0.5-C20*3.75%*0.25</f>
        <v>18425812.03125</v>
      </c>
      <c r="I70" s="732"/>
      <c r="J70" s="732"/>
      <c r="K70" s="732"/>
    </row>
    <row r="71" spans="7:11">
      <c r="G71" s="560" t="s">
        <v>894</v>
      </c>
      <c r="H71" s="732"/>
      <c r="I71" s="732"/>
      <c r="J71" s="732"/>
      <c r="K71" s="732"/>
    </row>
    <row r="72" spans="7:11">
      <c r="G72" s="560" t="s">
        <v>893</v>
      </c>
      <c r="H72" s="732">
        <f>C19*6.25%*0.5+(C21-C20)*6.25%*0.25</f>
        <v>20148437.5</v>
      </c>
      <c r="I72" s="732"/>
      <c r="J72" s="732"/>
      <c r="K72" s="732"/>
    </row>
    <row r="73" spans="7:11">
      <c r="G73" s="560" t="s">
        <v>892</v>
      </c>
      <c r="H73" s="732"/>
      <c r="I73" s="732"/>
      <c r="J73" s="732"/>
      <c r="K73" s="732"/>
    </row>
    <row r="74" spans="7:11">
      <c r="G74" s="560" t="s">
        <v>891</v>
      </c>
      <c r="H74" s="732"/>
      <c r="I74" s="732"/>
      <c r="J74" s="732"/>
      <c r="K74" s="732"/>
    </row>
    <row r="75" spans="7:11">
      <c r="G75" s="603" t="s">
        <v>890</v>
      </c>
      <c r="H75" s="733">
        <f>0+H70-H72+0+0</f>
        <v>-1722625.46875</v>
      </c>
      <c r="I75" s="732"/>
      <c r="J75" s="732"/>
      <c r="K75" s="732"/>
    </row>
    <row r="76" spans="7:11">
      <c r="H76" s="732"/>
      <c r="I76" s="732"/>
      <c r="J76" s="732"/>
      <c r="K76" s="732"/>
    </row>
    <row r="77" spans="7:11">
      <c r="G77" s="603" t="s">
        <v>889</v>
      </c>
      <c r="H77" s="733">
        <f>H60</f>
        <v>-1511025</v>
      </c>
      <c r="I77" s="732"/>
      <c r="J77" s="732"/>
      <c r="K77" s="732"/>
    </row>
    <row r="78" spans="7:11">
      <c r="H78" s="732"/>
      <c r="I78" s="732"/>
      <c r="J78" s="732"/>
      <c r="K78" s="732"/>
    </row>
    <row r="79" spans="7:11">
      <c r="G79" s="603" t="s">
        <v>888</v>
      </c>
      <c r="H79" s="733">
        <f>H65+H75+H77</f>
        <v>29068349.53125</v>
      </c>
      <c r="I79" s="732"/>
      <c r="J79" s="732"/>
      <c r="K79" s="732"/>
    </row>
    <row r="80" spans="7:11">
      <c r="G80" s="560" t="s">
        <v>887</v>
      </c>
      <c r="H80" s="732">
        <f>58986000+44620000-41742000+2740000</f>
        <v>64604000</v>
      </c>
      <c r="I80" s="732"/>
      <c r="J80" s="732"/>
      <c r="K80" s="732"/>
    </row>
    <row r="81" spans="7:11">
      <c r="H81" s="732"/>
      <c r="I81" s="732"/>
      <c r="J81" s="732"/>
      <c r="K81" s="732"/>
    </row>
    <row r="82" spans="7:11">
      <c r="G82" s="603" t="s">
        <v>886</v>
      </c>
      <c r="H82" s="733">
        <f>H79-H80</f>
        <v>-35535650.46875</v>
      </c>
      <c r="I82" s="732"/>
      <c r="J82" s="732"/>
      <c r="K82" s="732"/>
    </row>
    <row r="83" spans="7:11">
      <c r="G83" s="603" t="s">
        <v>885</v>
      </c>
      <c r="H83" s="732"/>
      <c r="I83" s="732"/>
      <c r="J83" s="732"/>
      <c r="K83" s="732"/>
    </row>
  </sheetData>
  <sheetProtection algorithmName="SHA-512" hashValue="jooUmqszgz9aGJb1Ix7YSYFn6UqEqDg2oAaFOu0/U6NXiHxTfPMkZFZ4V7KV2x/gm5lIqBFT0TFNLDAnrTzWDA==" saltValue="kLJQbSYhOL4Ms2NdTslxWg==" spinCount="100000" sheet="1" objects="1" scenarios="1" formatCells="0" formatColumns="0" formatRows="0" insertColumns="0" insertRows="0"/>
  <mergeCells count="4">
    <mergeCell ref="A5:D5"/>
    <mergeCell ref="B10:D12"/>
    <mergeCell ref="G10:O12"/>
    <mergeCell ref="G13:O13"/>
  </mergeCells>
  <pageMargins left="0.7" right="0.7" top="0.75" bottom="0.75" header="0.3" footer="0.3"/>
  <pageSetup orientation="portrait" horizontalDpi="4294967293"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C0E5-8D7C-4181-AFE2-51A2D15EF1DC}">
  <dimension ref="A1:AN164"/>
  <sheetViews>
    <sheetView zoomScale="85" zoomScaleNormal="85" workbookViewId="0">
      <selection sqref="A1:XFD1048576"/>
    </sheetView>
  </sheetViews>
  <sheetFormatPr defaultColWidth="9.109375" defaultRowHeight="15.6"/>
  <cols>
    <col min="1" max="1" width="3.6640625" style="529" customWidth="1"/>
    <col min="2" max="2" width="36.44140625" style="529" customWidth="1"/>
    <col min="3" max="4" width="14.109375" style="529" customWidth="1"/>
    <col min="5" max="5" width="10.44140625" style="529" customWidth="1"/>
    <col min="6" max="6" width="10" style="529" hidden="1" customWidth="1"/>
    <col min="7" max="7" width="6.88671875" style="529" hidden="1" customWidth="1"/>
    <col min="8" max="8" width="10" style="529" hidden="1" customWidth="1"/>
    <col min="9" max="9" width="6.88671875" style="529" hidden="1" customWidth="1"/>
    <col min="10" max="10" width="10" style="529" hidden="1" customWidth="1"/>
    <col min="11" max="11" width="6.88671875" style="529" hidden="1" customWidth="1"/>
    <col min="12" max="12" width="1.6640625" style="529" customWidth="1"/>
    <col min="13" max="13" width="13.88671875" style="529" customWidth="1"/>
    <col min="14" max="14" width="1" style="528" customWidth="1"/>
    <col min="15" max="15" width="4.5546875" style="739" customWidth="1"/>
    <col min="16" max="16" width="12" style="739" customWidth="1"/>
    <col min="17" max="17" width="17.33203125" style="739" customWidth="1"/>
    <col min="18" max="18" width="13.44140625" style="739" customWidth="1"/>
    <col min="19" max="19" width="12.5546875" style="739" bestFit="1" customWidth="1"/>
    <col min="20" max="20" width="15" style="739" customWidth="1"/>
    <col min="21" max="21" width="9.109375" style="739"/>
    <col min="22" max="22" width="11" style="739" customWidth="1"/>
    <col min="23" max="23" width="9.109375" style="739"/>
    <col min="24" max="26" width="14.6640625" style="739" customWidth="1"/>
    <col min="27" max="27" width="1" style="528" customWidth="1"/>
    <col min="28" max="28" width="5" style="739" customWidth="1"/>
    <col min="29" max="30" width="14.44140625" style="740" customWidth="1"/>
    <col min="31" max="39" width="14.44140625" style="739" customWidth="1"/>
    <col min="40" max="40" width="1" style="528" customWidth="1"/>
    <col min="41" max="16384" width="9.109375" style="738"/>
  </cols>
  <sheetData>
    <row r="1" spans="1:39">
      <c r="A1" s="559" t="s">
        <v>956</v>
      </c>
      <c r="O1" s="559" t="s">
        <v>956</v>
      </c>
      <c r="P1" s="529"/>
      <c r="Q1" s="529"/>
      <c r="R1" s="529"/>
      <c r="S1" s="529"/>
      <c r="T1" s="529"/>
      <c r="U1" s="529"/>
      <c r="V1" s="529"/>
      <c r="W1" s="529"/>
      <c r="X1" s="529"/>
      <c r="Y1" s="529"/>
      <c r="Z1" s="529"/>
      <c r="AB1" s="559" t="str">
        <f>O1</f>
        <v>Exam RETDAC:  Spring</v>
      </c>
      <c r="AC1" s="529"/>
      <c r="AD1" s="529"/>
      <c r="AE1" s="529"/>
      <c r="AF1" s="529"/>
      <c r="AG1" s="529"/>
      <c r="AH1" s="529"/>
      <c r="AI1" s="529"/>
      <c r="AJ1" s="529"/>
      <c r="AK1" s="529"/>
      <c r="AL1" s="529"/>
      <c r="AM1" s="529"/>
    </row>
    <row r="2" spans="1:39">
      <c r="A2" s="559" t="s">
        <v>732</v>
      </c>
      <c r="O2" s="559" t="s">
        <v>732</v>
      </c>
      <c r="P2" s="529"/>
      <c r="Q2" s="529"/>
      <c r="R2" s="529"/>
      <c r="S2" s="529"/>
      <c r="T2" s="529"/>
      <c r="U2" s="529"/>
      <c r="V2" s="529"/>
      <c r="W2" s="529"/>
      <c r="X2" s="529"/>
      <c r="Y2" s="529"/>
      <c r="Z2" s="529"/>
      <c r="AB2" s="559" t="str">
        <f>O2</f>
        <v>Design and Accounting Exam – Canada</v>
      </c>
      <c r="AC2" s="529"/>
      <c r="AD2" s="529"/>
      <c r="AE2" s="529"/>
      <c r="AF2" s="529"/>
      <c r="AG2" s="529"/>
      <c r="AH2" s="529"/>
      <c r="AI2" s="529"/>
      <c r="AJ2" s="529"/>
      <c r="AK2" s="529"/>
      <c r="AL2" s="529"/>
      <c r="AM2" s="529"/>
    </row>
    <row r="3" spans="1:39">
      <c r="A3" s="559" t="s">
        <v>464</v>
      </c>
      <c r="O3" s="559" t="s">
        <v>464</v>
      </c>
      <c r="P3" s="529"/>
      <c r="Q3" s="529"/>
      <c r="R3" s="529"/>
      <c r="S3" s="529"/>
      <c r="T3" s="529"/>
      <c r="U3" s="529"/>
      <c r="V3" s="529"/>
      <c r="W3" s="529"/>
      <c r="X3" s="529"/>
      <c r="Y3" s="529"/>
      <c r="Z3" s="529"/>
      <c r="AB3" s="559" t="str">
        <f>O3</f>
        <v>Question 5</v>
      </c>
      <c r="AC3" s="529"/>
      <c r="AD3" s="529"/>
      <c r="AE3" s="529"/>
      <c r="AF3" s="529"/>
      <c r="AG3" s="529"/>
      <c r="AH3" s="529"/>
      <c r="AI3" s="529"/>
      <c r="AJ3" s="529"/>
      <c r="AK3" s="529"/>
      <c r="AL3" s="529"/>
      <c r="AM3" s="529"/>
    </row>
    <row r="4" spans="1:39">
      <c r="A4" s="559"/>
      <c r="O4" s="559"/>
      <c r="P4" s="529"/>
      <c r="Q4" s="529"/>
      <c r="R4" s="529"/>
      <c r="S4" s="529"/>
      <c r="T4" s="529"/>
      <c r="U4" s="529"/>
      <c r="V4" s="529"/>
      <c r="W4" s="529"/>
      <c r="X4" s="529"/>
      <c r="Y4" s="529"/>
      <c r="Z4" s="529"/>
      <c r="AB4" s="559"/>
      <c r="AC4" s="529"/>
      <c r="AD4" s="529"/>
      <c r="AE4" s="529"/>
      <c r="AF4" s="529"/>
      <c r="AG4" s="529"/>
      <c r="AH4" s="529"/>
      <c r="AI4" s="529"/>
      <c r="AJ4" s="529"/>
      <c r="AK4" s="529"/>
      <c r="AL4" s="529"/>
      <c r="AM4" s="529"/>
    </row>
    <row r="5" spans="1:39" ht="16.2">
      <c r="A5" s="1632" t="s">
        <v>955</v>
      </c>
      <c r="B5" s="1633"/>
      <c r="C5" s="1633"/>
      <c r="D5" s="1633"/>
      <c r="E5" s="1633"/>
      <c r="F5" s="1633"/>
      <c r="G5" s="1633"/>
      <c r="H5" s="1633"/>
      <c r="I5" s="1633"/>
      <c r="J5" s="1633"/>
      <c r="K5" s="1633"/>
      <c r="L5" s="1633"/>
      <c r="M5" s="1634"/>
      <c r="O5" s="559"/>
      <c r="P5" s="529"/>
      <c r="Q5" s="529"/>
      <c r="R5" s="529"/>
      <c r="S5" s="529"/>
      <c r="T5" s="529"/>
      <c r="U5" s="529"/>
      <c r="V5" s="529"/>
      <c r="W5" s="529"/>
      <c r="X5" s="529"/>
      <c r="Y5" s="529"/>
      <c r="Z5" s="529"/>
      <c r="AB5" s="559"/>
      <c r="AC5" s="529"/>
      <c r="AD5" s="529"/>
      <c r="AE5" s="529"/>
      <c r="AF5" s="529"/>
      <c r="AG5" s="529"/>
      <c r="AH5" s="529"/>
      <c r="AI5" s="529"/>
      <c r="AJ5" s="529"/>
      <c r="AK5" s="529"/>
      <c r="AL5" s="529"/>
      <c r="AM5" s="529"/>
    </row>
    <row r="6" spans="1:39">
      <c r="O6" s="529"/>
      <c r="P6" s="529"/>
      <c r="Q6" s="529"/>
      <c r="R6" s="529"/>
      <c r="S6" s="529"/>
      <c r="T6" s="529"/>
      <c r="U6" s="529"/>
      <c r="V6" s="529"/>
      <c r="W6" s="529"/>
      <c r="X6" s="529"/>
      <c r="Y6" s="529"/>
      <c r="Z6" s="529"/>
      <c r="AB6" s="529"/>
      <c r="AC6" s="529"/>
      <c r="AD6" s="529"/>
      <c r="AE6" s="529"/>
      <c r="AF6" s="529"/>
      <c r="AG6" s="529"/>
      <c r="AH6" s="529"/>
      <c r="AI6" s="529"/>
      <c r="AJ6" s="529"/>
      <c r="AK6" s="529"/>
      <c r="AL6" s="529"/>
      <c r="AM6" s="529"/>
    </row>
    <row r="7" spans="1:39" ht="16.2">
      <c r="A7" s="1627" t="s">
        <v>954</v>
      </c>
      <c r="B7" s="1627"/>
      <c r="C7" s="1627"/>
      <c r="D7" s="1627"/>
      <c r="E7" s="1627"/>
      <c r="F7" s="1627"/>
      <c r="G7" s="1627"/>
      <c r="H7" s="1627"/>
      <c r="I7" s="1627"/>
      <c r="J7" s="1627"/>
      <c r="K7" s="1627"/>
      <c r="L7" s="1627"/>
      <c r="M7" s="1627"/>
      <c r="O7" s="558" t="s">
        <v>4</v>
      </c>
      <c r="P7" s="529"/>
      <c r="Q7" s="529"/>
      <c r="R7" s="529"/>
      <c r="S7" s="529"/>
      <c r="T7" s="529"/>
      <c r="U7" s="529"/>
      <c r="V7" s="529"/>
      <c r="W7" s="529"/>
      <c r="X7" s="529"/>
      <c r="Y7" s="529"/>
      <c r="Z7" s="529"/>
      <c r="AB7" s="558" t="s">
        <v>4</v>
      </c>
      <c r="AC7" s="529"/>
      <c r="AD7" s="529"/>
      <c r="AE7" s="529"/>
      <c r="AF7" s="529"/>
      <c r="AG7" s="529"/>
      <c r="AH7" s="529"/>
      <c r="AI7" s="529"/>
      <c r="AJ7" s="529"/>
      <c r="AK7" s="529"/>
      <c r="AL7" s="529"/>
      <c r="AM7" s="529"/>
    </row>
    <row r="8" spans="1:39">
      <c r="A8" s="1627"/>
      <c r="B8" s="1627"/>
      <c r="C8" s="1627"/>
      <c r="D8" s="1627"/>
      <c r="E8" s="1627"/>
      <c r="F8" s="1627"/>
      <c r="G8" s="1627"/>
      <c r="H8" s="1627"/>
      <c r="I8" s="1627"/>
      <c r="J8" s="1627"/>
      <c r="K8" s="1627"/>
      <c r="L8" s="1627"/>
      <c r="M8" s="1627"/>
      <c r="O8" s="529"/>
      <c r="P8" s="529"/>
      <c r="Q8" s="529"/>
      <c r="R8" s="529"/>
      <c r="S8" s="529"/>
      <c r="T8" s="529"/>
      <c r="U8" s="529"/>
      <c r="V8" s="529"/>
      <c r="W8" s="529"/>
      <c r="X8" s="529"/>
      <c r="Y8" s="529"/>
      <c r="Z8" s="529"/>
      <c r="AB8" s="529"/>
      <c r="AC8" s="529"/>
      <c r="AD8" s="529"/>
      <c r="AE8" s="529"/>
      <c r="AF8" s="529"/>
      <c r="AG8" s="529"/>
      <c r="AH8" s="529"/>
      <c r="AI8" s="529"/>
      <c r="AJ8" s="529"/>
      <c r="AK8" s="529"/>
      <c r="AL8" s="529"/>
      <c r="AM8" s="529"/>
    </row>
    <row r="9" spans="1:39" ht="15.75" customHeight="1">
      <c r="A9" s="558"/>
      <c r="O9" s="529" t="s">
        <v>687</v>
      </c>
      <c r="P9" s="1616" t="str">
        <f>B30</f>
        <v>(5 points)  Calculate the 2021 Defined Benefit Cost for the SRP under IAS 19.</v>
      </c>
      <c r="Q9" s="1616"/>
      <c r="R9" s="1616"/>
      <c r="S9" s="1616"/>
      <c r="T9" s="1616"/>
      <c r="U9" s="1616"/>
      <c r="V9" s="1616"/>
      <c r="W9" s="1616"/>
      <c r="X9" s="1616"/>
      <c r="Y9" s="1616"/>
      <c r="Z9" s="1616"/>
      <c r="AB9" s="529" t="s">
        <v>6</v>
      </c>
      <c r="AC9" s="1616" t="str">
        <f>B47</f>
        <v>(5 points)  Calculate the revised 2021 Defined Benefit Cost, including the change to Other Comprehensive Income, for the SRP under IAS 19 reflecting the plan freeze.
Show all work.</v>
      </c>
      <c r="AD9" s="1616"/>
      <c r="AE9" s="1616"/>
      <c r="AF9" s="1616"/>
      <c r="AG9" s="1616"/>
      <c r="AH9" s="1616"/>
      <c r="AI9" s="1616"/>
      <c r="AJ9" s="1616"/>
      <c r="AK9" s="1616"/>
      <c r="AL9" s="1616"/>
      <c r="AM9" s="1616"/>
    </row>
    <row r="10" spans="1:39">
      <c r="A10" s="529" t="s">
        <v>953</v>
      </c>
      <c r="O10" s="529"/>
      <c r="P10" s="540"/>
      <c r="Q10" s="540"/>
      <c r="R10" s="540"/>
      <c r="S10" s="540"/>
      <c r="T10" s="540"/>
      <c r="U10" s="540"/>
      <c r="V10" s="540"/>
      <c r="W10" s="540"/>
      <c r="X10" s="540"/>
      <c r="Y10" s="540"/>
      <c r="Z10" s="540"/>
      <c r="AB10" s="529"/>
      <c r="AC10" s="1616"/>
      <c r="AD10" s="1616"/>
      <c r="AE10" s="1616"/>
      <c r="AF10" s="1616"/>
      <c r="AG10" s="1616"/>
      <c r="AH10" s="1616"/>
      <c r="AI10" s="1616"/>
      <c r="AJ10" s="1616"/>
      <c r="AK10" s="1616"/>
      <c r="AL10" s="1616"/>
      <c r="AM10" s="1616"/>
    </row>
    <row r="11" spans="1:39" ht="15.75" customHeight="1">
      <c r="O11" s="529"/>
      <c r="P11" s="541" t="s">
        <v>683</v>
      </c>
      <c r="Q11" s="540"/>
      <c r="R11" s="540"/>
      <c r="S11" s="540"/>
      <c r="T11" s="540"/>
      <c r="U11" s="540"/>
      <c r="V11" s="540"/>
      <c r="W11" s="540"/>
      <c r="X11" s="540"/>
      <c r="Y11" s="540"/>
      <c r="Z11" s="540"/>
      <c r="AB11" s="529"/>
      <c r="AC11" s="1616"/>
      <c r="AD11" s="1616"/>
      <c r="AE11" s="1616"/>
      <c r="AF11" s="1616"/>
      <c r="AG11" s="1616"/>
      <c r="AH11" s="1616"/>
      <c r="AI11" s="1616"/>
      <c r="AJ11" s="1616"/>
      <c r="AK11" s="1616"/>
      <c r="AL11" s="1616"/>
      <c r="AM11" s="1616"/>
    </row>
    <row r="12" spans="1:39">
      <c r="B12" s="753" t="s">
        <v>952</v>
      </c>
      <c r="C12" s="1635">
        <v>25934</v>
      </c>
      <c r="D12" s="1635"/>
      <c r="E12" s="556"/>
      <c r="F12" s="556"/>
      <c r="G12" s="556"/>
      <c r="H12" s="556"/>
      <c r="I12" s="556"/>
      <c r="J12" s="556"/>
      <c r="K12" s="556"/>
      <c r="L12" s="556"/>
      <c r="O12" s="529"/>
      <c r="P12" s="541"/>
      <c r="Q12" s="540"/>
      <c r="R12" s="540"/>
      <c r="S12" s="540"/>
      <c r="T12" s="540"/>
      <c r="U12" s="540"/>
      <c r="V12" s="540"/>
      <c r="W12" s="540"/>
      <c r="X12" s="540"/>
      <c r="Y12" s="540"/>
      <c r="Z12" s="540"/>
      <c r="AB12" s="529"/>
      <c r="AC12" s="1616"/>
      <c r="AD12" s="1616"/>
      <c r="AE12" s="1616"/>
      <c r="AF12" s="1616"/>
      <c r="AG12" s="1616"/>
      <c r="AH12" s="1616"/>
      <c r="AI12" s="1616"/>
      <c r="AJ12" s="1616"/>
      <c r="AK12" s="1616"/>
      <c r="AL12" s="1616"/>
      <c r="AM12" s="1616"/>
    </row>
    <row r="13" spans="1:39">
      <c r="B13" s="753" t="s">
        <v>951</v>
      </c>
      <c r="C13" s="1635">
        <v>40544</v>
      </c>
      <c r="D13" s="1635"/>
      <c r="E13" s="556"/>
      <c r="F13" s="556"/>
      <c r="G13" s="556"/>
      <c r="H13" s="556"/>
      <c r="I13" s="556"/>
      <c r="J13" s="556"/>
      <c r="K13" s="556"/>
      <c r="L13" s="556"/>
    </row>
    <row r="14" spans="1:39">
      <c r="B14" s="763" t="s">
        <v>950</v>
      </c>
      <c r="C14" s="762">
        <v>2016</v>
      </c>
      <c r="D14" s="761">
        <v>800000</v>
      </c>
      <c r="E14" s="556"/>
      <c r="F14" s="556"/>
      <c r="G14" s="556"/>
      <c r="H14" s="556"/>
      <c r="I14" s="556"/>
      <c r="J14" s="556"/>
      <c r="K14" s="556"/>
      <c r="L14" s="556"/>
      <c r="AH14" s="741"/>
      <c r="AI14" s="741"/>
    </row>
    <row r="15" spans="1:39">
      <c r="B15" s="760"/>
      <c r="C15" s="759">
        <v>2017</v>
      </c>
      <c r="D15" s="758">
        <v>850000</v>
      </c>
      <c r="E15" s="556"/>
      <c r="F15" s="556"/>
      <c r="G15" s="556"/>
      <c r="H15" s="556"/>
      <c r="I15" s="556"/>
      <c r="J15" s="556"/>
      <c r="K15" s="556"/>
      <c r="L15" s="556"/>
    </row>
    <row r="16" spans="1:39">
      <c r="B16" s="760"/>
      <c r="C16" s="759">
        <v>2018</v>
      </c>
      <c r="D16" s="758">
        <v>900000</v>
      </c>
      <c r="E16" s="556"/>
      <c r="F16" s="556"/>
      <c r="G16" s="556"/>
      <c r="H16" s="556"/>
      <c r="I16" s="556"/>
      <c r="J16" s="556"/>
      <c r="K16" s="556"/>
      <c r="L16" s="556"/>
    </row>
    <row r="17" spans="1:18">
      <c r="B17" s="760"/>
      <c r="C17" s="759">
        <v>2019</v>
      </c>
      <c r="D17" s="758">
        <v>950000</v>
      </c>
      <c r="E17" s="556"/>
      <c r="F17" s="556"/>
      <c r="G17" s="556"/>
      <c r="H17" s="556"/>
      <c r="I17" s="556"/>
      <c r="J17" s="556"/>
      <c r="K17" s="556"/>
      <c r="L17" s="556"/>
    </row>
    <row r="18" spans="1:18">
      <c r="B18" s="757"/>
      <c r="C18" s="756">
        <v>2020</v>
      </c>
      <c r="D18" s="755">
        <v>1000000</v>
      </c>
      <c r="E18" s="556"/>
      <c r="F18" s="556"/>
      <c r="G18" s="556"/>
      <c r="H18" s="556"/>
      <c r="I18" s="556"/>
      <c r="J18" s="556"/>
      <c r="K18" s="556"/>
      <c r="L18" s="556"/>
    </row>
    <row r="20" spans="1:18">
      <c r="A20" s="1627" t="s">
        <v>949</v>
      </c>
      <c r="B20" s="1627"/>
      <c r="C20" s="1627"/>
      <c r="D20" s="1627"/>
      <c r="E20" s="1627"/>
      <c r="F20" s="1627"/>
      <c r="G20" s="1627"/>
      <c r="H20" s="1627"/>
      <c r="I20" s="1627"/>
      <c r="J20" s="1627"/>
      <c r="K20" s="1627"/>
      <c r="L20" s="1627"/>
      <c r="M20" s="1627"/>
    </row>
    <row r="21" spans="1:18">
      <c r="A21" s="1627"/>
      <c r="B21" s="1627"/>
      <c r="C21" s="1627"/>
      <c r="D21" s="1627"/>
      <c r="E21" s="1627"/>
      <c r="F21" s="1627"/>
      <c r="G21" s="1627"/>
      <c r="H21" s="1627"/>
      <c r="I21" s="1627"/>
      <c r="J21" s="1627"/>
      <c r="K21" s="1627"/>
      <c r="L21" s="1627"/>
      <c r="M21" s="1627"/>
      <c r="R21" s="747"/>
    </row>
    <row r="22" spans="1:18">
      <c r="A22" s="752"/>
      <c r="B22" s="752"/>
      <c r="C22" s="752"/>
      <c r="D22" s="752"/>
      <c r="E22" s="752"/>
      <c r="F22" s="752"/>
      <c r="G22" s="752"/>
      <c r="H22" s="752"/>
      <c r="I22" s="752"/>
      <c r="J22" s="752"/>
      <c r="K22" s="752"/>
      <c r="L22" s="752"/>
      <c r="M22" s="752"/>
      <c r="R22" s="747"/>
    </row>
    <row r="23" spans="1:18">
      <c r="B23" s="753" t="s">
        <v>389</v>
      </c>
      <c r="C23" s="1636">
        <v>62</v>
      </c>
      <c r="D23" s="1636"/>
      <c r="G23" s="543"/>
      <c r="H23" s="543"/>
      <c r="I23" s="543"/>
      <c r="J23" s="543"/>
      <c r="K23" s="543"/>
      <c r="L23" s="543"/>
      <c r="R23" s="747"/>
    </row>
    <row r="24" spans="1:18">
      <c r="B24" s="753" t="s">
        <v>340</v>
      </c>
      <c r="C24" s="1636" t="s">
        <v>59</v>
      </c>
      <c r="D24" s="1636"/>
      <c r="G24" s="543"/>
      <c r="H24" s="543"/>
      <c r="I24" s="543"/>
      <c r="J24" s="543"/>
      <c r="K24" s="543"/>
      <c r="L24" s="543"/>
      <c r="R24" s="747"/>
    </row>
    <row r="25" spans="1:18">
      <c r="B25" s="753" t="s">
        <v>948</v>
      </c>
      <c r="C25" s="1626">
        <v>0.03</v>
      </c>
      <c r="D25" s="1626"/>
      <c r="G25" s="543"/>
      <c r="H25" s="543"/>
      <c r="I25" s="543"/>
      <c r="J25" s="543"/>
      <c r="K25" s="543"/>
      <c r="L25" s="543"/>
      <c r="R25" s="747"/>
    </row>
    <row r="26" spans="1:18">
      <c r="B26" s="753" t="s">
        <v>771</v>
      </c>
      <c r="C26" s="1626">
        <v>3.7499999999999999E-2</v>
      </c>
      <c r="D26" s="1626"/>
      <c r="R26" s="747"/>
    </row>
    <row r="27" spans="1:18">
      <c r="B27" s="753" t="s">
        <v>947</v>
      </c>
      <c r="C27" s="1631">
        <v>15.2</v>
      </c>
      <c r="D27" s="1631"/>
      <c r="R27" s="747"/>
    </row>
    <row r="28" spans="1:18">
      <c r="B28" s="754"/>
      <c r="C28" s="754"/>
      <c r="D28" s="754"/>
      <c r="R28" s="747"/>
    </row>
    <row r="29" spans="1:18">
      <c r="B29" s="754"/>
      <c r="C29" s="754"/>
      <c r="D29" s="754"/>
      <c r="R29" s="747"/>
    </row>
    <row r="30" spans="1:18">
      <c r="A30" s="529" t="s">
        <v>687</v>
      </c>
      <c r="B30" s="1616" t="s">
        <v>946</v>
      </c>
      <c r="C30" s="1616"/>
      <c r="D30" s="1616"/>
      <c r="E30" s="1616"/>
      <c r="F30" s="1616"/>
      <c r="G30" s="1616"/>
      <c r="H30" s="1616"/>
      <c r="I30" s="1616"/>
      <c r="J30" s="1616"/>
      <c r="K30" s="1616"/>
      <c r="L30" s="1616"/>
      <c r="R30" s="747"/>
    </row>
    <row r="31" spans="1:18">
      <c r="B31" s="540"/>
      <c r="C31" s="540"/>
      <c r="D31" s="540"/>
      <c r="E31" s="540"/>
      <c r="F31" s="540"/>
      <c r="G31" s="540"/>
      <c r="H31" s="540"/>
      <c r="I31" s="540"/>
      <c r="J31" s="540"/>
      <c r="K31" s="540"/>
      <c r="L31" s="540"/>
      <c r="R31" s="747"/>
    </row>
    <row r="32" spans="1:18">
      <c r="B32" s="541" t="s">
        <v>683</v>
      </c>
      <c r="C32" s="540"/>
      <c r="D32" s="540"/>
      <c r="E32" s="540"/>
      <c r="F32" s="540"/>
      <c r="G32" s="540"/>
      <c r="H32" s="540"/>
      <c r="I32" s="540"/>
      <c r="J32" s="540"/>
      <c r="K32" s="540"/>
      <c r="L32" s="540"/>
      <c r="R32" s="747"/>
    </row>
    <row r="33" spans="1:18" ht="16.2">
      <c r="B33" s="751" t="s">
        <v>32</v>
      </c>
      <c r="C33" s="540"/>
      <c r="D33" s="540"/>
      <c r="E33" s="540"/>
      <c r="F33" s="540"/>
      <c r="G33" s="540"/>
      <c r="H33" s="540"/>
      <c r="I33" s="540"/>
      <c r="J33" s="540"/>
      <c r="K33" s="540"/>
      <c r="L33" s="540"/>
      <c r="R33" s="747"/>
    </row>
    <row r="34" spans="1:18" ht="16.2">
      <c r="B34" s="751"/>
      <c r="C34" s="540"/>
      <c r="D34" s="540"/>
      <c r="E34" s="540"/>
      <c r="F34" s="540"/>
      <c r="G34" s="540"/>
      <c r="H34" s="540"/>
      <c r="I34" s="540"/>
      <c r="J34" s="540"/>
      <c r="K34" s="540"/>
      <c r="L34" s="540"/>
      <c r="R34" s="747"/>
    </row>
    <row r="35" spans="1:18">
      <c r="A35" s="1616" t="s">
        <v>945</v>
      </c>
      <c r="B35" s="1616"/>
      <c r="C35" s="1616"/>
      <c r="D35" s="1616"/>
      <c r="E35" s="1616"/>
      <c r="F35" s="1616"/>
      <c r="G35" s="1616"/>
      <c r="H35" s="1616"/>
      <c r="I35" s="1616"/>
      <c r="J35" s="1616"/>
      <c r="K35" s="1616"/>
      <c r="L35" s="1616"/>
      <c r="M35" s="1616"/>
    </row>
    <row r="36" spans="1:18">
      <c r="A36" s="1616"/>
      <c r="B36" s="1616"/>
      <c r="C36" s="1616"/>
      <c r="D36" s="1616"/>
      <c r="E36" s="1616"/>
      <c r="F36" s="1616"/>
      <c r="G36" s="1616"/>
      <c r="H36" s="1616"/>
      <c r="I36" s="1616"/>
      <c r="J36" s="1616"/>
      <c r="K36" s="1616"/>
      <c r="L36" s="1616"/>
      <c r="M36" s="1616"/>
    </row>
    <row r="37" spans="1:18" ht="16.2">
      <c r="B37" s="751"/>
      <c r="C37" s="540"/>
      <c r="D37" s="540"/>
      <c r="E37" s="540"/>
      <c r="F37" s="540"/>
      <c r="G37" s="540"/>
      <c r="H37" s="540"/>
      <c r="I37" s="540"/>
      <c r="J37" s="540"/>
      <c r="K37" s="540"/>
      <c r="L37" s="540"/>
    </row>
    <row r="38" spans="1:18">
      <c r="A38" s="529" t="s">
        <v>944</v>
      </c>
      <c r="C38" s="754"/>
      <c r="D38" s="754"/>
    </row>
    <row r="39" spans="1:18">
      <c r="C39" s="754"/>
      <c r="D39" s="754"/>
    </row>
    <row r="40" spans="1:18">
      <c r="B40" s="753" t="s">
        <v>771</v>
      </c>
      <c r="C40" s="1626">
        <v>3.2500000000000001E-2</v>
      </c>
      <c r="D40" s="1626"/>
    </row>
    <row r="41" spans="1:18">
      <c r="B41" s="753" t="s">
        <v>943</v>
      </c>
      <c r="C41" s="1628">
        <v>16.100000000000001</v>
      </c>
      <c r="D41" s="1628"/>
    </row>
    <row r="42" spans="1:18">
      <c r="B42" s="753" t="s">
        <v>942</v>
      </c>
      <c r="C42" s="1629">
        <v>257500</v>
      </c>
      <c r="D42" s="1630"/>
    </row>
    <row r="44" spans="1:18" ht="15.75" customHeight="1">
      <c r="A44" s="1627" t="s">
        <v>941</v>
      </c>
      <c r="B44" s="1627"/>
      <c r="C44" s="1627"/>
      <c r="D44" s="1627"/>
      <c r="E44" s="1627"/>
      <c r="F44" s="1627"/>
      <c r="G44" s="1627"/>
      <c r="H44" s="1627"/>
      <c r="I44" s="1627"/>
      <c r="J44" s="1627"/>
      <c r="K44" s="1627"/>
      <c r="L44" s="1627"/>
      <c r="M44" s="1627"/>
    </row>
    <row r="45" spans="1:18">
      <c r="A45" s="1627"/>
      <c r="B45" s="1627"/>
      <c r="C45" s="1627"/>
      <c r="D45" s="1627"/>
      <c r="E45" s="1627"/>
      <c r="F45" s="1627"/>
      <c r="G45" s="1627"/>
      <c r="H45" s="1627"/>
      <c r="I45" s="1627"/>
      <c r="J45" s="1627"/>
      <c r="K45" s="1627"/>
      <c r="L45" s="1627"/>
      <c r="M45" s="1627"/>
    </row>
    <row r="46" spans="1:18">
      <c r="A46" s="752"/>
      <c r="B46" s="752"/>
      <c r="C46" s="752"/>
      <c r="D46" s="752"/>
      <c r="E46" s="752"/>
      <c r="F46" s="752"/>
      <c r="G46" s="752"/>
      <c r="H46" s="752"/>
      <c r="I46" s="752"/>
      <c r="J46" s="752"/>
      <c r="K46" s="752"/>
      <c r="L46" s="752"/>
      <c r="M46" s="752"/>
    </row>
    <row r="47" spans="1:18">
      <c r="A47" s="529" t="s">
        <v>6</v>
      </c>
      <c r="B47" s="1627" t="s">
        <v>940</v>
      </c>
      <c r="C47" s="1627"/>
      <c r="D47" s="1627"/>
      <c r="E47" s="1627"/>
      <c r="F47" s="1627"/>
      <c r="G47" s="1627"/>
      <c r="H47" s="1627"/>
      <c r="I47" s="1627"/>
      <c r="J47" s="1627"/>
      <c r="K47" s="1627"/>
      <c r="L47" s="1627"/>
      <c r="M47" s="1627"/>
      <c r="Q47" s="532"/>
    </row>
    <row r="48" spans="1:18">
      <c r="B48" s="1627"/>
      <c r="C48" s="1627"/>
      <c r="D48" s="1627"/>
      <c r="E48" s="1627"/>
      <c r="F48" s="1627"/>
      <c r="G48" s="1627"/>
      <c r="H48" s="1627"/>
      <c r="I48" s="1627"/>
      <c r="J48" s="1627"/>
      <c r="K48" s="1627"/>
      <c r="L48" s="1627"/>
      <c r="M48" s="1627"/>
    </row>
    <row r="49" spans="2:17">
      <c r="B49" s="1627"/>
      <c r="C49" s="1627"/>
      <c r="D49" s="1627"/>
      <c r="E49" s="1627"/>
      <c r="F49" s="1627"/>
      <c r="G49" s="1627"/>
      <c r="H49" s="1627"/>
      <c r="I49" s="1627"/>
      <c r="J49" s="1627"/>
      <c r="K49" s="1627"/>
      <c r="L49" s="1627"/>
      <c r="M49" s="1627"/>
      <c r="Q49" s="532"/>
    </row>
    <row r="50" spans="2:17">
      <c r="B50" s="1627"/>
      <c r="C50" s="1627"/>
      <c r="D50" s="1627"/>
      <c r="E50" s="1627"/>
      <c r="F50" s="1627"/>
      <c r="G50" s="1627"/>
      <c r="H50" s="1627"/>
      <c r="I50" s="1627"/>
      <c r="J50" s="1627"/>
      <c r="K50" s="1627"/>
      <c r="L50" s="1627"/>
      <c r="M50" s="1627"/>
      <c r="Q50" s="532"/>
    </row>
    <row r="51" spans="2:17" ht="16.2">
      <c r="B51" s="751" t="s">
        <v>32</v>
      </c>
    </row>
    <row r="53" spans="2:17">
      <c r="Q53" s="747"/>
    </row>
    <row r="54" spans="2:17">
      <c r="Q54" s="532"/>
    </row>
    <row r="57" spans="2:17">
      <c r="Q57" s="747"/>
    </row>
    <row r="60" spans="2:17">
      <c r="Q60" s="532"/>
    </row>
    <row r="62" spans="2:17">
      <c r="Q62" s="532"/>
    </row>
    <row r="63" spans="2:17">
      <c r="Q63" s="532"/>
    </row>
    <row r="66" spans="17:17">
      <c r="Q66" s="532"/>
    </row>
    <row r="67" spans="17:17">
      <c r="Q67" s="532"/>
    </row>
    <row r="72" spans="17:17">
      <c r="Q72" s="532"/>
    </row>
    <row r="73" spans="17:17">
      <c r="Q73" s="532"/>
    </row>
    <row r="74" spans="17:17">
      <c r="Q74" s="532"/>
    </row>
    <row r="75" spans="17:17">
      <c r="Q75" s="532"/>
    </row>
    <row r="76" spans="17:17">
      <c r="Q76" s="532"/>
    </row>
    <row r="77" spans="17:17">
      <c r="Q77" s="532"/>
    </row>
    <row r="88" spans="16:16">
      <c r="P88" s="532"/>
    </row>
    <row r="91" spans="16:16" ht="15.75" customHeight="1"/>
    <row r="92" spans="16:16">
      <c r="P92" s="532"/>
    </row>
    <row r="99" spans="16:16">
      <c r="P99" s="532"/>
    </row>
    <row r="102" spans="16:16">
      <c r="P102" s="532"/>
    </row>
    <row r="103" spans="16:16">
      <c r="P103" s="532"/>
    </row>
    <row r="104" spans="16:16">
      <c r="P104" s="532"/>
    </row>
    <row r="105" spans="16:16">
      <c r="P105" s="532"/>
    </row>
    <row r="106" spans="16:16">
      <c r="P106" s="532"/>
    </row>
    <row r="107" spans="16:16">
      <c r="P107" s="532"/>
    </row>
    <row r="108" spans="16:16">
      <c r="P108" s="532"/>
    </row>
    <row r="109" spans="16:16">
      <c r="P109" s="532"/>
    </row>
    <row r="110" spans="16:16">
      <c r="P110" s="532"/>
    </row>
    <row r="111" spans="16:16">
      <c r="P111" s="532"/>
    </row>
    <row r="112" spans="16:16">
      <c r="P112" s="532"/>
    </row>
    <row r="113" spans="16:18">
      <c r="P113" s="532"/>
    </row>
    <row r="114" spans="16:18">
      <c r="P114" s="532"/>
    </row>
    <row r="115" spans="16:18">
      <c r="P115" s="532"/>
    </row>
    <row r="116" spans="16:18">
      <c r="P116" s="532"/>
    </row>
    <row r="124" spans="16:18">
      <c r="R124" s="532"/>
    </row>
    <row r="126" spans="16:18">
      <c r="R126" s="532"/>
    </row>
    <row r="127" spans="16:18">
      <c r="R127" s="532"/>
    </row>
    <row r="130" spans="17:20">
      <c r="R130" s="747"/>
    </row>
    <row r="131" spans="17:20">
      <c r="R131" s="532"/>
    </row>
    <row r="134" spans="17:20">
      <c r="R134" s="747"/>
    </row>
    <row r="135" spans="17:20">
      <c r="Q135" s="532"/>
    </row>
    <row r="136" spans="17:20">
      <c r="Q136" s="532"/>
    </row>
    <row r="138" spans="17:20">
      <c r="Q138" s="750"/>
      <c r="R138" s="749"/>
      <c r="T138" s="749"/>
    </row>
    <row r="139" spans="17:20">
      <c r="S139" s="747"/>
    </row>
    <row r="140" spans="17:20">
      <c r="S140" s="747"/>
    </row>
    <row r="141" spans="17:20">
      <c r="S141" s="747"/>
    </row>
    <row r="142" spans="17:20">
      <c r="Q142" s="535"/>
      <c r="R142" s="535"/>
      <c r="S142" s="535"/>
      <c r="T142" s="535"/>
    </row>
    <row r="147" spans="16:20">
      <c r="P147" s="748"/>
    </row>
    <row r="156" spans="16:20">
      <c r="P156" s="747"/>
      <c r="R156" s="746"/>
      <c r="S156" s="746"/>
      <c r="T156" s="745"/>
    </row>
    <row r="157" spans="16:20">
      <c r="S157" s="744"/>
    </row>
    <row r="158" spans="16:20">
      <c r="S158" s="744"/>
    </row>
    <row r="159" spans="16:20">
      <c r="R159" s="743"/>
      <c r="S159" s="742"/>
    </row>
    <row r="164" spans="15:15">
      <c r="O164" s="741"/>
    </row>
  </sheetData>
  <sheetProtection algorithmName="SHA-512" hashValue="Z/kn4PxqRn8Z9LzOD04xvenBYODDD98eiRwj/FJwCdC4pKeRAP1o/OkmKGddkdDvjlbPDqCnsgRe0lYJhJzj2A==" saltValue="25y8AAHEOXFACBSSq/173A==" spinCount="100000" sheet="1" objects="1" scenarios="1" formatCells="0" formatColumns="0" formatRows="0" insertColumns="0" insertRows="0"/>
  <mergeCells count="19">
    <mergeCell ref="C13:D13"/>
    <mergeCell ref="A20:M21"/>
    <mergeCell ref="C23:D23"/>
    <mergeCell ref="C24:D24"/>
    <mergeCell ref="A5:M5"/>
    <mergeCell ref="A7:M8"/>
    <mergeCell ref="P9:Z9"/>
    <mergeCell ref="AC9:AM12"/>
    <mergeCell ref="C12:D12"/>
    <mergeCell ref="C25:D25"/>
    <mergeCell ref="C26:D26"/>
    <mergeCell ref="B47:M50"/>
    <mergeCell ref="B30:L30"/>
    <mergeCell ref="A35:M36"/>
    <mergeCell ref="C40:D40"/>
    <mergeCell ref="C41:D41"/>
    <mergeCell ref="C42:D42"/>
    <mergeCell ref="A44:M45"/>
    <mergeCell ref="C27:D27"/>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576E0-069F-498F-8023-6770CE45E4EA}">
  <dimension ref="A1:AF88"/>
  <sheetViews>
    <sheetView zoomScale="90" zoomScaleNormal="90" workbookViewId="0">
      <selection sqref="A1:XFD1048576"/>
    </sheetView>
  </sheetViews>
  <sheetFormatPr defaultRowHeight="15.6"/>
  <cols>
    <col min="1" max="1" width="3.6640625" style="2" customWidth="1"/>
    <col min="2" max="2" width="36.44140625" style="2" customWidth="1"/>
    <col min="3" max="4" width="14.109375" style="2" customWidth="1"/>
    <col min="5" max="5" width="10.44140625" style="2" customWidth="1"/>
    <col min="6" max="6" width="10" style="2" hidden="1" customWidth="1"/>
    <col min="7" max="7" width="6.88671875" style="2" hidden="1" customWidth="1"/>
    <col min="8" max="8" width="10" style="2" hidden="1" customWidth="1"/>
    <col min="9" max="9" width="6.88671875" style="2" hidden="1" customWidth="1"/>
    <col min="10" max="10" width="10" style="2" hidden="1" customWidth="1"/>
    <col min="11" max="11" width="6.88671875" style="2" hidden="1" customWidth="1"/>
    <col min="12" max="12" width="1.6640625" style="2" customWidth="1"/>
    <col min="13" max="13" width="13.88671875" style="2" customWidth="1"/>
    <col min="14" max="14" width="1" style="3" customWidth="1"/>
    <col min="15" max="15" width="4.5546875" customWidth="1"/>
    <col min="16" max="16" width="48.109375" customWidth="1"/>
    <col min="17" max="17" width="17.33203125" customWidth="1"/>
    <col min="18" max="18" width="13.44140625" customWidth="1"/>
    <col min="19" max="19" width="12.5546875" bestFit="1" customWidth="1"/>
    <col min="20" max="22" width="14.6640625" customWidth="1"/>
    <col min="23" max="23" width="1" style="3" customWidth="1"/>
    <col min="24" max="24" width="5" customWidth="1"/>
    <col min="25" max="25" width="36.88671875" style="120" customWidth="1"/>
    <col min="26" max="26" width="16" style="120" customWidth="1"/>
    <col min="27" max="27" width="17.6640625" customWidth="1"/>
    <col min="28" max="28" width="15.88671875" customWidth="1"/>
    <col min="29" max="31" width="14.44140625" customWidth="1"/>
    <col min="32" max="32" width="1" style="3" customWidth="1"/>
  </cols>
  <sheetData>
    <row r="1" spans="1:31">
      <c r="A1" s="1" t="s">
        <v>956</v>
      </c>
      <c r="O1" s="1" t="s">
        <v>956</v>
      </c>
      <c r="P1" s="2"/>
      <c r="Q1" s="2"/>
      <c r="R1" s="2"/>
      <c r="S1" s="2"/>
      <c r="T1" s="2"/>
      <c r="U1" s="2"/>
      <c r="V1" s="2"/>
      <c r="X1" s="1" t="str">
        <f>O1</f>
        <v>Exam RETDAC:  Spring</v>
      </c>
      <c r="Y1" s="2"/>
      <c r="Z1" s="2"/>
      <c r="AA1" s="2"/>
      <c r="AB1" s="2"/>
      <c r="AC1" s="2"/>
      <c r="AD1" s="2"/>
      <c r="AE1" s="2"/>
    </row>
    <row r="2" spans="1:31">
      <c r="A2" s="1" t="s">
        <v>732</v>
      </c>
      <c r="O2" s="1" t="s">
        <v>732</v>
      </c>
      <c r="P2" s="2"/>
      <c r="Q2" s="2"/>
      <c r="R2" s="2"/>
      <c r="S2" s="2"/>
      <c r="T2" s="2"/>
      <c r="U2" s="2"/>
      <c r="V2" s="2"/>
      <c r="X2" s="1" t="str">
        <f>O2</f>
        <v>Design and Accounting Exam – Canada</v>
      </c>
      <c r="Y2" s="2"/>
      <c r="Z2" s="2"/>
      <c r="AA2" s="2"/>
      <c r="AB2" s="2"/>
      <c r="AC2" s="2"/>
      <c r="AD2" s="2"/>
      <c r="AE2" s="2"/>
    </row>
    <row r="3" spans="1:31">
      <c r="A3" s="1" t="s">
        <v>464</v>
      </c>
      <c r="O3" s="1" t="s">
        <v>464</v>
      </c>
      <c r="P3" s="2"/>
      <c r="Q3" s="2"/>
      <c r="R3" s="2"/>
      <c r="S3" s="2"/>
      <c r="T3" s="2"/>
      <c r="U3" s="2"/>
      <c r="V3" s="2"/>
      <c r="X3" s="1" t="str">
        <f>O3</f>
        <v>Question 5</v>
      </c>
      <c r="Y3" s="2"/>
      <c r="Z3" s="2"/>
      <c r="AA3" s="2"/>
      <c r="AB3" s="2"/>
      <c r="AC3" s="2"/>
      <c r="AD3" s="2"/>
      <c r="AE3" s="2"/>
    </row>
    <row r="4" spans="1:31">
      <c r="O4" s="2"/>
      <c r="P4" s="2"/>
      <c r="Q4" s="2"/>
      <c r="R4" s="2"/>
      <c r="S4" s="2"/>
      <c r="T4" s="2"/>
      <c r="U4" s="2"/>
      <c r="V4" s="2"/>
      <c r="X4" s="2"/>
      <c r="Y4" s="2"/>
      <c r="Z4" s="2"/>
      <c r="AA4" s="2"/>
      <c r="AB4" s="2"/>
      <c r="AC4" s="2"/>
      <c r="AD4" s="2"/>
      <c r="AE4" s="2"/>
    </row>
    <row r="5" spans="1:31" ht="16.2">
      <c r="A5" s="1639" t="s">
        <v>954</v>
      </c>
      <c r="B5" s="1639"/>
      <c r="C5" s="1639"/>
      <c r="D5" s="1639"/>
      <c r="E5" s="1639"/>
      <c r="F5" s="1639"/>
      <c r="G5" s="1639"/>
      <c r="H5" s="1639"/>
      <c r="I5" s="1639"/>
      <c r="J5" s="1639"/>
      <c r="K5" s="1639"/>
      <c r="L5" s="1639"/>
      <c r="M5" s="1639"/>
      <c r="O5" s="6" t="s">
        <v>4</v>
      </c>
      <c r="P5" s="2"/>
      <c r="Q5" s="2"/>
      <c r="R5" s="2"/>
      <c r="S5" s="2"/>
      <c r="T5" s="2"/>
      <c r="U5" s="2"/>
      <c r="V5" s="2"/>
      <c r="X5" s="6" t="s">
        <v>4</v>
      </c>
      <c r="Y5" s="2"/>
      <c r="Z5" s="2"/>
      <c r="AA5" s="2"/>
      <c r="AB5" s="2"/>
      <c r="AC5" s="2"/>
      <c r="AD5" s="2"/>
      <c r="AE5" s="2"/>
    </row>
    <row r="6" spans="1:31">
      <c r="A6" s="1639"/>
      <c r="B6" s="1639"/>
      <c r="C6" s="1639"/>
      <c r="D6" s="1639"/>
      <c r="E6" s="1639"/>
      <c r="F6" s="1639"/>
      <c r="G6" s="1639"/>
      <c r="H6" s="1639"/>
      <c r="I6" s="1639"/>
      <c r="J6" s="1639"/>
      <c r="K6" s="1639"/>
      <c r="L6" s="1639"/>
      <c r="M6" s="1639"/>
      <c r="O6" s="2"/>
      <c r="P6" s="2"/>
      <c r="Q6" s="2"/>
      <c r="R6" s="2"/>
      <c r="S6" s="2"/>
      <c r="T6" s="2"/>
      <c r="U6" s="2"/>
      <c r="V6" s="2"/>
      <c r="X6" s="2"/>
      <c r="Y6" s="2"/>
      <c r="Z6" s="2"/>
      <c r="AA6" s="2"/>
      <c r="AB6" s="2"/>
      <c r="AC6" s="2"/>
      <c r="AD6" s="2"/>
      <c r="AE6" s="2"/>
    </row>
    <row r="7" spans="1:31" ht="15.75" customHeight="1">
      <c r="A7" s="6"/>
      <c r="O7" s="2" t="s">
        <v>687</v>
      </c>
      <c r="P7" s="1462" t="str">
        <f>B28</f>
        <v>(5 points)  Calculate the 2021 Defined Benefit Cost for the SRP under IAS 19.</v>
      </c>
      <c r="Q7" s="1462"/>
      <c r="R7" s="1462"/>
      <c r="S7" s="1462"/>
      <c r="T7" s="1462"/>
      <c r="U7" s="1462"/>
      <c r="V7" s="1462"/>
      <c r="X7" s="2" t="s">
        <v>6</v>
      </c>
      <c r="Y7" s="1462" t="str">
        <f>B45</f>
        <v>(5 points)  Calculate the revised 2021 Defined Benefit Cost, including the change to Other Comprehensive Income, for the SRP under IAS 19 reflecting the plan freeze.
Show all work.</v>
      </c>
      <c r="Z7" s="1462"/>
      <c r="AA7" s="1462"/>
      <c r="AB7" s="1462"/>
      <c r="AC7" s="1462"/>
      <c r="AD7" s="1462"/>
      <c r="AE7" s="1462"/>
    </row>
    <row r="8" spans="1:31">
      <c r="A8" s="2" t="s">
        <v>953</v>
      </c>
      <c r="O8" s="2"/>
      <c r="P8" s="5"/>
      <c r="Q8" s="5"/>
      <c r="R8" s="5"/>
      <c r="S8" s="5"/>
      <c r="T8" s="5"/>
      <c r="U8" s="5"/>
      <c r="V8" s="5"/>
      <c r="X8" s="2"/>
      <c r="Y8" s="1462"/>
      <c r="Z8" s="1462"/>
      <c r="AA8" s="1462"/>
      <c r="AB8" s="1462"/>
      <c r="AC8" s="1462"/>
      <c r="AD8" s="1462"/>
      <c r="AE8" s="1462"/>
    </row>
    <row r="9" spans="1:31" ht="15.75" customHeight="1">
      <c r="O9" s="2"/>
      <c r="P9" s="28" t="s">
        <v>683</v>
      </c>
      <c r="Q9" s="5"/>
      <c r="R9" s="5"/>
      <c r="S9" s="5"/>
      <c r="T9" s="5"/>
      <c r="U9" s="5"/>
      <c r="V9" s="5"/>
      <c r="X9" s="2"/>
      <c r="Y9" s="1462"/>
      <c r="Z9" s="1462"/>
      <c r="AA9" s="1462"/>
      <c r="AB9" s="1462"/>
      <c r="AC9" s="1462"/>
      <c r="AD9" s="1462"/>
      <c r="AE9" s="1462"/>
    </row>
    <row r="10" spans="1:31">
      <c r="B10" s="680" t="s">
        <v>952</v>
      </c>
      <c r="C10" s="1640">
        <v>25934</v>
      </c>
      <c r="D10" s="1640"/>
      <c r="E10" s="593"/>
      <c r="F10" s="593"/>
      <c r="G10" s="593"/>
      <c r="H10" s="593"/>
      <c r="I10" s="593"/>
      <c r="J10" s="593"/>
      <c r="K10" s="593"/>
      <c r="L10" s="593"/>
      <c r="O10" s="2"/>
      <c r="P10" s="28"/>
      <c r="Q10" s="5"/>
      <c r="R10" s="5"/>
      <c r="S10" s="5"/>
      <c r="T10" s="5"/>
      <c r="U10" s="5"/>
      <c r="V10" s="5"/>
      <c r="X10" s="2"/>
      <c r="Y10" s="1462"/>
      <c r="Z10" s="1462"/>
      <c r="AA10" s="1462"/>
      <c r="AB10" s="1462"/>
      <c r="AC10" s="1462"/>
      <c r="AD10" s="1462"/>
      <c r="AE10" s="1462"/>
    </row>
    <row r="11" spans="1:31">
      <c r="B11" s="680" t="s">
        <v>951</v>
      </c>
      <c r="C11" s="1640">
        <v>40544</v>
      </c>
      <c r="D11" s="1640"/>
      <c r="E11" s="593"/>
      <c r="F11" s="593"/>
      <c r="G11" s="593"/>
      <c r="H11" s="593"/>
      <c r="I11" s="593"/>
      <c r="J11" s="593"/>
      <c r="K11" s="593"/>
      <c r="L11" s="593"/>
      <c r="O11" s="371"/>
      <c r="P11" s="371"/>
      <c r="Q11" s="371"/>
      <c r="R11" s="371"/>
      <c r="S11" s="371"/>
      <c r="T11" s="371"/>
      <c r="U11" s="371"/>
      <c r="V11" s="371"/>
      <c r="X11" s="371"/>
      <c r="Y11" s="398"/>
      <c r="Z11" s="398"/>
      <c r="AA11" s="371"/>
      <c r="AB11" s="371"/>
      <c r="AC11" s="371"/>
      <c r="AD11" s="371"/>
    </row>
    <row r="12" spans="1:31">
      <c r="B12" s="798" t="s">
        <v>950</v>
      </c>
      <c r="C12" s="797">
        <v>2016</v>
      </c>
      <c r="D12" s="796">
        <v>800000</v>
      </c>
      <c r="E12" s="593"/>
      <c r="F12" s="593"/>
      <c r="G12" s="593"/>
      <c r="H12" s="593"/>
      <c r="I12" s="593"/>
      <c r="J12" s="593"/>
      <c r="K12" s="593"/>
      <c r="L12" s="593"/>
      <c r="O12" s="433"/>
      <c r="P12" s="371"/>
      <c r="Q12" s="371"/>
      <c r="R12" s="768"/>
      <c r="S12" s="371"/>
      <c r="T12" s="371"/>
      <c r="U12" s="371"/>
      <c r="V12" s="371"/>
      <c r="X12" s="371"/>
      <c r="Y12" s="371"/>
      <c r="Z12" s="795" t="s">
        <v>1007</v>
      </c>
      <c r="AA12" s="419" t="s">
        <v>1006</v>
      </c>
      <c r="AB12" s="419" t="s">
        <v>440</v>
      </c>
      <c r="AC12" s="371"/>
      <c r="AD12" s="371"/>
    </row>
    <row r="13" spans="1:31">
      <c r="B13" s="793"/>
      <c r="C13" s="792">
        <v>2017</v>
      </c>
      <c r="D13" s="791">
        <v>850000</v>
      </c>
      <c r="E13" s="593"/>
      <c r="F13" s="593"/>
      <c r="G13" s="593"/>
      <c r="H13" s="593"/>
      <c r="I13" s="593"/>
      <c r="J13" s="593"/>
      <c r="K13" s="593"/>
      <c r="L13" s="593"/>
      <c r="O13" s="371"/>
      <c r="P13" s="371" t="s">
        <v>1005</v>
      </c>
      <c r="Q13" s="373">
        <f>Q64*(1+C24)</f>
        <v>242328.98136833834</v>
      </c>
      <c r="R13" s="778"/>
      <c r="S13" s="371"/>
      <c r="T13" s="371"/>
      <c r="U13" s="371"/>
      <c r="V13" s="371"/>
      <c r="X13" s="371"/>
      <c r="Y13" s="371" t="s">
        <v>1005</v>
      </c>
      <c r="Z13" s="373">
        <f>0.25*Q13</f>
        <v>60582.245342084585</v>
      </c>
      <c r="AA13" s="794">
        <v>0</v>
      </c>
      <c r="AB13" s="373">
        <f>AA13+Z13</f>
        <v>60582.245342084585</v>
      </c>
      <c r="AC13" s="371"/>
      <c r="AD13" s="371"/>
    </row>
    <row r="14" spans="1:31">
      <c r="B14" s="793"/>
      <c r="C14" s="792">
        <v>2018</v>
      </c>
      <c r="D14" s="791">
        <v>900000</v>
      </c>
      <c r="E14" s="593"/>
      <c r="F14" s="593"/>
      <c r="G14" s="593"/>
      <c r="H14" s="593"/>
      <c r="I14" s="593"/>
      <c r="J14" s="593"/>
      <c r="K14" s="593"/>
      <c r="L14" s="593"/>
      <c r="O14" s="371"/>
      <c r="P14" s="371" t="s">
        <v>1004</v>
      </c>
      <c r="Q14" s="374">
        <f>(Q51*C24)</f>
        <v>87588.788446387363</v>
      </c>
      <c r="R14" s="778"/>
      <c r="S14" s="371"/>
      <c r="T14" s="371"/>
      <c r="U14" s="371"/>
      <c r="V14" s="371"/>
      <c r="X14" s="371"/>
      <c r="Y14" s="371" t="s">
        <v>1004</v>
      </c>
      <c r="Z14" s="373">
        <f>0.25*Q14</f>
        <v>21897.197111596841</v>
      </c>
      <c r="AA14" s="794">
        <f>-0.75*AC20*C38</f>
        <v>41045.182864901239</v>
      </c>
      <c r="AB14" s="373">
        <f>AA14+Z14</f>
        <v>62942.379976498079</v>
      </c>
      <c r="AC14" s="371"/>
      <c r="AD14" s="371"/>
    </row>
    <row r="15" spans="1:31">
      <c r="B15" s="793"/>
      <c r="C15" s="792">
        <v>2019</v>
      </c>
      <c r="D15" s="791">
        <v>950000</v>
      </c>
      <c r="E15" s="593"/>
      <c r="F15" s="593"/>
      <c r="G15" s="593"/>
      <c r="H15" s="593"/>
      <c r="I15" s="593"/>
      <c r="J15" s="593"/>
      <c r="K15" s="593"/>
      <c r="L15" s="593"/>
      <c r="O15" s="371"/>
      <c r="P15" s="371" t="s">
        <v>1002</v>
      </c>
      <c r="Q15" s="373">
        <f>Q13+Q14</f>
        <v>329917.76981472573</v>
      </c>
      <c r="R15" s="371"/>
      <c r="S15" s="371"/>
      <c r="T15" s="371"/>
      <c r="U15" s="371"/>
      <c r="V15" s="371"/>
      <c r="X15" s="371"/>
      <c r="Y15" s="398" t="s">
        <v>1003</v>
      </c>
      <c r="Z15" s="374">
        <v>0</v>
      </c>
      <c r="AA15" s="790">
        <f>-(AC20-AB20)</f>
        <v>-1026725.8522742316</v>
      </c>
      <c r="AB15" s="374">
        <f>AA15+Z15</f>
        <v>-1026725.8522742316</v>
      </c>
      <c r="AC15" s="371"/>
      <c r="AD15" s="371"/>
    </row>
    <row r="16" spans="1:31">
      <c r="B16" s="789"/>
      <c r="C16" s="788">
        <v>2020</v>
      </c>
      <c r="D16" s="787">
        <v>1000000</v>
      </c>
      <c r="E16" s="593"/>
      <c r="F16" s="593"/>
      <c r="G16" s="593"/>
      <c r="H16" s="593"/>
      <c r="I16" s="593"/>
      <c r="J16" s="593"/>
      <c r="K16" s="593"/>
      <c r="L16" s="593"/>
      <c r="O16" s="371"/>
      <c r="P16" s="371"/>
      <c r="Q16" s="371"/>
      <c r="R16" s="371"/>
      <c r="S16" s="371"/>
      <c r="T16" s="371"/>
      <c r="U16" s="371"/>
      <c r="V16" s="371"/>
      <c r="X16" s="371"/>
      <c r="Y16" s="371" t="s">
        <v>1002</v>
      </c>
      <c r="Z16" s="373">
        <f>SUM(Z13:Z15)</f>
        <v>82479.442453681433</v>
      </c>
      <c r="AA16" s="786">
        <f>SUM(AA13:AA15)</f>
        <v>-985680.66940933035</v>
      </c>
      <c r="AB16" s="785">
        <f>SUM(AB13:AB15)</f>
        <v>-903201.22695564898</v>
      </c>
      <c r="AC16" s="371"/>
      <c r="AD16" s="371"/>
    </row>
    <row r="17" spans="1:30">
      <c r="O17" s="371"/>
      <c r="P17" s="768" t="s">
        <v>1001</v>
      </c>
      <c r="Q17" s="371"/>
      <c r="R17" s="371"/>
      <c r="S17" s="371"/>
      <c r="T17" s="371"/>
      <c r="U17" s="371"/>
      <c r="V17" s="371"/>
      <c r="X17" s="371"/>
      <c r="Y17" s="398"/>
      <c r="Z17" s="398"/>
      <c r="AA17" s="371"/>
      <c r="AB17" s="371"/>
      <c r="AC17" s="371"/>
      <c r="AD17" s="371"/>
    </row>
    <row r="18" spans="1:30">
      <c r="A18" s="1639" t="s">
        <v>949</v>
      </c>
      <c r="B18" s="1639"/>
      <c r="C18" s="1639"/>
      <c r="D18" s="1639"/>
      <c r="E18" s="1639"/>
      <c r="F18" s="1639"/>
      <c r="G18" s="1639"/>
      <c r="H18" s="1639"/>
      <c r="I18" s="1639"/>
      <c r="J18" s="1639"/>
      <c r="K18" s="1639"/>
      <c r="L18" s="1639"/>
      <c r="M18" s="1639"/>
      <c r="O18" s="371"/>
      <c r="P18" s="398" t="s">
        <v>1000</v>
      </c>
      <c r="Q18" s="398">
        <f>+DATEDIF(C10,C11,"M")/12</f>
        <v>40</v>
      </c>
      <c r="R18" s="371"/>
      <c r="S18" s="371"/>
      <c r="T18" s="371"/>
      <c r="U18" s="371"/>
      <c r="V18" s="371"/>
      <c r="X18" s="371"/>
      <c r="Y18" s="398"/>
      <c r="Z18" s="398"/>
      <c r="AA18" s="371" t="s">
        <v>533</v>
      </c>
      <c r="AB18" s="371" t="s">
        <v>999</v>
      </c>
      <c r="AC18" s="371" t="s">
        <v>998</v>
      </c>
      <c r="AD18" s="371"/>
    </row>
    <row r="19" spans="1:30">
      <c r="A19" s="1639"/>
      <c r="B19" s="1639"/>
      <c r="C19" s="1639"/>
      <c r="D19" s="1639"/>
      <c r="E19" s="1639"/>
      <c r="F19" s="1639"/>
      <c r="G19" s="1639"/>
      <c r="H19" s="1639"/>
      <c r="I19" s="1639"/>
      <c r="J19" s="1639"/>
      <c r="K19" s="1639"/>
      <c r="L19" s="1639"/>
      <c r="M19" s="1639"/>
      <c r="O19" s="371"/>
      <c r="P19" s="398" t="s">
        <v>997</v>
      </c>
      <c r="Q19" s="784">
        <v>44197</v>
      </c>
      <c r="R19" s="371"/>
      <c r="S19" s="371"/>
      <c r="T19" s="371"/>
      <c r="U19" s="371"/>
      <c r="V19" s="371"/>
      <c r="X19" s="371"/>
      <c r="Y19" s="398"/>
      <c r="Z19" s="783">
        <v>44197</v>
      </c>
      <c r="AA19" s="782">
        <v>44286</v>
      </c>
      <c r="AB19" s="782">
        <v>44286</v>
      </c>
      <c r="AC19" s="782">
        <v>44287</v>
      </c>
      <c r="AD19" s="371"/>
    </row>
    <row r="20" spans="1:30">
      <c r="A20" s="776"/>
      <c r="B20" s="776"/>
      <c r="C20" s="776"/>
      <c r="D20" s="776"/>
      <c r="E20" s="776"/>
      <c r="F20" s="776"/>
      <c r="G20" s="776"/>
      <c r="H20" s="776"/>
      <c r="I20" s="776"/>
      <c r="J20" s="776"/>
      <c r="K20" s="776"/>
      <c r="L20" s="776"/>
      <c r="M20" s="776"/>
      <c r="O20" s="371"/>
      <c r="P20" s="398" t="s">
        <v>996</v>
      </c>
      <c r="Q20" s="398">
        <f>+DATEDIF(C10,Q19,"M")/12</f>
        <v>50</v>
      </c>
      <c r="R20" s="764"/>
      <c r="S20" s="371"/>
      <c r="T20" s="764"/>
      <c r="U20" s="371"/>
      <c r="V20" s="371"/>
      <c r="X20" s="371"/>
      <c r="Y20" s="398" t="s">
        <v>995</v>
      </c>
      <c r="Z20" s="397">
        <f>-Q51</f>
        <v>-2335701.0252369964</v>
      </c>
      <c r="AA20" s="373">
        <f>Z20-Z16</f>
        <v>-2418180.4676906778</v>
      </c>
      <c r="AB20" s="373">
        <f>-(Z27+Z40/4+(Z27+Z40)*C38/4)</f>
        <v>-2710630.7903214619</v>
      </c>
      <c r="AC20" s="373">
        <f>-Z78</f>
        <v>-1683904.9380472302</v>
      </c>
      <c r="AD20" s="371"/>
    </row>
    <row r="21" spans="1:30">
      <c r="B21" s="680" t="s">
        <v>389</v>
      </c>
      <c r="C21" s="1641">
        <v>62</v>
      </c>
      <c r="D21" s="1641"/>
      <c r="G21" s="581"/>
      <c r="H21" s="581"/>
      <c r="I21" s="581"/>
      <c r="J21" s="581"/>
      <c r="K21" s="581"/>
      <c r="L21" s="581"/>
      <c r="O21" s="371"/>
      <c r="P21" s="398" t="s">
        <v>994</v>
      </c>
      <c r="Q21" s="398">
        <v>62</v>
      </c>
      <c r="R21" s="764"/>
      <c r="S21" s="371"/>
      <c r="T21" s="764"/>
      <c r="U21" s="371"/>
      <c r="V21" s="371"/>
      <c r="X21" s="371"/>
      <c r="Y21" s="398" t="s">
        <v>541</v>
      </c>
      <c r="Z21" s="781">
        <v>0</v>
      </c>
      <c r="AA21" s="395">
        <f>Z21</f>
        <v>0</v>
      </c>
      <c r="AB21" s="395">
        <f>AA21</f>
        <v>0</v>
      </c>
      <c r="AC21" s="395">
        <f>AB21</f>
        <v>0</v>
      </c>
      <c r="AD21" s="371"/>
    </row>
    <row r="22" spans="1:30">
      <c r="B22" s="680" t="s">
        <v>340</v>
      </c>
      <c r="C22" s="1641" t="s">
        <v>59</v>
      </c>
      <c r="D22" s="1641"/>
      <c r="G22" s="581"/>
      <c r="H22" s="581"/>
      <c r="I22" s="581"/>
      <c r="J22" s="581"/>
      <c r="K22" s="581"/>
      <c r="L22" s="581"/>
      <c r="O22" s="371"/>
      <c r="P22" s="398" t="s">
        <v>967</v>
      </c>
      <c r="Q22" s="371">
        <f>Q20-Q18</f>
        <v>10</v>
      </c>
      <c r="R22" s="764"/>
      <c r="S22" s="371"/>
      <c r="T22" s="764"/>
      <c r="U22" s="371"/>
      <c r="V22" s="371"/>
      <c r="X22" s="371"/>
      <c r="Y22" s="398" t="s">
        <v>937</v>
      </c>
      <c r="Z22" s="397">
        <f>SUM(Z20:Z21)</f>
        <v>-2335701.0252369964</v>
      </c>
      <c r="AA22" s="397">
        <f>SUM(AA20:AA21)</f>
        <v>-2418180.4676906778</v>
      </c>
      <c r="AB22" s="397">
        <f>SUM(AB20:AB21)</f>
        <v>-2710630.7903214619</v>
      </c>
      <c r="AC22" s="397">
        <f>SUM(AC20:AC21)</f>
        <v>-1683904.9380472302</v>
      </c>
      <c r="AD22" s="371"/>
    </row>
    <row r="23" spans="1:30">
      <c r="B23" s="680" t="s">
        <v>948</v>
      </c>
      <c r="C23" s="1642">
        <v>0.03</v>
      </c>
      <c r="D23" s="1642"/>
      <c r="G23" s="581"/>
      <c r="H23" s="581"/>
      <c r="I23" s="581"/>
      <c r="J23" s="581"/>
      <c r="K23" s="581"/>
      <c r="L23" s="581"/>
      <c r="O23" s="371"/>
      <c r="P23" s="398" t="s">
        <v>972</v>
      </c>
      <c r="Q23" s="767">
        <f>AVERAGE(R43:R47)</f>
        <v>1345090.8804263216</v>
      </c>
      <c r="R23" s="764"/>
      <c r="S23" s="764"/>
      <c r="T23" s="764"/>
      <c r="U23" s="371"/>
      <c r="V23" s="371"/>
      <c r="X23" s="371"/>
      <c r="Y23" s="120" t="s">
        <v>771</v>
      </c>
      <c r="Z23" s="780">
        <f>C24</f>
        <v>3.7499999999999999E-2</v>
      </c>
      <c r="AA23" s="779">
        <f>Z23</f>
        <v>3.7499999999999999E-2</v>
      </c>
      <c r="AB23" s="779">
        <f>C38</f>
        <v>3.2500000000000001E-2</v>
      </c>
      <c r="AC23" s="779">
        <f>AB23</f>
        <v>3.2500000000000001E-2</v>
      </c>
      <c r="AD23" s="371"/>
    </row>
    <row r="24" spans="1:30">
      <c r="B24" s="680" t="s">
        <v>771</v>
      </c>
      <c r="C24" s="1642">
        <v>3.7499999999999999E-2</v>
      </c>
      <c r="D24" s="1642"/>
      <c r="O24" s="764"/>
      <c r="P24" s="398" t="s">
        <v>993</v>
      </c>
      <c r="Q24" s="398">
        <v>0</v>
      </c>
      <c r="R24" s="778"/>
      <c r="S24" s="764"/>
      <c r="T24" s="764"/>
      <c r="U24" s="764"/>
      <c r="V24" s="371"/>
      <c r="X24" s="371"/>
      <c r="AD24" s="371"/>
    </row>
    <row r="25" spans="1:30">
      <c r="B25" s="680" t="s">
        <v>947</v>
      </c>
      <c r="C25" s="1643">
        <v>15.2</v>
      </c>
      <c r="D25" s="1643"/>
      <c r="O25" s="764"/>
      <c r="P25" s="398" t="s">
        <v>992</v>
      </c>
      <c r="Q25" s="398">
        <v>0</v>
      </c>
      <c r="R25" s="778"/>
      <c r="T25" s="764"/>
      <c r="U25" s="764"/>
      <c r="V25" s="371"/>
      <c r="X25" s="371"/>
      <c r="AD25" s="371"/>
    </row>
    <row r="26" spans="1:30">
      <c r="B26" s="720"/>
      <c r="C26" s="720"/>
      <c r="D26" s="720"/>
      <c r="O26" s="764"/>
      <c r="T26" s="764"/>
      <c r="U26" s="764"/>
      <c r="V26" s="371"/>
      <c r="X26" s="371"/>
      <c r="AD26" s="371"/>
    </row>
    <row r="27" spans="1:30">
      <c r="B27" s="720"/>
      <c r="C27" s="720"/>
      <c r="D27" s="720"/>
      <c r="O27" s="764"/>
      <c r="T27" s="764"/>
      <c r="U27" s="764"/>
      <c r="V27" s="371"/>
      <c r="X27" s="371"/>
      <c r="Y27" s="433" t="s">
        <v>991</v>
      </c>
      <c r="Z27" s="373">
        <f>Z33-Z37</f>
        <v>2621658.2630202132</v>
      </c>
      <c r="AA27" s="371"/>
      <c r="AB27" s="371"/>
      <c r="AC27" s="371"/>
      <c r="AD27" s="371"/>
    </row>
    <row r="28" spans="1:30">
      <c r="A28" s="2" t="s">
        <v>687</v>
      </c>
      <c r="B28" s="1462" t="s">
        <v>946</v>
      </c>
      <c r="C28" s="1462"/>
      <c r="D28" s="1462"/>
      <c r="E28" s="1462"/>
      <c r="F28" s="1462"/>
      <c r="G28" s="1462"/>
      <c r="H28" s="1462"/>
      <c r="I28" s="1462"/>
      <c r="J28" s="1462"/>
      <c r="K28" s="1462"/>
      <c r="L28" s="1462"/>
      <c r="O28" s="764"/>
      <c r="T28" s="764"/>
      <c r="U28" s="764"/>
      <c r="X28" s="371"/>
      <c r="Y28" s="398"/>
      <c r="Z28" s="398"/>
      <c r="AA28" s="371"/>
      <c r="AB28" s="371"/>
      <c r="AC28" s="371"/>
      <c r="AD28" s="371"/>
    </row>
    <row r="29" spans="1:30">
      <c r="B29" s="5"/>
      <c r="C29" s="5"/>
      <c r="D29" s="5"/>
      <c r="E29" s="5"/>
      <c r="F29" s="5"/>
      <c r="G29" s="5"/>
      <c r="H29" s="5"/>
      <c r="I29" s="5"/>
      <c r="J29" s="5"/>
      <c r="K29" s="5"/>
      <c r="L29" s="5"/>
      <c r="O29" s="764"/>
      <c r="P29" s="771" t="s">
        <v>978</v>
      </c>
      <c r="Q29" s="764"/>
      <c r="R29" s="764"/>
      <c r="T29" s="764"/>
      <c r="U29" s="764"/>
      <c r="X29" s="371"/>
      <c r="Y29" s="768" t="s">
        <v>990</v>
      </c>
      <c r="Z29" s="371"/>
      <c r="AA29" s="371"/>
      <c r="AB29" s="371"/>
      <c r="AC29" s="371"/>
      <c r="AD29" s="371"/>
    </row>
    <row r="30" spans="1:30">
      <c r="B30" s="28" t="s">
        <v>683</v>
      </c>
      <c r="C30" s="5"/>
      <c r="D30" s="5"/>
      <c r="E30" s="5"/>
      <c r="F30" s="5"/>
      <c r="G30" s="5"/>
      <c r="H30" s="5"/>
      <c r="I30" s="5"/>
      <c r="J30" s="5"/>
      <c r="K30" s="5"/>
      <c r="L30" s="5"/>
      <c r="O30" s="764"/>
      <c r="P30" s="398" t="s">
        <v>12</v>
      </c>
      <c r="Q30" s="398" t="s">
        <v>55</v>
      </c>
      <c r="R30" s="398" t="s">
        <v>977</v>
      </c>
      <c r="T30" s="764"/>
      <c r="U30" s="764"/>
      <c r="X30" s="371"/>
      <c r="Y30" s="371" t="s">
        <v>972</v>
      </c>
      <c r="Z30" s="766">
        <f>Q23</f>
        <v>1345090.8804263216</v>
      </c>
      <c r="AA30" s="371"/>
      <c r="AB30" s="371"/>
      <c r="AC30" s="371"/>
      <c r="AD30" s="371"/>
    </row>
    <row r="31" spans="1:30" ht="16.2">
      <c r="B31" s="29" t="s">
        <v>32</v>
      </c>
      <c r="C31" s="5"/>
      <c r="D31" s="5"/>
      <c r="E31" s="5"/>
      <c r="F31" s="5"/>
      <c r="G31" s="5"/>
      <c r="H31" s="5"/>
      <c r="I31" s="5"/>
      <c r="J31" s="5"/>
      <c r="K31" s="5"/>
      <c r="L31" s="5"/>
      <c r="O31" s="764"/>
      <c r="P31" s="398">
        <f>+C12</f>
        <v>2016</v>
      </c>
      <c r="Q31" s="398">
        <f>+Q32-1</f>
        <v>45</v>
      </c>
      <c r="R31" s="777">
        <f>+D12</f>
        <v>800000</v>
      </c>
      <c r="T31" s="764"/>
      <c r="U31" s="764"/>
      <c r="X31" s="371"/>
      <c r="Y31" s="371" t="s">
        <v>967</v>
      </c>
      <c r="Z31" s="766">
        <f>Q22</f>
        <v>10</v>
      </c>
      <c r="AA31" s="373"/>
      <c r="AB31" s="371"/>
      <c r="AC31" s="371"/>
      <c r="AD31" s="371"/>
    </row>
    <row r="32" spans="1:30" ht="16.2">
      <c r="B32" s="29"/>
      <c r="C32" s="5"/>
      <c r="D32" s="5"/>
      <c r="E32" s="5"/>
      <c r="F32" s="5"/>
      <c r="G32" s="5"/>
      <c r="H32" s="5"/>
      <c r="I32" s="5"/>
      <c r="J32" s="5"/>
      <c r="K32" s="5"/>
      <c r="L32" s="5"/>
      <c r="O32" s="764"/>
      <c r="P32" s="398">
        <f>+C13</f>
        <v>2017</v>
      </c>
      <c r="Q32" s="398">
        <f>+Q33-1</f>
        <v>46</v>
      </c>
      <c r="R32" s="777">
        <f>+D13</f>
        <v>850000</v>
      </c>
      <c r="T32" s="764"/>
      <c r="U32" s="764"/>
      <c r="X32" s="371"/>
      <c r="Y32" s="371" t="s">
        <v>966</v>
      </c>
      <c r="Z32" s="766">
        <f>0.02*Z30*Z31</f>
        <v>269018.17608526436</v>
      </c>
      <c r="AA32" s="766"/>
      <c r="AB32" s="371"/>
      <c r="AC32" s="371"/>
      <c r="AD32" s="371"/>
    </row>
    <row r="33" spans="1:30">
      <c r="A33" s="1462" t="s">
        <v>945</v>
      </c>
      <c r="B33" s="1462"/>
      <c r="C33" s="1462"/>
      <c r="D33" s="1462"/>
      <c r="E33" s="1462"/>
      <c r="F33" s="1462"/>
      <c r="G33" s="1462"/>
      <c r="H33" s="1462"/>
      <c r="I33" s="1462"/>
      <c r="J33" s="1462"/>
      <c r="K33" s="1462"/>
      <c r="L33" s="1462"/>
      <c r="M33" s="1462"/>
      <c r="O33" s="764"/>
      <c r="P33" s="398">
        <f>+C14</f>
        <v>2018</v>
      </c>
      <c r="Q33" s="398">
        <f>+Q34-1</f>
        <v>47</v>
      </c>
      <c r="R33" s="777">
        <f>+D14</f>
        <v>900000</v>
      </c>
      <c r="T33" s="764"/>
      <c r="U33" s="764"/>
      <c r="X33" s="371"/>
      <c r="Y33" s="371" t="s">
        <v>989</v>
      </c>
      <c r="Z33" s="766">
        <f>+Q56*(1+C38)^-(Q21-Q20)*C39</f>
        <v>2950711.6813784465</v>
      </c>
      <c r="AA33" s="766"/>
      <c r="AB33" s="371"/>
      <c r="AC33" s="371"/>
      <c r="AD33" s="371"/>
    </row>
    <row r="34" spans="1:30">
      <c r="A34" s="1462"/>
      <c r="B34" s="1462"/>
      <c r="C34" s="1462"/>
      <c r="D34" s="1462"/>
      <c r="E34" s="1462"/>
      <c r="F34" s="1462"/>
      <c r="G34" s="1462"/>
      <c r="H34" s="1462"/>
      <c r="I34" s="1462"/>
      <c r="J34" s="1462"/>
      <c r="K34" s="1462"/>
      <c r="L34" s="1462"/>
      <c r="M34" s="1462"/>
      <c r="O34" s="764"/>
      <c r="P34" s="398">
        <f>+C15</f>
        <v>2019</v>
      </c>
      <c r="Q34" s="398">
        <f>+Q35-1</f>
        <v>48</v>
      </c>
      <c r="R34" s="777">
        <f>+D15</f>
        <v>950000</v>
      </c>
      <c r="T34" s="764"/>
      <c r="U34" s="764"/>
      <c r="X34" s="371"/>
      <c r="Y34" s="371"/>
      <c r="Z34" s="766"/>
      <c r="AA34" s="371"/>
      <c r="AB34" s="371"/>
      <c r="AC34" s="371"/>
      <c r="AD34" s="371"/>
    </row>
    <row r="35" spans="1:30" ht="16.2">
      <c r="B35" s="29"/>
      <c r="C35" s="5"/>
      <c r="D35" s="5"/>
      <c r="E35" s="5"/>
      <c r="F35" s="5"/>
      <c r="G35" s="5"/>
      <c r="H35" s="5"/>
      <c r="I35" s="5"/>
      <c r="J35" s="5"/>
      <c r="K35" s="5"/>
      <c r="L35" s="5"/>
      <c r="O35" s="764"/>
      <c r="P35" s="398">
        <f>+C16</f>
        <v>2020</v>
      </c>
      <c r="Q35" s="398">
        <f>+Q36-1</f>
        <v>49</v>
      </c>
      <c r="R35" s="777">
        <f>+D16</f>
        <v>1000000</v>
      </c>
      <c r="T35" s="764"/>
      <c r="U35" s="764"/>
      <c r="X35" s="371"/>
      <c r="Y35" s="768" t="s">
        <v>988</v>
      </c>
      <c r="Z35" s="766"/>
      <c r="AA35" s="371"/>
      <c r="AB35" s="371"/>
      <c r="AC35" s="371"/>
      <c r="AD35" s="371"/>
    </row>
    <row r="36" spans="1:30">
      <c r="A36" s="2" t="s">
        <v>944</v>
      </c>
      <c r="C36" s="720"/>
      <c r="D36" s="720"/>
      <c r="O36" s="764"/>
      <c r="P36" s="398">
        <f t="shared" ref="P36:P48" si="0">+P35+1</f>
        <v>2021</v>
      </c>
      <c r="Q36" s="398">
        <f>+Q20</f>
        <v>50</v>
      </c>
      <c r="R36" s="767">
        <f t="shared" ref="R36:R47" si="1">+R35*(1+$C$23)</f>
        <v>1030000</v>
      </c>
      <c r="S36" s="764"/>
      <c r="T36" s="764"/>
      <c r="U36" s="764"/>
      <c r="X36" s="371"/>
      <c r="Y36" s="371" t="s">
        <v>959</v>
      </c>
      <c r="Z36" s="766">
        <f>+Z31*3000</f>
        <v>30000</v>
      </c>
      <c r="AA36" s="766"/>
      <c r="AB36" s="371"/>
      <c r="AC36" s="371"/>
      <c r="AD36" s="371"/>
    </row>
    <row r="37" spans="1:30">
      <c r="C37" s="720"/>
      <c r="D37" s="720"/>
      <c r="O37" s="764"/>
      <c r="P37" s="398">
        <f t="shared" si="0"/>
        <v>2022</v>
      </c>
      <c r="Q37" s="398">
        <f t="shared" ref="Q37:Q48" si="2">+Q36+1</f>
        <v>51</v>
      </c>
      <c r="R37" s="767">
        <f t="shared" si="1"/>
        <v>1060900</v>
      </c>
      <c r="S37" s="398"/>
      <c r="T37" s="764"/>
      <c r="U37" s="764"/>
      <c r="X37" s="371"/>
      <c r="Y37" s="371" t="s">
        <v>976</v>
      </c>
      <c r="Z37" s="766">
        <f>Z36*(1+C38)^-(Q21-Q20)*C39</f>
        <v>329053.41835823347</v>
      </c>
      <c r="AA37" s="766"/>
      <c r="AB37" s="371"/>
      <c r="AC37" s="371"/>
      <c r="AD37" s="371"/>
    </row>
    <row r="38" spans="1:30">
      <c r="B38" s="680" t="s">
        <v>771</v>
      </c>
      <c r="C38" s="1642">
        <v>3.2500000000000001E-2</v>
      </c>
      <c r="D38" s="1642"/>
      <c r="O38" s="764"/>
      <c r="P38" s="398">
        <f t="shared" si="0"/>
        <v>2023</v>
      </c>
      <c r="Q38" s="398">
        <f t="shared" si="2"/>
        <v>52</v>
      </c>
      <c r="R38" s="767">
        <f t="shared" si="1"/>
        <v>1092727</v>
      </c>
      <c r="S38" s="398"/>
      <c r="T38" s="764"/>
      <c r="U38" s="764"/>
      <c r="X38" s="371"/>
      <c r="Y38" s="398"/>
      <c r="Z38" s="398"/>
      <c r="AA38" s="371"/>
      <c r="AB38" s="371"/>
      <c r="AC38" s="371"/>
      <c r="AD38" s="371"/>
    </row>
    <row r="39" spans="1:30">
      <c r="B39" s="680" t="s">
        <v>943</v>
      </c>
      <c r="C39" s="1644">
        <v>16.100000000000001</v>
      </c>
      <c r="D39" s="1644"/>
      <c r="O39" s="764"/>
      <c r="P39" s="398">
        <f t="shared" si="0"/>
        <v>2024</v>
      </c>
      <c r="Q39" s="398">
        <f t="shared" si="2"/>
        <v>53</v>
      </c>
      <c r="R39" s="767">
        <f t="shared" si="1"/>
        <v>1125508.81</v>
      </c>
      <c r="S39" s="398"/>
      <c r="T39" s="764"/>
      <c r="U39" s="764"/>
      <c r="X39" s="371"/>
      <c r="Y39" s="433"/>
      <c r="Z39" s="766"/>
      <c r="AA39" s="371"/>
      <c r="AB39" s="371"/>
      <c r="AC39" s="371"/>
      <c r="AD39" s="371"/>
    </row>
    <row r="40" spans="1:30">
      <c r="B40" s="680" t="s">
        <v>942</v>
      </c>
      <c r="C40" s="1637">
        <v>257500</v>
      </c>
      <c r="D40" s="1638"/>
      <c r="O40" s="764"/>
      <c r="P40" s="398">
        <f t="shared" si="0"/>
        <v>2025</v>
      </c>
      <c r="Q40" s="398">
        <f t="shared" si="2"/>
        <v>54</v>
      </c>
      <c r="R40" s="767">
        <f t="shared" si="1"/>
        <v>1159274.0743</v>
      </c>
      <c r="S40" s="398"/>
      <c r="T40" s="371"/>
      <c r="U40" s="764"/>
      <c r="X40" s="371"/>
      <c r="Y40" s="433" t="s">
        <v>987</v>
      </c>
      <c r="Z40" s="766">
        <f>Z46-Z51</f>
        <v>262165.82630202128</v>
      </c>
      <c r="AA40" s="371"/>
      <c r="AB40" s="371"/>
      <c r="AC40" s="371"/>
      <c r="AD40" s="371"/>
    </row>
    <row r="41" spans="1:30">
      <c r="O41" s="764"/>
      <c r="P41" s="398">
        <f t="shared" si="0"/>
        <v>2026</v>
      </c>
      <c r="Q41" s="398">
        <f t="shared" si="2"/>
        <v>55</v>
      </c>
      <c r="R41" s="767">
        <f t="shared" si="1"/>
        <v>1194052.2965289999</v>
      </c>
      <c r="S41" s="398"/>
      <c r="T41" s="371"/>
      <c r="U41" s="764"/>
      <c r="X41" s="371"/>
      <c r="Y41" s="371"/>
      <c r="Z41" s="371"/>
      <c r="AA41" s="371"/>
      <c r="AB41" s="371"/>
      <c r="AC41" s="371"/>
      <c r="AD41" s="371"/>
    </row>
    <row r="42" spans="1:30" ht="15.75" customHeight="1">
      <c r="A42" s="1639" t="s">
        <v>941</v>
      </c>
      <c r="B42" s="1639"/>
      <c r="C42" s="1639"/>
      <c r="D42" s="1639"/>
      <c r="E42" s="1639"/>
      <c r="F42" s="1639"/>
      <c r="G42" s="1639"/>
      <c r="H42" s="1639"/>
      <c r="I42" s="1639"/>
      <c r="J42" s="1639"/>
      <c r="K42" s="1639"/>
      <c r="L42" s="1639"/>
      <c r="M42" s="1639"/>
      <c r="O42" s="764"/>
      <c r="P42" s="398">
        <f t="shared" si="0"/>
        <v>2027</v>
      </c>
      <c r="Q42" s="398">
        <f t="shared" si="2"/>
        <v>56</v>
      </c>
      <c r="R42" s="767">
        <f t="shared" si="1"/>
        <v>1229873.86542487</v>
      </c>
      <c r="S42" s="773"/>
      <c r="T42" s="371"/>
      <c r="U42" s="764"/>
      <c r="X42" s="371"/>
      <c r="Y42" s="768" t="s">
        <v>974</v>
      </c>
      <c r="Z42" s="766"/>
      <c r="AA42" s="371"/>
      <c r="AB42" s="371"/>
      <c r="AC42" s="371"/>
      <c r="AD42" s="371"/>
    </row>
    <row r="43" spans="1:30">
      <c r="A43" s="1639"/>
      <c r="B43" s="1639"/>
      <c r="C43" s="1639"/>
      <c r="D43" s="1639"/>
      <c r="E43" s="1639"/>
      <c r="F43" s="1639"/>
      <c r="G43" s="1639"/>
      <c r="H43" s="1639"/>
      <c r="I43" s="1639"/>
      <c r="J43" s="1639"/>
      <c r="K43" s="1639"/>
      <c r="L43" s="1639"/>
      <c r="M43" s="1639"/>
      <c r="O43" s="764"/>
      <c r="P43" s="398">
        <f t="shared" si="0"/>
        <v>2028</v>
      </c>
      <c r="Q43" s="398">
        <f t="shared" si="2"/>
        <v>57</v>
      </c>
      <c r="R43" s="767">
        <f t="shared" si="1"/>
        <v>1266770.0813876162</v>
      </c>
      <c r="S43" s="398"/>
      <c r="T43" s="371"/>
      <c r="U43" s="764"/>
      <c r="X43" s="371"/>
      <c r="Y43" s="371" t="s">
        <v>972</v>
      </c>
      <c r="Z43" s="766">
        <f>Z30</f>
        <v>1345090.8804263216</v>
      </c>
      <c r="AA43" s="371"/>
      <c r="AB43" s="371"/>
      <c r="AC43" s="371"/>
      <c r="AD43" s="371"/>
    </row>
    <row r="44" spans="1:30">
      <c r="A44" s="776"/>
      <c r="B44" s="776"/>
      <c r="C44" s="776"/>
      <c r="D44" s="776"/>
      <c r="E44" s="776"/>
      <c r="F44" s="776"/>
      <c r="G44" s="776"/>
      <c r="H44" s="776"/>
      <c r="I44" s="776"/>
      <c r="J44" s="776"/>
      <c r="K44" s="776"/>
      <c r="L44" s="776"/>
      <c r="M44" s="776"/>
      <c r="O44" s="764"/>
      <c r="P44" s="398">
        <f t="shared" si="0"/>
        <v>2029</v>
      </c>
      <c r="Q44" s="398">
        <f t="shared" si="2"/>
        <v>58</v>
      </c>
      <c r="R44" s="767">
        <f t="shared" si="1"/>
        <v>1304773.1838292447</v>
      </c>
      <c r="S44" s="773"/>
      <c r="T44" s="371"/>
      <c r="U44" s="764"/>
      <c r="X44" s="371"/>
      <c r="Y44" s="371" t="s">
        <v>963</v>
      </c>
      <c r="Z44" s="766">
        <v>1</v>
      </c>
      <c r="AA44" s="371"/>
      <c r="AB44" s="371"/>
      <c r="AC44" s="371"/>
      <c r="AD44" s="371"/>
    </row>
    <row r="45" spans="1:30">
      <c r="A45" s="2" t="s">
        <v>6</v>
      </c>
      <c r="B45" s="1639" t="s">
        <v>940</v>
      </c>
      <c r="C45" s="1639"/>
      <c r="D45" s="1639"/>
      <c r="E45" s="1639"/>
      <c r="F45" s="1639"/>
      <c r="G45" s="1639"/>
      <c r="H45" s="1639"/>
      <c r="I45" s="1639"/>
      <c r="J45" s="1639"/>
      <c r="K45" s="1639"/>
      <c r="L45" s="1639"/>
      <c r="M45" s="1639"/>
      <c r="O45" s="764"/>
      <c r="P45" s="398">
        <f t="shared" si="0"/>
        <v>2030</v>
      </c>
      <c r="Q45" s="398">
        <f t="shared" si="2"/>
        <v>59</v>
      </c>
      <c r="R45" s="767">
        <f t="shared" si="1"/>
        <v>1343916.379344122</v>
      </c>
      <c r="S45" s="773"/>
      <c r="T45" s="371"/>
      <c r="U45" s="764"/>
      <c r="X45" s="371"/>
      <c r="Y45" s="371" t="s">
        <v>970</v>
      </c>
      <c r="Z45" s="766">
        <f>0.02*Z44*Z43</f>
        <v>26901.817608526435</v>
      </c>
      <c r="AA45" s="371"/>
      <c r="AB45" s="371"/>
      <c r="AC45" s="371"/>
      <c r="AD45" s="371"/>
    </row>
    <row r="46" spans="1:30">
      <c r="B46" s="1639"/>
      <c r="C46" s="1639"/>
      <c r="D46" s="1639"/>
      <c r="E46" s="1639"/>
      <c r="F46" s="1639"/>
      <c r="G46" s="1639"/>
      <c r="H46" s="1639"/>
      <c r="I46" s="1639"/>
      <c r="J46" s="1639"/>
      <c r="K46" s="1639"/>
      <c r="L46" s="1639"/>
      <c r="M46" s="1639"/>
      <c r="O46" s="764"/>
      <c r="P46" s="398">
        <f t="shared" si="0"/>
        <v>2031</v>
      </c>
      <c r="Q46" s="398">
        <f t="shared" si="2"/>
        <v>60</v>
      </c>
      <c r="R46" s="767">
        <f t="shared" si="1"/>
        <v>1384233.8707244457</v>
      </c>
      <c r="S46" s="773"/>
      <c r="T46" s="371"/>
      <c r="U46" s="764"/>
      <c r="X46" s="371"/>
      <c r="Y46" s="371" t="s">
        <v>968</v>
      </c>
      <c r="Z46" s="766">
        <f>+Z45*(1+C38)^-(Q21-Q20)*C39</f>
        <v>295071.16813784465</v>
      </c>
      <c r="AA46" s="371"/>
      <c r="AB46" s="371"/>
      <c r="AC46" s="371"/>
      <c r="AD46" s="371"/>
    </row>
    <row r="47" spans="1:30">
      <c r="B47" s="1639"/>
      <c r="C47" s="1639"/>
      <c r="D47" s="1639"/>
      <c r="E47" s="1639"/>
      <c r="F47" s="1639"/>
      <c r="G47" s="1639"/>
      <c r="H47" s="1639"/>
      <c r="I47" s="1639"/>
      <c r="J47" s="1639"/>
      <c r="K47" s="1639"/>
      <c r="L47" s="1639"/>
      <c r="M47" s="1639"/>
      <c r="O47" s="764"/>
      <c r="P47" s="398">
        <f t="shared" si="0"/>
        <v>2032</v>
      </c>
      <c r="Q47" s="398">
        <f t="shared" si="2"/>
        <v>61</v>
      </c>
      <c r="R47" s="767">
        <f t="shared" si="1"/>
        <v>1425760.8868461791</v>
      </c>
      <c r="S47" s="773"/>
      <c r="T47" s="371"/>
      <c r="U47" s="764"/>
      <c r="X47" s="371"/>
      <c r="Y47" s="764"/>
      <c r="Z47" s="764"/>
      <c r="AA47" s="371"/>
      <c r="AB47" s="371"/>
      <c r="AC47" s="371"/>
      <c r="AD47" s="371"/>
    </row>
    <row r="48" spans="1:30">
      <c r="B48" s="1639"/>
      <c r="C48" s="1639"/>
      <c r="D48" s="1639"/>
      <c r="E48" s="1639"/>
      <c r="F48" s="1639"/>
      <c r="G48" s="1639"/>
      <c r="H48" s="1639"/>
      <c r="I48" s="1639"/>
      <c r="J48" s="1639"/>
      <c r="K48" s="1639"/>
      <c r="L48" s="1639"/>
      <c r="M48" s="1639"/>
      <c r="O48" s="764"/>
      <c r="P48" s="398">
        <f t="shared" si="0"/>
        <v>2033</v>
      </c>
      <c r="Q48" s="398">
        <f t="shared" si="2"/>
        <v>62</v>
      </c>
      <c r="R48" s="765"/>
      <c r="S48" s="773"/>
      <c r="T48" s="371"/>
      <c r="U48" s="764"/>
      <c r="X48" s="371"/>
      <c r="Y48" s="768" t="s">
        <v>965</v>
      </c>
      <c r="Z48" s="764"/>
      <c r="AA48" s="371"/>
      <c r="AB48" s="371"/>
      <c r="AC48" s="371"/>
      <c r="AD48" s="371"/>
    </row>
    <row r="49" spans="2:30" ht="16.2">
      <c r="B49" s="29" t="s">
        <v>32</v>
      </c>
      <c r="O49" s="764"/>
      <c r="P49" s="775" t="s">
        <v>986</v>
      </c>
      <c r="Q49" s="371"/>
      <c r="R49" s="371"/>
      <c r="S49" s="773"/>
      <c r="T49" s="371"/>
      <c r="U49" s="764"/>
      <c r="X49" s="371"/>
      <c r="Y49" s="371" t="s">
        <v>963</v>
      </c>
      <c r="Z49" s="766">
        <f>Z44</f>
        <v>1</v>
      </c>
      <c r="AA49" s="371"/>
      <c r="AB49" s="371"/>
      <c r="AC49" s="371"/>
      <c r="AD49" s="371"/>
    </row>
    <row r="50" spans="2:30">
      <c r="O50" s="764"/>
      <c r="P50" s="371"/>
      <c r="Q50" s="371"/>
      <c r="R50" s="371"/>
      <c r="S50" s="773"/>
      <c r="T50" s="371"/>
      <c r="U50" s="764"/>
      <c r="X50" s="371"/>
      <c r="Y50" s="371" t="s">
        <v>962</v>
      </c>
      <c r="Z50" s="766">
        <f>Z49*3000</f>
        <v>3000</v>
      </c>
      <c r="AA50" s="371"/>
      <c r="AB50" s="371"/>
      <c r="AC50" s="371"/>
      <c r="AD50" s="371"/>
    </row>
    <row r="51" spans="2:30">
      <c r="O51" s="764"/>
      <c r="P51" s="433" t="s">
        <v>985</v>
      </c>
      <c r="Q51" s="373">
        <f>Q57-Q61</f>
        <v>2335701.0252369964</v>
      </c>
      <c r="R51" s="764"/>
      <c r="S51" s="773"/>
      <c r="T51" s="371"/>
      <c r="U51" s="764"/>
      <c r="X51" s="371"/>
      <c r="Y51" s="371" t="s">
        <v>960</v>
      </c>
      <c r="Z51" s="766">
        <f>+Z50*(1+C38)^-(Q21-Q20)*C39</f>
        <v>32905.341835823347</v>
      </c>
      <c r="AA51" s="371"/>
      <c r="AB51" s="371"/>
      <c r="AC51" s="371"/>
      <c r="AD51" s="371"/>
    </row>
    <row r="52" spans="2:30">
      <c r="O52" s="764"/>
      <c r="P52" s="371"/>
      <c r="Q52" s="371"/>
      <c r="R52" s="371"/>
      <c r="S52" s="773"/>
      <c r="T52" s="371"/>
      <c r="U52" s="764"/>
      <c r="X52" s="371"/>
      <c r="Y52" s="398"/>
      <c r="Z52" s="398"/>
      <c r="AA52" s="371"/>
      <c r="AB52" s="371"/>
      <c r="AC52" s="371"/>
      <c r="AD52" s="371"/>
    </row>
    <row r="53" spans="2:30">
      <c r="O53" s="764"/>
      <c r="P53" s="768" t="s">
        <v>984</v>
      </c>
      <c r="Q53" s="371"/>
      <c r="R53" s="371"/>
      <c r="S53" s="773"/>
      <c r="T53" s="371"/>
      <c r="U53" s="764"/>
      <c r="X53" s="371"/>
      <c r="Y53" s="774" t="s">
        <v>983</v>
      </c>
      <c r="Z53" s="398"/>
      <c r="AA53" s="371"/>
      <c r="AB53" s="371"/>
      <c r="AC53" s="371"/>
      <c r="AD53" s="371"/>
    </row>
    <row r="54" spans="2:30">
      <c r="O54" s="764"/>
      <c r="P54" s="371" t="s">
        <v>972</v>
      </c>
      <c r="Q54" s="766">
        <f>Q23</f>
        <v>1345090.8804263216</v>
      </c>
      <c r="R54" s="371"/>
      <c r="S54" s="773"/>
      <c r="T54" s="371"/>
      <c r="U54" s="764"/>
      <c r="X54" s="371"/>
      <c r="Y54" s="398"/>
      <c r="Z54" s="398"/>
      <c r="AA54" s="371"/>
      <c r="AB54" s="371"/>
      <c r="AC54" s="371"/>
      <c r="AD54" s="371"/>
    </row>
    <row r="55" spans="2:30">
      <c r="O55" s="764"/>
      <c r="P55" s="371" t="s">
        <v>967</v>
      </c>
      <c r="Q55" s="766">
        <f>Q22</f>
        <v>10</v>
      </c>
      <c r="R55" s="371"/>
      <c r="S55" s="764"/>
      <c r="T55" s="371"/>
      <c r="U55" s="764"/>
      <c r="X55" s="371"/>
      <c r="Y55" s="398" t="s">
        <v>982</v>
      </c>
      <c r="Z55" s="398"/>
      <c r="AA55" s="371"/>
      <c r="AB55" s="371"/>
      <c r="AC55" s="371"/>
      <c r="AD55" s="371"/>
    </row>
    <row r="56" spans="2:30">
      <c r="O56" s="764"/>
      <c r="P56" s="371" t="s">
        <v>966</v>
      </c>
      <c r="Q56" s="766">
        <f>0.02*Q54*Q55</f>
        <v>269018.17608526436</v>
      </c>
      <c r="R56" s="371"/>
      <c r="S56" s="371"/>
      <c r="T56" s="371"/>
      <c r="U56" s="764"/>
      <c r="X56" s="371"/>
      <c r="Y56" s="398" t="s">
        <v>981</v>
      </c>
      <c r="Z56" s="772">
        <f>(0.75*Z61+SUM(Z62:Z66))/5</f>
        <v>911500</v>
      </c>
      <c r="AA56" s="371"/>
      <c r="AB56" s="371"/>
      <c r="AC56" s="371"/>
      <c r="AD56" s="371"/>
    </row>
    <row r="57" spans="2:30">
      <c r="P57" s="371" t="s">
        <v>980</v>
      </c>
      <c r="Q57" s="766">
        <f>+Q56*(1+C24)^-(Q21-Q20)*C25</f>
        <v>2628862.9592152457</v>
      </c>
      <c r="R57" s="371"/>
      <c r="S57" s="371"/>
      <c r="T57" s="371"/>
      <c r="U57" s="764"/>
      <c r="X57" s="371"/>
      <c r="Y57" s="398" t="s">
        <v>979</v>
      </c>
      <c r="Z57" s="397">
        <f>Z31</f>
        <v>10</v>
      </c>
      <c r="AA57" s="371"/>
      <c r="AB57" s="371"/>
      <c r="AC57" s="371"/>
      <c r="AD57" s="371"/>
    </row>
    <row r="58" spans="2:30">
      <c r="O58" s="764"/>
      <c r="Q58" s="766"/>
      <c r="R58" s="371"/>
      <c r="S58" s="371"/>
      <c r="T58" s="371"/>
      <c r="U58" s="764"/>
      <c r="X58" s="371"/>
      <c r="Y58" s="398"/>
      <c r="Z58" s="398"/>
      <c r="AA58" s="371"/>
      <c r="AB58" s="371"/>
      <c r="AC58" s="371"/>
      <c r="AD58" s="371"/>
    </row>
    <row r="59" spans="2:30">
      <c r="O59" s="764"/>
      <c r="P59" s="768" t="s">
        <v>961</v>
      </c>
      <c r="Q59" s="766"/>
      <c r="R59" s="371"/>
      <c r="S59" s="371"/>
      <c r="T59" s="371"/>
      <c r="U59" s="764"/>
      <c r="X59" s="371"/>
      <c r="Y59" s="771" t="s">
        <v>978</v>
      </c>
      <c r="Z59" s="764"/>
      <c r="AA59" s="764"/>
      <c r="AB59" s="371"/>
      <c r="AC59" s="371"/>
      <c r="AD59" s="371"/>
    </row>
    <row r="60" spans="2:30">
      <c r="O60" s="764"/>
      <c r="P60" s="371" t="s">
        <v>959</v>
      </c>
      <c r="Q60" s="766">
        <f>+Q55*3000</f>
        <v>30000</v>
      </c>
      <c r="R60" s="371"/>
      <c r="S60" s="371"/>
      <c r="T60" s="371"/>
      <c r="U60" s="764"/>
      <c r="X60" s="371"/>
      <c r="Y60" s="398" t="s">
        <v>12</v>
      </c>
      <c r="Z60" s="398" t="s">
        <v>977</v>
      </c>
      <c r="AA60" s="371"/>
      <c r="AB60" s="371"/>
      <c r="AC60" s="371"/>
      <c r="AD60" s="371"/>
    </row>
    <row r="61" spans="2:30">
      <c r="O61" s="764"/>
      <c r="P61" s="371" t="s">
        <v>976</v>
      </c>
      <c r="Q61" s="766">
        <f>Q60*(1+C24)^-(Q21-Q20)*C25</f>
        <v>293161.93397824949</v>
      </c>
      <c r="R61" s="371"/>
      <c r="S61" s="371"/>
      <c r="T61" s="371"/>
      <c r="U61" s="764"/>
      <c r="X61" s="371"/>
      <c r="Y61" s="398">
        <f>P31</f>
        <v>2016</v>
      </c>
      <c r="Z61" s="769">
        <f>R31</f>
        <v>800000</v>
      </c>
      <c r="AA61" s="371"/>
      <c r="AB61" s="371"/>
      <c r="AC61" s="371"/>
      <c r="AD61" s="371"/>
    </row>
    <row r="62" spans="2:30">
      <c r="O62" s="764"/>
      <c r="P62" s="371"/>
      <c r="Q62" s="766"/>
      <c r="R62" s="371"/>
      <c r="S62" s="371"/>
      <c r="T62" s="371"/>
      <c r="U62" s="764"/>
      <c r="X62" s="371"/>
      <c r="Y62" s="398">
        <f>P32</f>
        <v>2017</v>
      </c>
      <c r="Z62" s="769">
        <f>R32</f>
        <v>850000</v>
      </c>
      <c r="AA62" s="371"/>
      <c r="AB62" s="371"/>
      <c r="AC62" s="371"/>
      <c r="AD62" s="371"/>
    </row>
    <row r="63" spans="2:30">
      <c r="O63" s="764"/>
      <c r="P63" s="433"/>
      <c r="Q63" s="766"/>
      <c r="R63" s="371"/>
      <c r="S63" s="371"/>
      <c r="T63" s="371"/>
      <c r="U63" s="764"/>
      <c r="X63" s="371"/>
      <c r="Y63" s="398">
        <f>P33</f>
        <v>2018</v>
      </c>
      <c r="Z63" s="769">
        <f>R33</f>
        <v>900000</v>
      </c>
      <c r="AA63" s="371"/>
      <c r="AB63" s="371"/>
      <c r="AC63" s="371"/>
      <c r="AD63" s="371"/>
    </row>
    <row r="64" spans="2:30">
      <c r="O64" s="764"/>
      <c r="P64" s="433" t="s">
        <v>975</v>
      </c>
      <c r="Q64" s="766">
        <f>Q70-Q75</f>
        <v>233570.10252369958</v>
      </c>
      <c r="R64" s="371"/>
      <c r="S64" s="371"/>
      <c r="T64" s="371"/>
      <c r="U64" s="764"/>
      <c r="X64" s="371"/>
      <c r="Y64" s="398">
        <f>P34</f>
        <v>2019</v>
      </c>
      <c r="Z64" s="769">
        <f>R34</f>
        <v>950000</v>
      </c>
      <c r="AA64" s="371"/>
      <c r="AB64" s="371"/>
      <c r="AC64" s="371"/>
      <c r="AD64" s="371"/>
    </row>
    <row r="65" spans="15:30">
      <c r="O65" s="764"/>
      <c r="R65" s="371"/>
      <c r="S65" s="371"/>
      <c r="T65" s="371"/>
      <c r="U65" s="764"/>
      <c r="X65" s="371"/>
      <c r="Y65" s="398">
        <f>P35</f>
        <v>2020</v>
      </c>
      <c r="Z65" s="769">
        <f>R35</f>
        <v>1000000</v>
      </c>
      <c r="AA65" s="371"/>
      <c r="AB65" s="371"/>
      <c r="AC65" s="371"/>
      <c r="AD65" s="371"/>
    </row>
    <row r="66" spans="15:30">
      <c r="O66" s="764"/>
      <c r="P66" s="768" t="s">
        <v>974</v>
      </c>
      <c r="Q66" s="766"/>
      <c r="R66" s="371"/>
      <c r="S66" s="371"/>
      <c r="T66" s="371"/>
      <c r="U66" s="764"/>
      <c r="X66" s="371"/>
      <c r="Y66" s="770" t="s">
        <v>973</v>
      </c>
      <c r="Z66" s="769">
        <f>C40</f>
        <v>257500</v>
      </c>
      <c r="AA66" s="371"/>
      <c r="AB66" s="371"/>
      <c r="AC66" s="371"/>
      <c r="AD66" s="371"/>
    </row>
    <row r="67" spans="15:30">
      <c r="O67" s="764"/>
      <c r="P67" s="371" t="s">
        <v>972</v>
      </c>
      <c r="Q67" s="766">
        <f>Q54</f>
        <v>1345090.8804263216</v>
      </c>
      <c r="R67" s="371"/>
      <c r="S67" s="371"/>
      <c r="T67" s="371"/>
      <c r="U67" s="764"/>
      <c r="X67" s="371"/>
      <c r="Y67" s="398"/>
      <c r="Z67" s="398"/>
      <c r="AA67" s="767"/>
      <c r="AB67" s="371"/>
      <c r="AC67" s="371"/>
      <c r="AD67" s="371"/>
    </row>
    <row r="68" spans="15:30">
      <c r="O68" s="764"/>
      <c r="P68" s="371" t="s">
        <v>963</v>
      </c>
      <c r="Q68" s="766">
        <v>1</v>
      </c>
      <c r="R68" s="764"/>
      <c r="S68" s="371"/>
      <c r="T68" s="371"/>
      <c r="U68" s="764"/>
      <c r="X68" s="371"/>
      <c r="Y68" s="768" t="s">
        <v>971</v>
      </c>
      <c r="Z68" s="371"/>
      <c r="AA68" s="767"/>
      <c r="AB68" s="371"/>
      <c r="AC68" s="371"/>
      <c r="AD68" s="371"/>
    </row>
    <row r="69" spans="15:30">
      <c r="P69" s="371" t="s">
        <v>970</v>
      </c>
      <c r="Q69" s="766">
        <f>0.02*Q68*Q67</f>
        <v>26901.817608526435</v>
      </c>
      <c r="R69" s="764"/>
      <c r="S69" s="371"/>
      <c r="U69" s="764"/>
      <c r="X69" s="371"/>
      <c r="Y69" s="371" t="s">
        <v>969</v>
      </c>
      <c r="Z69" s="766">
        <f>Z56</f>
        <v>911500</v>
      </c>
      <c r="AA69" s="767"/>
      <c r="AB69" s="371"/>
      <c r="AC69" s="371"/>
      <c r="AD69" s="371"/>
    </row>
    <row r="70" spans="15:30">
      <c r="P70" s="371" t="s">
        <v>968</v>
      </c>
      <c r="Q70" s="766">
        <f>+Q69*(1+C24)^-(Q21-Q20)*C25</f>
        <v>262886.29592152452</v>
      </c>
      <c r="R70" s="764"/>
      <c r="S70" s="371"/>
      <c r="U70" s="764"/>
      <c r="X70" s="371"/>
      <c r="Y70" s="371" t="s">
        <v>967</v>
      </c>
      <c r="Z70" s="766">
        <f>Z57</f>
        <v>10</v>
      </c>
      <c r="AA70" s="767"/>
      <c r="AB70" s="371"/>
      <c r="AC70" s="371"/>
      <c r="AD70" s="371"/>
    </row>
    <row r="71" spans="15:30">
      <c r="P71" s="764"/>
      <c r="Q71" s="764"/>
      <c r="R71" s="764"/>
      <c r="S71" s="371"/>
      <c r="U71" s="764"/>
      <c r="X71" s="371"/>
      <c r="Y71" s="371" t="s">
        <v>966</v>
      </c>
      <c r="Z71" s="766">
        <f>0.02*Z69*Z70</f>
        <v>182300</v>
      </c>
      <c r="AA71" s="767"/>
      <c r="AB71" s="371"/>
      <c r="AC71" s="371"/>
      <c r="AD71" s="371"/>
    </row>
    <row r="72" spans="15:30">
      <c r="P72" s="768" t="s">
        <v>965</v>
      </c>
      <c r="Q72" s="764"/>
      <c r="R72" s="764"/>
      <c r="S72" s="371"/>
      <c r="U72" s="764"/>
      <c r="X72" s="371"/>
      <c r="Y72" s="371" t="s">
        <v>964</v>
      </c>
      <c r="Z72" s="766">
        <f>+Z71*(1+C38)^-(Q21-Q20-0.25)*C39</f>
        <v>2015599.9356927779</v>
      </c>
      <c r="AA72" s="767"/>
      <c r="AB72" s="371"/>
      <c r="AC72" s="371"/>
      <c r="AD72" s="371"/>
    </row>
    <row r="73" spans="15:30">
      <c r="P73" s="371" t="s">
        <v>963</v>
      </c>
      <c r="Q73" s="766">
        <f>Q68</f>
        <v>1</v>
      </c>
      <c r="S73" s="371"/>
      <c r="U73" s="764"/>
      <c r="X73" s="371"/>
      <c r="Y73" s="371"/>
      <c r="Z73" s="766"/>
      <c r="AA73" s="767"/>
      <c r="AB73" s="371"/>
      <c r="AC73" s="371"/>
      <c r="AD73" s="371"/>
    </row>
    <row r="74" spans="15:30">
      <c r="P74" s="371" t="s">
        <v>962</v>
      </c>
      <c r="Q74" s="766">
        <f>Q73*3000</f>
        <v>3000</v>
      </c>
      <c r="S74" s="371"/>
      <c r="U74" s="764"/>
      <c r="X74" s="371"/>
      <c r="Y74" s="768" t="s">
        <v>961</v>
      </c>
      <c r="Z74" s="766"/>
      <c r="AA74" s="767"/>
      <c r="AB74" s="371"/>
      <c r="AC74" s="371"/>
      <c r="AD74" s="371"/>
    </row>
    <row r="75" spans="15:30">
      <c r="P75" s="371" t="s">
        <v>960</v>
      </c>
      <c r="Q75" s="766">
        <f>+Q74*(1+C24)^-(Q21-Q20)*C25</f>
        <v>29316.193397824947</v>
      </c>
      <c r="S75" s="764"/>
      <c r="U75" s="764"/>
      <c r="X75" s="371"/>
      <c r="Y75" s="371" t="s">
        <v>959</v>
      </c>
      <c r="Z75" s="766">
        <f>+Z70*3000</f>
        <v>30000</v>
      </c>
      <c r="AA75" s="767"/>
      <c r="AB75" s="371"/>
      <c r="AC75" s="371"/>
      <c r="AD75" s="371"/>
    </row>
    <row r="76" spans="15:30">
      <c r="S76" s="764"/>
      <c r="U76" s="764"/>
      <c r="X76" s="371"/>
      <c r="Y76" s="371" t="s">
        <v>958</v>
      </c>
      <c r="Z76" s="766">
        <f>Z75*(1+C38)^-(Q21-Q20-0.25)*C39</f>
        <v>331694.99764554767</v>
      </c>
      <c r="AA76" s="767"/>
      <c r="AB76" s="371"/>
      <c r="AC76" s="371"/>
      <c r="AD76" s="371"/>
    </row>
    <row r="77" spans="15:30">
      <c r="S77" s="764"/>
      <c r="U77" s="764"/>
      <c r="X77" s="371"/>
      <c r="Y77" s="371"/>
      <c r="Z77" s="766"/>
      <c r="AA77" s="767"/>
      <c r="AB77" s="371"/>
      <c r="AC77" s="371"/>
      <c r="AD77" s="371"/>
    </row>
    <row r="78" spans="15:30">
      <c r="S78" s="764"/>
      <c r="U78" s="764"/>
      <c r="X78" s="371"/>
      <c r="Y78" s="433" t="s">
        <v>957</v>
      </c>
      <c r="Z78" s="766">
        <f>Z72-Z76</f>
        <v>1683904.9380472302</v>
      </c>
      <c r="AA78" s="765"/>
      <c r="AB78" s="371"/>
      <c r="AC78" s="371"/>
      <c r="AD78" s="371"/>
    </row>
    <row r="79" spans="15:30">
      <c r="S79" s="764"/>
      <c r="U79" s="764"/>
      <c r="X79" s="371"/>
      <c r="Y79" s="398"/>
      <c r="Z79" s="398"/>
      <c r="AA79" s="371"/>
      <c r="AB79" s="371"/>
      <c r="AC79" s="371"/>
      <c r="AD79" s="371"/>
    </row>
    <row r="80" spans="15:30">
      <c r="U80" s="764"/>
      <c r="X80" s="371"/>
      <c r="Y80" s="371"/>
      <c r="Z80" s="371"/>
      <c r="AA80" s="371"/>
      <c r="AB80" s="371"/>
      <c r="AC80" s="371"/>
      <c r="AD80" s="371"/>
    </row>
    <row r="81" spans="24:30">
      <c r="X81" s="371"/>
      <c r="Y81" s="371"/>
      <c r="Z81" s="371"/>
      <c r="AA81" s="371"/>
      <c r="AB81" s="371"/>
      <c r="AC81" s="371"/>
      <c r="AD81" s="371"/>
    </row>
    <row r="82" spans="24:30">
      <c r="X82" s="371"/>
      <c r="Y82" s="398"/>
      <c r="Z82" s="398"/>
      <c r="AA82" s="371"/>
      <c r="AB82" s="371"/>
      <c r="AC82" s="371"/>
      <c r="AD82" s="371"/>
    </row>
    <row r="83" spans="24:30">
      <c r="X83" s="371"/>
      <c r="Y83" s="398"/>
      <c r="Z83" s="398"/>
      <c r="AA83" s="371"/>
      <c r="AB83" s="371"/>
      <c r="AC83" s="371"/>
      <c r="AD83" s="371"/>
    </row>
    <row r="84" spans="24:30">
      <c r="X84" s="371"/>
      <c r="Y84" s="398"/>
      <c r="Z84" s="398"/>
      <c r="AA84" s="371"/>
      <c r="AB84" s="371"/>
      <c r="AC84" s="371"/>
      <c r="AD84" s="371"/>
    </row>
    <row r="85" spans="24:30">
      <c r="X85" s="371"/>
      <c r="Y85" s="398"/>
      <c r="Z85" s="398"/>
      <c r="AA85" s="371"/>
      <c r="AB85" s="371"/>
      <c r="AC85" s="371"/>
      <c r="AD85" s="371"/>
    </row>
    <row r="86" spans="24:30">
      <c r="X86" s="371"/>
      <c r="Y86" s="398"/>
      <c r="Z86" s="398"/>
      <c r="AA86" s="371"/>
      <c r="AB86" s="371"/>
      <c r="AC86" s="371"/>
      <c r="AD86" s="371"/>
    </row>
    <row r="87" spans="24:30">
      <c r="X87" s="371"/>
      <c r="Y87" s="398"/>
      <c r="Z87" s="398"/>
      <c r="AA87" s="371"/>
      <c r="AB87" s="371"/>
      <c r="AC87" s="371"/>
      <c r="AD87" s="371"/>
    </row>
    <row r="88" spans="24:30">
      <c r="X88" s="371"/>
      <c r="Y88" s="398"/>
      <c r="Z88" s="398"/>
      <c r="AA88" s="371"/>
      <c r="AB88" s="371"/>
      <c r="AC88" s="371"/>
      <c r="AD88" s="371"/>
    </row>
  </sheetData>
  <mergeCells count="18">
    <mergeCell ref="Y7:AE10"/>
    <mergeCell ref="C10:D10"/>
    <mergeCell ref="C11:D11"/>
    <mergeCell ref="B45:M48"/>
    <mergeCell ref="C21:D21"/>
    <mergeCell ref="C22:D22"/>
    <mergeCell ref="C23:D23"/>
    <mergeCell ref="C24:D24"/>
    <mergeCell ref="C25:D25"/>
    <mergeCell ref="B28:L28"/>
    <mergeCell ref="A33:M34"/>
    <mergeCell ref="C38:D38"/>
    <mergeCell ref="C39:D39"/>
    <mergeCell ref="C40:D40"/>
    <mergeCell ref="A42:M43"/>
    <mergeCell ref="A18:M19"/>
    <mergeCell ref="A5:M6"/>
    <mergeCell ref="P7:V7"/>
  </mergeCells>
  <pageMargins left="0.7" right="0.7" top="0.75" bottom="0.75" header="0.3" footer="0.3"/>
  <pageSetup scale="56" orientation="portrait" r:id="rId1"/>
  <colBreaks count="2" manualBreakCount="2">
    <brk id="14" max="1048575" man="1"/>
    <brk id="23"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7BA50-A80C-4A3A-BDE5-5E8B102AB28C}">
  <dimension ref="A1:AM201"/>
  <sheetViews>
    <sheetView zoomScaleNormal="100" workbookViewId="0">
      <selection sqref="A1:XFD1048576"/>
    </sheetView>
  </sheetViews>
  <sheetFormatPr defaultColWidth="9.109375" defaultRowHeight="15.6"/>
  <cols>
    <col min="1" max="1" width="3.6640625" style="529" customWidth="1"/>
    <col min="2" max="2" width="36.44140625" style="529" customWidth="1"/>
    <col min="3" max="4" width="14.109375" style="529" customWidth="1"/>
    <col min="5" max="5" width="6.88671875" style="529" bestFit="1" customWidth="1"/>
    <col min="6" max="6" width="10" style="529" hidden="1" customWidth="1"/>
    <col min="7" max="7" width="6.88671875" style="529" hidden="1" customWidth="1"/>
    <col min="8" max="8" width="10" style="529" hidden="1" customWidth="1"/>
    <col min="9" max="9" width="6.88671875" style="529" hidden="1" customWidth="1"/>
    <col min="10" max="10" width="10" style="529" hidden="1" customWidth="1"/>
    <col min="11" max="11" width="6.88671875" style="529" hidden="1" customWidth="1"/>
    <col min="12" max="12" width="10" style="529" hidden="1" customWidth="1"/>
    <col min="13" max="13" width="7.88671875" style="529" customWidth="1"/>
    <col min="14" max="14" width="1" style="528" customWidth="1"/>
    <col min="15" max="15" width="4.88671875" style="800" customWidth="1"/>
    <col min="16" max="16" width="12" style="800" customWidth="1"/>
    <col min="17" max="17" width="17.33203125" style="800" customWidth="1"/>
    <col min="18" max="18" width="13.44140625" style="800" customWidth="1"/>
    <col min="19" max="19" width="12.5546875" style="800" bestFit="1" customWidth="1"/>
    <col min="20" max="20" width="15" style="800" customWidth="1"/>
    <col min="21" max="21" width="9.109375" style="800"/>
    <col min="22" max="22" width="11" style="800" customWidth="1"/>
    <col min="23" max="23" width="9.109375" style="800"/>
    <col min="24" max="26" width="14.6640625" style="800" customWidth="1"/>
    <col min="27" max="27" width="1" style="528" customWidth="1"/>
    <col min="28" max="28" width="4.88671875" style="800" customWidth="1"/>
    <col min="29" max="29" width="9.109375" style="801"/>
    <col min="30" max="30" width="14.33203125" style="800" bestFit="1" customWidth="1"/>
    <col min="31" max="31" width="9.109375" style="800"/>
    <col min="32" max="32" width="12.5546875" style="800" customWidth="1"/>
    <col min="33" max="35" width="9.109375" style="800"/>
    <col min="36" max="36" width="10" style="800" customWidth="1"/>
    <col min="37" max="37" width="9.109375" style="800"/>
    <col min="38" max="38" width="12.44140625" style="800" customWidth="1"/>
    <col min="39" max="39" width="1" style="528" customWidth="1"/>
    <col min="40" max="16384" width="9.109375" style="799"/>
  </cols>
  <sheetData>
    <row r="1" spans="1:38">
      <c r="A1" s="559" t="s">
        <v>744</v>
      </c>
      <c r="O1" s="559" t="s">
        <v>744</v>
      </c>
      <c r="P1" s="529"/>
      <c r="Q1" s="529"/>
      <c r="R1" s="529"/>
      <c r="S1" s="529"/>
      <c r="T1" s="529"/>
      <c r="U1" s="529"/>
      <c r="V1" s="529"/>
      <c r="W1" s="529"/>
      <c r="X1" s="529"/>
      <c r="Y1" s="529"/>
      <c r="Z1" s="529"/>
      <c r="AB1" s="559" t="s">
        <v>744</v>
      </c>
      <c r="AC1" s="529"/>
      <c r="AD1" s="529"/>
      <c r="AE1" s="529"/>
      <c r="AF1" s="529"/>
      <c r="AG1" s="529"/>
      <c r="AH1" s="529"/>
      <c r="AI1" s="529"/>
      <c r="AJ1" s="529"/>
      <c r="AK1" s="529"/>
      <c r="AL1" s="529"/>
    </row>
    <row r="2" spans="1:38">
      <c r="A2" s="559" t="s">
        <v>1</v>
      </c>
      <c r="O2" s="559" t="s">
        <v>1</v>
      </c>
      <c r="P2" s="529"/>
      <c r="Q2" s="529"/>
      <c r="R2" s="529"/>
      <c r="S2" s="529"/>
      <c r="T2" s="529"/>
      <c r="U2" s="529"/>
      <c r="V2" s="529"/>
      <c r="W2" s="529"/>
      <c r="X2" s="529"/>
      <c r="Y2" s="529"/>
      <c r="Z2" s="529"/>
      <c r="AB2" s="559" t="s">
        <v>1</v>
      </c>
      <c r="AC2" s="529"/>
      <c r="AD2" s="529"/>
      <c r="AE2" s="529"/>
      <c r="AF2" s="529"/>
      <c r="AG2" s="529"/>
      <c r="AH2" s="529"/>
      <c r="AI2" s="529"/>
      <c r="AJ2" s="529"/>
      <c r="AK2" s="529"/>
      <c r="AL2" s="529"/>
    </row>
    <row r="3" spans="1:38">
      <c r="A3" s="559" t="s">
        <v>464</v>
      </c>
      <c r="O3" s="559" t="s">
        <v>464</v>
      </c>
      <c r="P3" s="529"/>
      <c r="Q3" s="529"/>
      <c r="R3" s="529"/>
      <c r="S3" s="529"/>
      <c r="T3" s="529"/>
      <c r="U3" s="529"/>
      <c r="V3" s="529"/>
      <c r="W3" s="529"/>
      <c r="X3" s="529"/>
      <c r="Y3" s="529"/>
      <c r="Z3" s="529"/>
      <c r="AB3" s="559" t="s">
        <v>464</v>
      </c>
      <c r="AC3" s="529"/>
      <c r="AD3" s="529"/>
      <c r="AE3" s="529"/>
      <c r="AF3" s="529"/>
      <c r="AG3" s="529"/>
      <c r="AH3" s="529"/>
      <c r="AI3" s="529"/>
      <c r="AJ3" s="529"/>
      <c r="AK3" s="529"/>
      <c r="AL3" s="529"/>
    </row>
    <row r="4" spans="1:38">
      <c r="O4" s="529"/>
      <c r="P4" s="529"/>
      <c r="Q4" s="529"/>
      <c r="R4" s="529"/>
      <c r="S4" s="529"/>
      <c r="T4" s="529"/>
      <c r="U4" s="529"/>
      <c r="V4" s="529"/>
      <c r="W4" s="529"/>
      <c r="X4" s="529"/>
      <c r="Y4" s="529"/>
      <c r="Z4" s="529"/>
      <c r="AB4" s="529"/>
      <c r="AC4" s="529"/>
      <c r="AD4" s="529"/>
      <c r="AE4" s="529"/>
      <c r="AF4" s="529"/>
      <c r="AG4" s="529"/>
      <c r="AH4" s="529"/>
      <c r="AI4" s="529"/>
      <c r="AJ4" s="529"/>
      <c r="AK4" s="529"/>
      <c r="AL4" s="529"/>
    </row>
    <row r="5" spans="1:38" ht="16.2">
      <c r="A5" s="1627" t="s">
        <v>954</v>
      </c>
      <c r="B5" s="1627"/>
      <c r="C5" s="1627"/>
      <c r="D5" s="1627"/>
      <c r="E5" s="1627"/>
      <c r="F5" s="1627"/>
      <c r="G5" s="1627"/>
      <c r="H5" s="1627"/>
      <c r="I5" s="1627"/>
      <c r="J5" s="1627"/>
      <c r="K5" s="1627"/>
      <c r="L5" s="1627"/>
      <c r="M5" s="1627"/>
      <c r="O5" s="558" t="s">
        <v>4</v>
      </c>
      <c r="P5" s="529"/>
      <c r="Q5" s="529"/>
      <c r="R5" s="529"/>
      <c r="S5" s="529"/>
      <c r="T5" s="529"/>
      <c r="U5" s="529"/>
      <c r="V5" s="529"/>
      <c r="W5" s="529"/>
      <c r="X5" s="529"/>
      <c r="Y5" s="529"/>
      <c r="Z5" s="529"/>
      <c r="AB5" s="558" t="s">
        <v>4</v>
      </c>
      <c r="AC5" s="529"/>
      <c r="AD5" s="529"/>
      <c r="AE5" s="529"/>
      <c r="AF5" s="529"/>
      <c r="AG5" s="529"/>
      <c r="AH5" s="529"/>
      <c r="AI5" s="529"/>
      <c r="AJ5" s="529"/>
      <c r="AK5" s="529"/>
      <c r="AL5" s="529"/>
    </row>
    <row r="6" spans="1:38">
      <c r="A6" s="1627"/>
      <c r="B6" s="1627"/>
      <c r="C6" s="1627"/>
      <c r="D6" s="1627"/>
      <c r="E6" s="1627"/>
      <c r="F6" s="1627"/>
      <c r="G6" s="1627"/>
      <c r="H6" s="1627"/>
      <c r="I6" s="1627"/>
      <c r="J6" s="1627"/>
      <c r="K6" s="1627"/>
      <c r="L6" s="1627"/>
      <c r="M6" s="1627"/>
      <c r="O6" s="529"/>
      <c r="P6" s="529"/>
      <c r="Q6" s="529"/>
      <c r="R6" s="529"/>
      <c r="S6" s="529"/>
      <c r="T6" s="529"/>
      <c r="U6" s="529"/>
      <c r="V6" s="529"/>
      <c r="W6" s="529"/>
      <c r="X6" s="529"/>
      <c r="Y6" s="529"/>
      <c r="Z6" s="529"/>
      <c r="AB6" s="529"/>
      <c r="AC6" s="529"/>
      <c r="AD6" s="529"/>
      <c r="AE6" s="529"/>
      <c r="AF6" s="529"/>
      <c r="AG6" s="529"/>
      <c r="AH6" s="529"/>
      <c r="AI6" s="529"/>
      <c r="AJ6" s="529"/>
      <c r="AK6" s="529"/>
      <c r="AL6" s="529"/>
    </row>
    <row r="7" spans="1:38" ht="15.75" customHeight="1">
      <c r="A7" s="558"/>
      <c r="O7" s="529" t="s">
        <v>687</v>
      </c>
      <c r="P7" s="529" t="str">
        <f>B34</f>
        <v>(7 points)  Calculate the 2021 Net Periodic Pension Cost for the SRP under ASC 715.</v>
      </c>
      <c r="Q7" s="529"/>
      <c r="R7" s="529"/>
      <c r="S7" s="529"/>
      <c r="T7" s="529"/>
      <c r="U7" s="529"/>
      <c r="V7" s="529"/>
      <c r="W7" s="529"/>
      <c r="X7" s="529"/>
      <c r="Y7" s="529"/>
      <c r="Z7" s="529"/>
      <c r="AB7" s="529" t="str">
        <f>A51</f>
        <v>(b)</v>
      </c>
      <c r="AC7" s="1616" t="str">
        <f>B51</f>
        <v xml:space="preserve">(8 points)  Calculate the revised 2021 Net Periodic Pension Cost for the SRP under ASC 715 reflecting the plan freeze.  
</v>
      </c>
      <c r="AD7" s="1616"/>
      <c r="AE7" s="1616"/>
      <c r="AF7" s="1616"/>
      <c r="AG7" s="1616"/>
      <c r="AH7" s="1616"/>
      <c r="AI7" s="1616"/>
      <c r="AJ7" s="1616"/>
      <c r="AK7" s="1616"/>
      <c r="AL7" s="529"/>
    </row>
    <row r="8" spans="1:38">
      <c r="A8" s="529" t="s">
        <v>953</v>
      </c>
      <c r="O8" s="529"/>
      <c r="P8" s="529"/>
      <c r="Q8" s="529"/>
      <c r="R8" s="529"/>
      <c r="S8" s="529"/>
      <c r="T8" s="529"/>
      <c r="U8" s="529"/>
      <c r="V8" s="529"/>
      <c r="W8" s="529"/>
      <c r="X8" s="529"/>
      <c r="Y8" s="529"/>
      <c r="Z8" s="529"/>
      <c r="AB8" s="529"/>
      <c r="AC8" s="1616"/>
      <c r="AD8" s="1616"/>
      <c r="AE8" s="1616"/>
      <c r="AF8" s="1616"/>
      <c r="AG8" s="1616"/>
      <c r="AH8" s="1616"/>
      <c r="AI8" s="1616"/>
      <c r="AJ8" s="1616"/>
      <c r="AK8" s="1616"/>
      <c r="AL8" s="529"/>
    </row>
    <row r="9" spans="1:38" ht="15.75" customHeight="1">
      <c r="O9" s="529"/>
      <c r="P9" s="1616" t="str">
        <f>B37</f>
        <v>Show all work.</v>
      </c>
      <c r="Q9" s="1616"/>
      <c r="R9" s="1616"/>
      <c r="S9" s="1616"/>
      <c r="T9" s="1616"/>
      <c r="U9" s="1616"/>
      <c r="V9" s="1616"/>
      <c r="W9" s="1616"/>
      <c r="X9" s="1616"/>
      <c r="Y9" s="1616"/>
      <c r="Z9" s="1616"/>
      <c r="AB9" s="529"/>
      <c r="AC9" s="529"/>
      <c r="AD9" s="529"/>
      <c r="AE9" s="529"/>
      <c r="AF9" s="529"/>
      <c r="AG9" s="529"/>
      <c r="AH9" s="529"/>
      <c r="AI9" s="529"/>
      <c r="AJ9" s="529"/>
      <c r="AK9" s="529"/>
      <c r="AL9" s="529"/>
    </row>
    <row r="10" spans="1:38" ht="15.75" customHeight="1">
      <c r="B10" s="753" t="s">
        <v>952</v>
      </c>
      <c r="C10" s="1635">
        <v>25934</v>
      </c>
      <c r="D10" s="1635"/>
      <c r="E10" s="556"/>
      <c r="F10" s="556"/>
      <c r="G10" s="556"/>
      <c r="H10" s="556"/>
      <c r="I10" s="556"/>
      <c r="J10" s="556"/>
      <c r="K10" s="556"/>
      <c r="L10" s="556"/>
      <c r="O10" s="529"/>
      <c r="P10" s="540"/>
      <c r="Q10" s="540"/>
      <c r="R10" s="540"/>
      <c r="S10" s="540"/>
      <c r="T10" s="540"/>
      <c r="U10" s="540"/>
      <c r="V10" s="540"/>
      <c r="W10" s="540"/>
      <c r="X10" s="540"/>
      <c r="Y10" s="540"/>
      <c r="Z10" s="540"/>
      <c r="AB10" s="529"/>
      <c r="AC10" s="1616" t="str">
        <f>B54</f>
        <v>Show all work.</v>
      </c>
      <c r="AD10" s="1616"/>
      <c r="AE10" s="1616"/>
      <c r="AF10" s="1616"/>
      <c r="AG10" s="544"/>
      <c r="AH10" s="544"/>
      <c r="AI10" s="544"/>
      <c r="AJ10" s="544"/>
      <c r="AK10" s="544"/>
      <c r="AL10" s="544"/>
    </row>
    <row r="11" spans="1:38">
      <c r="B11" s="753" t="s">
        <v>951</v>
      </c>
      <c r="C11" s="1635">
        <v>40544</v>
      </c>
      <c r="D11" s="1635"/>
      <c r="E11" s="556"/>
      <c r="F11" s="556"/>
      <c r="G11" s="556"/>
      <c r="H11" s="556"/>
      <c r="I11" s="556"/>
      <c r="J11" s="556"/>
      <c r="K11" s="556"/>
      <c r="L11" s="556"/>
      <c r="AB11" s="529"/>
      <c r="AC11" s="541"/>
      <c r="AD11" s="540"/>
      <c r="AE11" s="540"/>
      <c r="AF11" s="540"/>
      <c r="AG11" s="540"/>
      <c r="AH11" s="540"/>
      <c r="AI11" s="540"/>
      <c r="AJ11" s="540"/>
      <c r="AK11" s="540"/>
      <c r="AL11" s="540"/>
    </row>
    <row r="12" spans="1:38">
      <c r="B12" s="763" t="s">
        <v>950</v>
      </c>
      <c r="C12" s="762">
        <v>2016</v>
      </c>
      <c r="D12" s="761">
        <v>800000</v>
      </c>
      <c r="E12" s="556"/>
      <c r="F12" s="556"/>
      <c r="G12" s="556"/>
      <c r="H12" s="556"/>
      <c r="I12" s="556"/>
      <c r="J12" s="556"/>
      <c r="K12" s="556"/>
      <c r="L12" s="556"/>
      <c r="AC12" s="800"/>
    </row>
    <row r="13" spans="1:38">
      <c r="B13" s="760"/>
      <c r="C13" s="759">
        <v>2017</v>
      </c>
      <c r="D13" s="758">
        <v>850000</v>
      </c>
      <c r="E13" s="556"/>
      <c r="F13" s="556"/>
      <c r="G13" s="556"/>
      <c r="H13" s="556"/>
      <c r="I13" s="556"/>
      <c r="J13" s="556"/>
      <c r="K13" s="556"/>
      <c r="L13" s="556"/>
      <c r="AG13" s="814"/>
      <c r="AH13" s="814"/>
    </row>
    <row r="14" spans="1:38">
      <c r="B14" s="760"/>
      <c r="C14" s="759">
        <v>2018</v>
      </c>
      <c r="D14" s="758">
        <v>900000</v>
      </c>
      <c r="E14" s="556"/>
      <c r="F14" s="556"/>
      <c r="G14" s="556"/>
      <c r="H14" s="556"/>
      <c r="I14" s="556"/>
      <c r="J14" s="556"/>
      <c r="K14" s="556"/>
      <c r="L14" s="556"/>
      <c r="AG14" s="813"/>
      <c r="AH14" s="813"/>
    </row>
    <row r="15" spans="1:38">
      <c r="B15" s="760"/>
      <c r="C15" s="759">
        <v>2019</v>
      </c>
      <c r="D15" s="758">
        <v>950000</v>
      </c>
      <c r="E15" s="556"/>
      <c r="F15" s="556"/>
      <c r="G15" s="556"/>
      <c r="H15" s="556"/>
      <c r="I15" s="556"/>
      <c r="J15" s="556"/>
      <c r="K15" s="556"/>
      <c r="L15" s="556"/>
    </row>
    <row r="16" spans="1:38">
      <c r="B16" s="757"/>
      <c r="C16" s="756">
        <v>2020</v>
      </c>
      <c r="D16" s="755">
        <v>1000000</v>
      </c>
      <c r="E16" s="556"/>
      <c r="F16" s="556"/>
      <c r="G16" s="556"/>
      <c r="H16" s="556"/>
      <c r="I16" s="556"/>
      <c r="J16" s="556"/>
      <c r="K16" s="556"/>
      <c r="L16" s="556"/>
      <c r="AG16" s="812"/>
      <c r="AH16" s="812"/>
    </row>
    <row r="18" spans="1:18">
      <c r="A18" s="1648" t="s">
        <v>1017</v>
      </c>
      <c r="B18" s="1648"/>
      <c r="C18" s="1648"/>
      <c r="D18" s="1648"/>
      <c r="E18" s="1648"/>
      <c r="F18" s="1648"/>
      <c r="G18" s="1648"/>
      <c r="H18" s="1648"/>
      <c r="I18" s="1648"/>
      <c r="J18" s="1648"/>
      <c r="K18" s="1648"/>
      <c r="L18" s="1648"/>
      <c r="M18" s="1648"/>
    </row>
    <row r="19" spans="1:18">
      <c r="A19" s="1648"/>
      <c r="B19" s="1648"/>
      <c r="C19" s="1648"/>
      <c r="D19" s="1648"/>
      <c r="E19" s="1648"/>
      <c r="F19" s="1648"/>
      <c r="G19" s="1648"/>
      <c r="H19" s="1648"/>
      <c r="I19" s="1648"/>
      <c r="J19" s="1648"/>
      <c r="K19" s="1648"/>
      <c r="L19" s="1648"/>
      <c r="M19" s="1648"/>
    </row>
    <row r="20" spans="1:18">
      <c r="A20" s="811"/>
      <c r="B20" s="811"/>
      <c r="C20" s="811"/>
      <c r="D20" s="811"/>
      <c r="E20" s="811"/>
      <c r="F20" s="811"/>
      <c r="G20" s="811"/>
      <c r="H20" s="811"/>
      <c r="I20" s="811"/>
      <c r="J20" s="811"/>
      <c r="K20" s="811"/>
      <c r="L20" s="811"/>
      <c r="M20" s="811"/>
    </row>
    <row r="21" spans="1:18">
      <c r="B21" s="753" t="s">
        <v>389</v>
      </c>
      <c r="C21" s="1636">
        <v>62</v>
      </c>
      <c r="D21" s="1636"/>
      <c r="G21" s="543"/>
      <c r="H21" s="543"/>
      <c r="I21" s="543"/>
      <c r="J21" s="543"/>
      <c r="K21" s="543"/>
      <c r="L21" s="543"/>
    </row>
    <row r="22" spans="1:18">
      <c r="B22" s="753" t="s">
        <v>340</v>
      </c>
      <c r="C22" s="1649" t="s">
        <v>59</v>
      </c>
      <c r="D22" s="1650"/>
      <c r="G22" s="543"/>
      <c r="H22" s="543"/>
      <c r="I22" s="543"/>
      <c r="J22" s="543"/>
      <c r="K22" s="543"/>
      <c r="L22" s="543"/>
    </row>
    <row r="23" spans="1:18">
      <c r="B23" s="753" t="s">
        <v>948</v>
      </c>
      <c r="C23" s="1626">
        <v>0.03</v>
      </c>
      <c r="D23" s="1626"/>
      <c r="G23" s="543"/>
      <c r="H23" s="543"/>
      <c r="I23" s="543"/>
      <c r="J23" s="543"/>
      <c r="K23" s="543"/>
      <c r="L23" s="543"/>
      <c r="R23" s="802"/>
    </row>
    <row r="24" spans="1:18">
      <c r="B24" s="753" t="s">
        <v>771</v>
      </c>
      <c r="C24" s="1626">
        <v>3.7499999999999999E-2</v>
      </c>
      <c r="D24" s="1626"/>
      <c r="R24" s="802"/>
    </row>
    <row r="25" spans="1:18">
      <c r="B25" s="753" t="s">
        <v>947</v>
      </c>
      <c r="C25" s="1631">
        <v>15.2</v>
      </c>
      <c r="D25" s="1631"/>
      <c r="R25" s="802"/>
    </row>
    <row r="26" spans="1:18">
      <c r="B26" s="754"/>
      <c r="C26" s="754"/>
      <c r="D26" s="754"/>
      <c r="R26" s="802"/>
    </row>
    <row r="27" spans="1:18">
      <c r="A27" s="810" t="s">
        <v>1016</v>
      </c>
      <c r="C27" s="754"/>
      <c r="D27" s="754"/>
      <c r="R27" s="802"/>
    </row>
    <row r="28" spans="1:18">
      <c r="B28" s="754"/>
      <c r="C28" s="754"/>
      <c r="D28" s="754"/>
      <c r="R28" s="802"/>
    </row>
    <row r="29" spans="1:18">
      <c r="B29" s="809" t="s">
        <v>1015</v>
      </c>
      <c r="C29" s="1646">
        <v>0</v>
      </c>
      <c r="D29" s="1646"/>
      <c r="R29" s="802"/>
    </row>
    <row r="30" spans="1:18">
      <c r="B30" s="809" t="s">
        <v>1014</v>
      </c>
      <c r="C30" s="1646">
        <v>60000</v>
      </c>
      <c r="D30" s="1646"/>
      <c r="R30" s="802"/>
    </row>
    <row r="31" spans="1:18">
      <c r="B31" s="809" t="s">
        <v>1013</v>
      </c>
      <c r="C31" s="1647">
        <v>700000</v>
      </c>
      <c r="D31" s="1647"/>
      <c r="R31" s="802"/>
    </row>
    <row r="32" spans="1:18">
      <c r="B32" s="809" t="s">
        <v>1012</v>
      </c>
      <c r="C32" s="1646">
        <v>7000</v>
      </c>
      <c r="D32" s="1646"/>
      <c r="R32" s="802"/>
    </row>
    <row r="33" spans="1:18">
      <c r="B33" s="754"/>
      <c r="C33" s="754"/>
      <c r="D33" s="754"/>
      <c r="R33" s="802"/>
    </row>
    <row r="34" spans="1:18" ht="15.75" customHeight="1">
      <c r="A34" s="529" t="s">
        <v>687</v>
      </c>
      <c r="B34" s="1616" t="s">
        <v>1011</v>
      </c>
      <c r="C34" s="1616"/>
      <c r="D34" s="1616"/>
      <c r="E34" s="1616"/>
      <c r="F34" s="1616"/>
      <c r="G34" s="1616"/>
      <c r="H34" s="1616"/>
      <c r="I34" s="1616"/>
      <c r="J34" s="1616"/>
      <c r="K34" s="1616"/>
      <c r="L34" s="1616"/>
      <c r="R34" s="802"/>
    </row>
    <row r="35" spans="1:18" ht="15.75" customHeight="1">
      <c r="B35" s="1616"/>
      <c r="C35" s="1616"/>
      <c r="D35" s="1616"/>
      <c r="E35" s="1616"/>
      <c r="F35" s="1616"/>
      <c r="G35" s="1616"/>
      <c r="H35" s="1616"/>
      <c r="I35" s="1616"/>
      <c r="J35" s="1616"/>
      <c r="K35" s="1616"/>
      <c r="L35" s="1616"/>
      <c r="R35" s="802"/>
    </row>
    <row r="36" spans="1:18" ht="15.75" customHeight="1">
      <c r="B36" s="540"/>
      <c r="C36" s="540"/>
      <c r="D36" s="540"/>
      <c r="E36" s="540"/>
      <c r="F36" s="540"/>
      <c r="G36" s="540"/>
      <c r="H36" s="540"/>
      <c r="I36" s="540"/>
      <c r="J36" s="540"/>
      <c r="K36" s="540"/>
      <c r="L36" s="540"/>
      <c r="R36" s="802"/>
    </row>
    <row r="37" spans="1:18">
      <c r="B37" s="541" t="s">
        <v>683</v>
      </c>
      <c r="C37" s="540"/>
      <c r="D37" s="540"/>
      <c r="E37" s="540"/>
      <c r="F37" s="540"/>
      <c r="G37" s="540"/>
      <c r="H37" s="540"/>
      <c r="I37" s="540"/>
      <c r="J37" s="540"/>
      <c r="K37" s="540"/>
      <c r="L37" s="540"/>
      <c r="R37" s="802"/>
    </row>
    <row r="38" spans="1:18" ht="16.2">
      <c r="B38" s="751" t="s">
        <v>32</v>
      </c>
      <c r="C38" s="540"/>
      <c r="D38" s="540"/>
      <c r="E38" s="540"/>
      <c r="F38" s="540"/>
      <c r="G38" s="540"/>
      <c r="H38" s="540"/>
      <c r="I38" s="540"/>
      <c r="J38" s="540"/>
      <c r="K38" s="540"/>
      <c r="L38" s="540"/>
      <c r="R38" s="802"/>
    </row>
    <row r="39" spans="1:18" ht="16.2">
      <c r="B39" s="751"/>
      <c r="C39" s="540"/>
      <c r="D39" s="540"/>
      <c r="E39" s="540"/>
      <c r="F39" s="540"/>
      <c r="G39" s="540"/>
      <c r="H39" s="540"/>
      <c r="I39" s="540"/>
      <c r="J39" s="540"/>
      <c r="K39" s="540"/>
      <c r="L39" s="540"/>
      <c r="R39" s="802"/>
    </row>
    <row r="40" spans="1:18" ht="15.75" customHeight="1">
      <c r="A40" s="1616" t="s">
        <v>945</v>
      </c>
      <c r="B40" s="1616"/>
      <c r="C40" s="1616"/>
      <c r="D40" s="1616"/>
      <c r="E40" s="1616"/>
      <c r="F40" s="1616"/>
      <c r="G40" s="1616"/>
      <c r="H40" s="1616"/>
      <c r="I40" s="1616"/>
      <c r="J40" s="1616"/>
      <c r="K40" s="1616"/>
      <c r="L40" s="1616"/>
      <c r="M40" s="1616"/>
      <c r="R40" s="802"/>
    </row>
    <row r="41" spans="1:18">
      <c r="A41" s="1616"/>
      <c r="B41" s="1616"/>
      <c r="C41" s="1616"/>
      <c r="D41" s="1616"/>
      <c r="E41" s="1616"/>
      <c r="F41" s="1616"/>
      <c r="G41" s="1616"/>
      <c r="H41" s="1616"/>
      <c r="I41" s="1616"/>
      <c r="J41" s="1616"/>
      <c r="K41" s="1616"/>
      <c r="L41" s="1616"/>
      <c r="M41" s="1616"/>
      <c r="R41" s="802"/>
    </row>
    <row r="42" spans="1:18" ht="16.2">
      <c r="B42" s="751"/>
      <c r="C42" s="540"/>
      <c r="D42" s="540"/>
      <c r="E42" s="540"/>
      <c r="F42" s="540"/>
      <c r="G42" s="540"/>
      <c r="H42" s="540"/>
      <c r="I42" s="540"/>
      <c r="J42" s="540"/>
      <c r="K42" s="540"/>
      <c r="L42" s="540"/>
      <c r="R42" s="802"/>
    </row>
    <row r="43" spans="1:18">
      <c r="A43" s="529" t="s">
        <v>1010</v>
      </c>
      <c r="C43" s="754"/>
      <c r="D43" s="754"/>
      <c r="R43" s="802"/>
    </row>
    <row r="44" spans="1:18">
      <c r="C44" s="754"/>
      <c r="D44" s="754"/>
      <c r="R44" s="802"/>
    </row>
    <row r="45" spans="1:18">
      <c r="B45" s="753" t="s">
        <v>771</v>
      </c>
      <c r="C45" s="1626">
        <v>3.2500000000000001E-2</v>
      </c>
      <c r="D45" s="1626"/>
      <c r="R45" s="802"/>
    </row>
    <row r="46" spans="1:18">
      <c r="B46" s="753" t="s">
        <v>943</v>
      </c>
      <c r="C46" s="1628">
        <v>16.100000000000001</v>
      </c>
      <c r="D46" s="1628"/>
      <c r="R46" s="802"/>
    </row>
    <row r="47" spans="1:18">
      <c r="B47" s="753" t="s">
        <v>942</v>
      </c>
      <c r="C47" s="1645">
        <v>257500</v>
      </c>
      <c r="D47" s="1645"/>
      <c r="R47" s="802"/>
    </row>
    <row r="48" spans="1:18">
      <c r="R48" s="802"/>
    </row>
    <row r="49" spans="1:18">
      <c r="A49" s="529" t="s">
        <v>1009</v>
      </c>
      <c r="R49" s="802"/>
    </row>
    <row r="50" spans="1:18">
      <c r="R50" s="802"/>
    </row>
    <row r="51" spans="1:18" ht="15.75" customHeight="1">
      <c r="A51" s="529" t="s">
        <v>6</v>
      </c>
      <c r="B51" s="1627" t="s">
        <v>1008</v>
      </c>
      <c r="C51" s="1627"/>
      <c r="D51" s="1627"/>
      <c r="E51" s="1627"/>
      <c r="F51" s="1627"/>
      <c r="G51" s="1627"/>
      <c r="H51" s="1627"/>
      <c r="I51" s="1627"/>
      <c r="J51" s="1627"/>
      <c r="K51" s="1627"/>
      <c r="L51" s="1627"/>
      <c r="M51" s="1627"/>
    </row>
    <row r="52" spans="1:18">
      <c r="B52" s="1627"/>
      <c r="C52" s="1627"/>
      <c r="D52" s="1627"/>
      <c r="E52" s="1627"/>
      <c r="F52" s="1627"/>
      <c r="G52" s="1627"/>
      <c r="H52" s="1627"/>
      <c r="I52" s="1627"/>
      <c r="J52" s="1627"/>
      <c r="K52" s="1627"/>
      <c r="L52" s="1627"/>
      <c r="M52" s="1627"/>
    </row>
    <row r="53" spans="1:18">
      <c r="B53" s="808"/>
      <c r="C53" s="808"/>
      <c r="D53" s="808"/>
      <c r="E53" s="808"/>
      <c r="F53" s="808"/>
      <c r="G53" s="808"/>
      <c r="H53" s="808"/>
      <c r="I53" s="808"/>
      <c r="J53" s="808"/>
      <c r="K53" s="808"/>
      <c r="L53" s="808"/>
      <c r="M53" s="808"/>
    </row>
    <row r="54" spans="1:18">
      <c r="B54" s="541" t="s">
        <v>683</v>
      </c>
      <c r="C54" s="808"/>
      <c r="D54" s="808"/>
      <c r="E54" s="808"/>
      <c r="F54" s="808"/>
      <c r="G54" s="808"/>
      <c r="H54" s="808"/>
      <c r="I54" s="808"/>
      <c r="J54" s="808"/>
      <c r="K54" s="808"/>
      <c r="L54" s="808"/>
      <c r="M54" s="808"/>
    </row>
    <row r="55" spans="1:18" ht="16.2">
      <c r="B55" s="751" t="s">
        <v>32</v>
      </c>
    </row>
    <row r="61" spans="1:18">
      <c r="Q61" s="804"/>
    </row>
    <row r="63" spans="1:18">
      <c r="Q63" s="804"/>
    </row>
    <row r="64" spans="1:18">
      <c r="Q64" s="804"/>
    </row>
    <row r="67" spans="17:17">
      <c r="Q67" s="802"/>
    </row>
    <row r="68" spans="17:17">
      <c r="Q68" s="804"/>
    </row>
    <row r="71" spans="17:17">
      <c r="Q71" s="802"/>
    </row>
    <row r="74" spans="17:17">
      <c r="Q74" s="804"/>
    </row>
    <row r="76" spans="17:17">
      <c r="Q76" s="804"/>
    </row>
    <row r="77" spans="17:17">
      <c r="Q77" s="804"/>
    </row>
    <row r="80" spans="17:17">
      <c r="Q80" s="804"/>
    </row>
    <row r="81" spans="17:17">
      <c r="Q81" s="804"/>
    </row>
    <row r="90" spans="17:17">
      <c r="Q90" s="804"/>
    </row>
    <row r="97" spans="17:17">
      <c r="Q97" s="804"/>
    </row>
    <row r="98" spans="17:17">
      <c r="Q98" s="804"/>
    </row>
    <row r="99" spans="17:17">
      <c r="Q99" s="804"/>
    </row>
    <row r="100" spans="17:17">
      <c r="Q100" s="804"/>
    </row>
    <row r="101" spans="17:17">
      <c r="Q101" s="804"/>
    </row>
    <row r="102" spans="17:17">
      <c r="Q102" s="804"/>
    </row>
    <row r="103" spans="17:17">
      <c r="Q103" s="804"/>
    </row>
    <row r="104" spans="17:17">
      <c r="Q104" s="804"/>
    </row>
    <row r="105" spans="17:17" ht="15.75" customHeight="1">
      <c r="Q105" s="804"/>
    </row>
    <row r="106" spans="17:17">
      <c r="Q106" s="804"/>
    </row>
    <row r="107" spans="17:17">
      <c r="Q107" s="804"/>
    </row>
    <row r="108" spans="17:17">
      <c r="Q108" s="804"/>
    </row>
    <row r="109" spans="17:17">
      <c r="Q109" s="804"/>
    </row>
    <row r="113" spans="16:16">
      <c r="P113" s="804"/>
    </row>
    <row r="121" spans="16:16">
      <c r="P121" s="804"/>
    </row>
    <row r="124" spans="16:16">
      <c r="P124" s="804"/>
    </row>
    <row r="127" spans="16:16">
      <c r="P127" s="804"/>
    </row>
    <row r="128" spans="16:16">
      <c r="P128" s="804"/>
    </row>
    <row r="129" spans="16:16">
      <c r="P129" s="804"/>
    </row>
    <row r="130" spans="16:16">
      <c r="P130" s="804"/>
    </row>
    <row r="131" spans="16:16">
      <c r="P131" s="804"/>
    </row>
    <row r="132" spans="16:16">
      <c r="P132" s="804"/>
    </row>
    <row r="133" spans="16:16">
      <c r="P133" s="804"/>
    </row>
    <row r="134" spans="16:16">
      <c r="P134" s="804"/>
    </row>
    <row r="135" spans="16:16">
      <c r="P135" s="804"/>
    </row>
    <row r="136" spans="16:16">
      <c r="P136" s="804"/>
    </row>
    <row r="137" spans="16:16">
      <c r="P137" s="804"/>
    </row>
    <row r="138" spans="16:16">
      <c r="P138" s="804"/>
    </row>
    <row r="139" spans="16:16">
      <c r="P139" s="804"/>
    </row>
    <row r="140" spans="16:16">
      <c r="P140" s="804"/>
    </row>
    <row r="141" spans="16:16">
      <c r="P141" s="804"/>
    </row>
    <row r="149" spans="17:18">
      <c r="R149" s="804"/>
    </row>
    <row r="151" spans="17:18">
      <c r="R151" s="804"/>
    </row>
    <row r="152" spans="17:18">
      <c r="R152" s="804"/>
    </row>
    <row r="155" spans="17:18">
      <c r="R155" s="802"/>
    </row>
    <row r="156" spans="17:18">
      <c r="R156" s="804"/>
    </row>
    <row r="159" spans="17:18">
      <c r="R159" s="802"/>
    </row>
    <row r="160" spans="17:18">
      <c r="Q160" s="804"/>
    </row>
    <row r="161" spans="17:20">
      <c r="Q161" s="804"/>
    </row>
    <row r="162" spans="17:20">
      <c r="Q162" s="804"/>
    </row>
    <row r="164" spans="17:20">
      <c r="Q164" s="807"/>
      <c r="R164" s="806"/>
      <c r="T164" s="806"/>
    </row>
    <row r="165" spans="17:20">
      <c r="S165" s="802"/>
    </row>
    <row r="166" spans="17:20">
      <c r="S166" s="802"/>
    </row>
    <row r="167" spans="17:20">
      <c r="S167" s="802"/>
    </row>
    <row r="168" spans="17:20">
      <c r="S168" s="802"/>
    </row>
    <row r="169" spans="17:20">
      <c r="S169" s="802"/>
    </row>
    <row r="170" spans="17:20">
      <c r="S170" s="802"/>
    </row>
    <row r="171" spans="17:20">
      <c r="S171" s="802"/>
    </row>
    <row r="173" spans="17:20">
      <c r="Q173" s="805"/>
      <c r="R173" s="804"/>
      <c r="S173" s="804"/>
    </row>
    <row r="174" spans="17:20">
      <c r="Q174" s="805"/>
      <c r="R174" s="804"/>
    </row>
    <row r="175" spans="17:20">
      <c r="Q175" s="805"/>
      <c r="R175" s="804"/>
      <c r="T175" s="804"/>
    </row>
    <row r="176" spans="17:20">
      <c r="Q176" s="805"/>
      <c r="R176" s="804"/>
      <c r="T176" s="804"/>
    </row>
    <row r="180" spans="16:16">
      <c r="P180" s="804"/>
    </row>
    <row r="188" spans="16:16">
      <c r="P188" s="804"/>
    </row>
    <row r="194" spans="16:17">
      <c r="Q194" s="804"/>
    </row>
    <row r="198" spans="16:17">
      <c r="P198" s="802"/>
    </row>
    <row r="199" spans="16:17">
      <c r="P199" s="802"/>
    </row>
    <row r="200" spans="16:17" ht="17.399999999999999">
      <c r="P200" s="803"/>
    </row>
    <row r="201" spans="16:17">
      <c r="P201" s="802"/>
    </row>
  </sheetData>
  <sheetProtection algorithmName="SHA-512" hashValue="mEhkdK5mMFca4IQI/+/wgDzU9/yPEHXOPaRh6VYpzTMGXEr4JVA4ebMZiDVRVawKXXCx1Xuim8/YXdIDA43Djg==" saltValue="64mUrabS3jKUkHRy5SYynA==" spinCount="100000" sheet="1" objects="1" scenarios="1" formatCells="0" formatColumns="0" formatRows="0" insertColumns="0" insertRows="0"/>
  <mergeCells count="22">
    <mergeCell ref="C11:D11"/>
    <mergeCell ref="A18:M19"/>
    <mergeCell ref="C21:D21"/>
    <mergeCell ref="C22:D22"/>
    <mergeCell ref="A5:M6"/>
    <mergeCell ref="AC7:AK8"/>
    <mergeCell ref="P9:Z9"/>
    <mergeCell ref="C10:D10"/>
    <mergeCell ref="AC10:AF10"/>
    <mergeCell ref="C46:D46"/>
    <mergeCell ref="C47:D47"/>
    <mergeCell ref="B51:M52"/>
    <mergeCell ref="C29:D29"/>
    <mergeCell ref="C30:D30"/>
    <mergeCell ref="C31:D31"/>
    <mergeCell ref="C32:D32"/>
    <mergeCell ref="B34:L35"/>
    <mergeCell ref="A40:M41"/>
    <mergeCell ref="C23:D23"/>
    <mergeCell ref="C24:D24"/>
    <mergeCell ref="C45:D45"/>
    <mergeCell ref="C25:D2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41123-A5B9-4FA0-A8FA-2BB684607016}">
  <dimension ref="A1:M40"/>
  <sheetViews>
    <sheetView workbookViewId="0"/>
  </sheetViews>
  <sheetFormatPr defaultColWidth="8.88671875" defaultRowHeight="15.6"/>
  <cols>
    <col min="1" max="1" width="3.5546875" style="172" customWidth="1"/>
    <col min="2" max="4" width="11.109375" style="172" customWidth="1"/>
    <col min="5" max="6" width="15.88671875" style="172" customWidth="1"/>
    <col min="7" max="7" width="11.109375" style="172" customWidth="1"/>
    <col min="8" max="9" width="8.88671875" style="172"/>
    <col min="10" max="10" width="2.5546875" style="172" customWidth="1"/>
    <col min="11" max="16384" width="8.88671875" style="4"/>
  </cols>
  <sheetData>
    <row r="1" spans="1:11">
      <c r="A1" s="172" t="s">
        <v>217</v>
      </c>
      <c r="K1" s="4" t="s">
        <v>217</v>
      </c>
    </row>
    <row r="2" spans="1:11">
      <c r="A2" s="172" t="s">
        <v>259</v>
      </c>
      <c r="K2" s="4" t="s">
        <v>259</v>
      </c>
    </row>
    <row r="3" spans="1:11" ht="18.45" customHeight="1">
      <c r="A3" s="174"/>
    </row>
    <row r="4" spans="1:11" ht="18.45" customHeight="1">
      <c r="A4" s="175"/>
      <c r="K4" s="4" t="s">
        <v>260</v>
      </c>
    </row>
    <row r="5" spans="1:11">
      <c r="A5" s="175"/>
      <c r="B5" s="176" t="s">
        <v>261</v>
      </c>
    </row>
    <row r="6" spans="1:11">
      <c r="A6" s="177"/>
    </row>
    <row r="7" spans="1:11">
      <c r="B7" s="179" t="s">
        <v>177</v>
      </c>
      <c r="C7" s="180"/>
    </row>
    <row r="8" spans="1:11" ht="15.75" customHeight="1">
      <c r="B8" s="1373" t="s">
        <v>222</v>
      </c>
      <c r="C8" s="1373"/>
      <c r="D8" s="1373"/>
      <c r="E8" s="1373" t="s">
        <v>262</v>
      </c>
      <c r="F8" s="1373"/>
      <c r="G8" s="1373"/>
      <c r="H8" s="1373"/>
    </row>
    <row r="9" spans="1:11" ht="15.75" customHeight="1">
      <c r="B9" s="1373" t="s">
        <v>224</v>
      </c>
      <c r="C9" s="1373"/>
      <c r="D9" s="1373"/>
      <c r="E9" s="1373" t="s">
        <v>42</v>
      </c>
      <c r="F9" s="1373"/>
      <c r="G9" s="1373"/>
      <c r="H9" s="1373"/>
    </row>
    <row r="10" spans="1:11">
      <c r="B10" s="1373" t="s">
        <v>225</v>
      </c>
      <c r="C10" s="1373"/>
      <c r="D10" s="1373"/>
      <c r="E10" s="1373" t="s">
        <v>181</v>
      </c>
      <c r="F10" s="1373"/>
      <c r="G10" s="1373"/>
      <c r="H10" s="1373"/>
    </row>
    <row r="11" spans="1:11" ht="15.75" customHeight="1">
      <c r="B11" s="1373" t="s">
        <v>228</v>
      </c>
      <c r="C11" s="1373"/>
      <c r="D11" s="1373"/>
      <c r="E11" s="1373" t="s">
        <v>263</v>
      </c>
      <c r="F11" s="1373"/>
      <c r="G11" s="1373"/>
      <c r="H11" s="1373"/>
    </row>
    <row r="13" spans="1:11">
      <c r="B13" s="179" t="s">
        <v>230</v>
      </c>
      <c r="C13" s="180"/>
      <c r="D13" s="180"/>
      <c r="E13" s="180"/>
    </row>
    <row r="14" spans="1:11">
      <c r="B14" s="1378" t="s">
        <v>264</v>
      </c>
      <c r="C14" s="1378"/>
      <c r="D14" s="1378"/>
      <c r="E14" s="200">
        <v>0.05</v>
      </c>
    </row>
    <row r="15" spans="1:11">
      <c r="B15" s="187" t="s">
        <v>265</v>
      </c>
      <c r="C15" s="201"/>
      <c r="D15" s="187"/>
      <c r="E15" s="202">
        <v>3.5000000000000003E-2</v>
      </c>
    </row>
    <row r="16" spans="1:11">
      <c r="B16" s="1379" t="s">
        <v>235</v>
      </c>
      <c r="C16" s="1380"/>
      <c r="D16" s="1381"/>
      <c r="E16" s="203">
        <v>65</v>
      </c>
    </row>
    <row r="17" spans="2:13">
      <c r="B17" s="1382" t="s">
        <v>266</v>
      </c>
      <c r="C17" s="1383"/>
      <c r="D17" s="1384"/>
      <c r="E17" s="1391" t="s">
        <v>267</v>
      </c>
    </row>
    <row r="18" spans="2:13">
      <c r="B18" s="1385"/>
      <c r="C18" s="1386"/>
      <c r="D18" s="1387"/>
      <c r="E18" s="1392"/>
    </row>
    <row r="19" spans="2:13">
      <c r="B19" s="1388"/>
      <c r="C19" s="1389"/>
      <c r="D19" s="1390"/>
      <c r="E19" s="1393"/>
    </row>
    <row r="20" spans="2:13">
      <c r="B20" s="1379" t="s">
        <v>268</v>
      </c>
      <c r="C20" s="1380"/>
      <c r="D20" s="1381"/>
      <c r="E20" s="203" t="s">
        <v>59</v>
      </c>
    </row>
    <row r="21" spans="2:13">
      <c r="B21" s="1374" t="s">
        <v>237</v>
      </c>
      <c r="C21" s="1374"/>
      <c r="D21" s="1374"/>
      <c r="E21" s="203" t="s">
        <v>269</v>
      </c>
    </row>
    <row r="23" spans="2:13">
      <c r="B23" s="179" t="s">
        <v>270</v>
      </c>
      <c r="C23" s="180"/>
    </row>
    <row r="24" spans="2:13">
      <c r="B24" s="204" t="s">
        <v>271</v>
      </c>
      <c r="C24" s="205">
        <v>13.5</v>
      </c>
    </row>
    <row r="26" spans="2:13">
      <c r="B26" s="179" t="s">
        <v>239</v>
      </c>
      <c r="C26" s="180"/>
      <c r="D26" s="180"/>
    </row>
    <row r="27" spans="2:13">
      <c r="B27" s="1397"/>
      <c r="C27" s="1398"/>
      <c r="D27" s="1398"/>
      <c r="E27" s="1399"/>
      <c r="F27" s="206" t="s">
        <v>67</v>
      </c>
      <c r="G27" s="206" t="s">
        <v>68</v>
      </c>
      <c r="K27" s="207"/>
      <c r="L27" s="207"/>
      <c r="M27" s="207"/>
    </row>
    <row r="28" spans="2:13">
      <c r="B28" s="1394" t="s">
        <v>272</v>
      </c>
      <c r="C28" s="1395"/>
      <c r="D28" s="1395"/>
      <c r="E28" s="1396"/>
      <c r="F28" s="208">
        <v>55</v>
      </c>
      <c r="G28" s="208">
        <v>45</v>
      </c>
      <c r="K28" s="207"/>
      <c r="L28" s="207"/>
      <c r="M28" s="207"/>
    </row>
    <row r="29" spans="2:13" ht="15.75" customHeight="1">
      <c r="B29" s="1394" t="s">
        <v>273</v>
      </c>
      <c r="C29" s="1395"/>
      <c r="D29" s="1395"/>
      <c r="E29" s="1396"/>
      <c r="F29" s="208">
        <v>15</v>
      </c>
      <c r="G29" s="208">
        <v>10</v>
      </c>
      <c r="K29" s="207"/>
      <c r="L29" s="207"/>
      <c r="M29" s="207"/>
    </row>
    <row r="30" spans="2:13" ht="15.75" customHeight="1">
      <c r="B30" s="1394" t="s">
        <v>241</v>
      </c>
      <c r="C30" s="1395"/>
      <c r="D30" s="1395"/>
      <c r="E30" s="1396"/>
      <c r="F30" s="209">
        <v>80000</v>
      </c>
      <c r="G30" s="209">
        <v>60000</v>
      </c>
      <c r="K30" s="207"/>
      <c r="L30" s="207"/>
      <c r="M30" s="207"/>
    </row>
    <row r="31" spans="2:13" ht="15.75" customHeight="1">
      <c r="B31" s="1394" t="s">
        <v>274</v>
      </c>
      <c r="C31" s="1395"/>
      <c r="D31" s="1395"/>
      <c r="E31" s="1396"/>
      <c r="F31" s="209">
        <v>20000</v>
      </c>
      <c r="G31" s="209">
        <v>10000</v>
      </c>
      <c r="K31" s="207"/>
      <c r="L31" s="207"/>
      <c r="M31" s="207"/>
    </row>
    <row r="33" spans="1:9">
      <c r="A33" s="172" t="s">
        <v>246</v>
      </c>
      <c r="B33" s="176" t="s">
        <v>247</v>
      </c>
      <c r="C33" s="172" t="s">
        <v>275</v>
      </c>
    </row>
    <row r="35" spans="1:9">
      <c r="C35" s="1375" t="s">
        <v>249</v>
      </c>
      <c r="D35" s="1375"/>
      <c r="E35" s="1375"/>
      <c r="F35" s="1375"/>
      <c r="G35" s="1375"/>
      <c r="H35" s="1375"/>
      <c r="I35" s="1375"/>
    </row>
    <row r="37" spans="1:9">
      <c r="A37" s="172" t="s">
        <v>6</v>
      </c>
      <c r="B37" s="176" t="s">
        <v>276</v>
      </c>
      <c r="C37" s="172" t="s">
        <v>277</v>
      </c>
    </row>
    <row r="38" spans="1:9">
      <c r="C38" s="172" t="s">
        <v>278</v>
      </c>
    </row>
    <row r="40" spans="1:9">
      <c r="C40" s="1375" t="s">
        <v>249</v>
      </c>
      <c r="D40" s="1375"/>
      <c r="E40" s="1375"/>
      <c r="F40" s="1375"/>
      <c r="G40" s="1375"/>
      <c r="H40" s="1375"/>
      <c r="I40" s="1375"/>
    </row>
  </sheetData>
  <mergeCells count="21">
    <mergeCell ref="B31:E31"/>
    <mergeCell ref="C35:I35"/>
    <mergeCell ref="C40:I40"/>
    <mergeCell ref="B20:D20"/>
    <mergeCell ref="B21:D21"/>
    <mergeCell ref="B27:E27"/>
    <mergeCell ref="B28:E28"/>
    <mergeCell ref="B29:E29"/>
    <mergeCell ref="B30:E30"/>
    <mergeCell ref="B11:D11"/>
    <mergeCell ref="E11:H11"/>
    <mergeCell ref="B14:D14"/>
    <mergeCell ref="B16:D16"/>
    <mergeCell ref="B17:D19"/>
    <mergeCell ref="E17:E19"/>
    <mergeCell ref="B8:D8"/>
    <mergeCell ref="E8:H8"/>
    <mergeCell ref="B9:D9"/>
    <mergeCell ref="E9:H9"/>
    <mergeCell ref="B10:D10"/>
    <mergeCell ref="E10:H10"/>
  </mergeCells>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5121" r:id="rId4">
          <objectPr defaultSize="0" autoPict="0" r:id="rId5">
            <anchor moveWithCells="1" sizeWithCells="1">
              <from>
                <xdr:col>1</xdr:col>
                <xdr:colOff>0</xdr:colOff>
                <xdr:row>23</xdr:row>
                <xdr:rowOff>0</xdr:rowOff>
              </from>
              <to>
                <xdr:col>1</xdr:col>
                <xdr:colOff>274320</xdr:colOff>
                <xdr:row>24</xdr:row>
                <xdr:rowOff>68580</xdr:rowOff>
              </to>
            </anchor>
          </objectPr>
        </oleObject>
      </mc:Choice>
      <mc:Fallback>
        <oleObject progId="Equation.DSMT4" shapeId="5121" r:id="rId4"/>
      </mc:Fallback>
    </mc:AlternateContent>
  </oleObjec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933FA-795A-4D0F-9A72-F1D2886EC849}">
  <dimension ref="A1:AM201"/>
  <sheetViews>
    <sheetView zoomScale="80" zoomScaleNormal="80" workbookViewId="0">
      <selection sqref="A1:XFD1048576"/>
    </sheetView>
  </sheetViews>
  <sheetFormatPr defaultRowHeight="15.6"/>
  <cols>
    <col min="1" max="1" width="3.6640625" style="2" customWidth="1"/>
    <col min="2" max="2" width="36.44140625" style="2" customWidth="1"/>
    <col min="3" max="4" width="14.109375" style="2" customWidth="1"/>
    <col min="5" max="5" width="6.88671875" style="2" bestFit="1" customWidth="1"/>
    <col min="6" max="6" width="10" style="2" hidden="1" customWidth="1"/>
    <col min="7" max="7" width="6.88671875" style="2" hidden="1" customWidth="1"/>
    <col min="8" max="8" width="10" style="2" hidden="1" customWidth="1"/>
    <col min="9" max="9" width="6.88671875" style="2" hidden="1" customWidth="1"/>
    <col min="10" max="10" width="10" style="2" hidden="1" customWidth="1"/>
    <col min="11" max="11" width="6.88671875" style="2" hidden="1" customWidth="1"/>
    <col min="12" max="12" width="10" style="2" hidden="1" customWidth="1"/>
    <col min="13" max="13" width="7.88671875" style="2" customWidth="1"/>
    <col min="14" max="14" width="1" style="3" customWidth="1"/>
    <col min="15" max="15" width="4.88671875" customWidth="1"/>
    <col min="16" max="16" width="31.33203125" customWidth="1"/>
    <col min="17" max="17" width="17.33203125" customWidth="1"/>
    <col min="18" max="18" width="13.44140625" customWidth="1"/>
    <col min="19" max="19" width="12.5546875" bestFit="1" customWidth="1"/>
    <col min="20" max="20" width="15" customWidth="1"/>
    <col min="22" max="22" width="11" customWidth="1"/>
    <col min="24" max="26" width="14.6640625" customWidth="1"/>
    <col min="27" max="27" width="1" style="3" customWidth="1"/>
    <col min="28" max="28" width="4.88671875" customWidth="1"/>
    <col min="29" max="29" width="34.5546875" style="120" customWidth="1"/>
    <col min="30" max="30" width="14.33203125" bestFit="1" customWidth="1"/>
    <col min="31" max="31" width="17.33203125" bestFit="1" customWidth="1"/>
    <col min="32" max="32" width="15" customWidth="1"/>
    <col min="33" max="33" width="22.5546875" customWidth="1"/>
    <col min="34" max="34" width="15.5546875" bestFit="1" customWidth="1"/>
    <col min="36" max="36" width="10" customWidth="1"/>
    <col min="38" max="38" width="12.44140625" customWidth="1"/>
    <col min="39" max="39" width="1" style="3" customWidth="1"/>
  </cols>
  <sheetData>
    <row r="1" spans="1:38">
      <c r="A1" s="1" t="s">
        <v>744</v>
      </c>
      <c r="O1" s="1" t="s">
        <v>744</v>
      </c>
      <c r="P1" s="2"/>
      <c r="Q1" s="2"/>
      <c r="R1" s="2"/>
      <c r="S1" s="2"/>
      <c r="T1" s="2"/>
      <c r="U1" s="2"/>
      <c r="V1" s="2"/>
      <c r="W1" s="2"/>
      <c r="X1" s="2"/>
      <c r="Y1" s="2"/>
      <c r="Z1" s="2"/>
      <c r="AB1" s="1" t="s">
        <v>744</v>
      </c>
      <c r="AC1" s="2"/>
      <c r="AD1" s="2"/>
      <c r="AE1" s="2"/>
      <c r="AF1" s="2"/>
      <c r="AG1" s="2"/>
      <c r="AH1" s="2"/>
      <c r="AI1" s="2"/>
      <c r="AJ1" s="2"/>
      <c r="AK1" s="2"/>
      <c r="AL1" s="2"/>
    </row>
    <row r="2" spans="1:38">
      <c r="A2" s="1" t="s">
        <v>1</v>
      </c>
      <c r="O2" s="1" t="s">
        <v>1</v>
      </c>
      <c r="P2" s="2"/>
      <c r="Q2" s="2"/>
      <c r="R2" s="2"/>
      <c r="S2" s="2"/>
      <c r="T2" s="2"/>
      <c r="U2" s="2"/>
      <c r="V2" s="2"/>
      <c r="W2" s="2"/>
      <c r="X2" s="2"/>
      <c r="Y2" s="2"/>
      <c r="Z2" s="2"/>
      <c r="AB2" s="1" t="s">
        <v>1</v>
      </c>
      <c r="AC2" s="2"/>
      <c r="AD2" s="2"/>
      <c r="AE2" s="2"/>
      <c r="AF2" s="2"/>
      <c r="AG2" s="2"/>
      <c r="AH2" s="2"/>
      <c r="AI2" s="2"/>
      <c r="AJ2" s="2"/>
      <c r="AK2" s="2"/>
      <c r="AL2" s="2"/>
    </row>
    <row r="3" spans="1:38">
      <c r="A3" s="1" t="s">
        <v>464</v>
      </c>
      <c r="O3" s="1" t="s">
        <v>464</v>
      </c>
      <c r="P3" s="2"/>
      <c r="Q3" s="2"/>
      <c r="R3" s="2"/>
      <c r="S3" s="2"/>
      <c r="T3" s="2"/>
      <c r="U3" s="2"/>
      <c r="V3" s="2"/>
      <c r="W3" s="2"/>
      <c r="X3" s="2"/>
      <c r="Y3" s="2"/>
      <c r="Z3" s="2"/>
      <c r="AB3" s="1" t="s">
        <v>464</v>
      </c>
      <c r="AC3" s="2"/>
      <c r="AD3" s="2"/>
      <c r="AE3" s="2"/>
      <c r="AF3" s="2"/>
      <c r="AG3" s="2"/>
      <c r="AH3" s="2"/>
      <c r="AI3" s="2"/>
      <c r="AJ3" s="2"/>
      <c r="AK3" s="2"/>
      <c r="AL3" s="2"/>
    </row>
    <row r="4" spans="1:38">
      <c r="O4" s="2"/>
      <c r="P4" s="2"/>
      <c r="Q4" s="2"/>
      <c r="R4" s="2"/>
      <c r="S4" s="2"/>
      <c r="T4" s="2"/>
      <c r="U4" s="2"/>
      <c r="V4" s="2"/>
      <c r="W4" s="2"/>
      <c r="X4" s="2"/>
      <c r="Y4" s="2"/>
      <c r="Z4" s="2"/>
      <c r="AB4" s="2"/>
      <c r="AC4" s="2"/>
      <c r="AD4" s="2"/>
      <c r="AE4" s="2"/>
      <c r="AF4" s="2"/>
      <c r="AG4" s="2"/>
      <c r="AH4" s="2"/>
      <c r="AI4" s="2"/>
      <c r="AJ4" s="2"/>
      <c r="AK4" s="2"/>
      <c r="AL4" s="2"/>
    </row>
    <row r="5" spans="1:38" ht="16.2">
      <c r="A5" s="1639" t="s">
        <v>954</v>
      </c>
      <c r="B5" s="1639"/>
      <c r="C5" s="1639"/>
      <c r="D5" s="1639"/>
      <c r="E5" s="1639"/>
      <c r="F5" s="1639"/>
      <c r="G5" s="1639"/>
      <c r="H5" s="1639"/>
      <c r="I5" s="1639"/>
      <c r="J5" s="1639"/>
      <c r="K5" s="1639"/>
      <c r="L5" s="1639"/>
      <c r="M5" s="1639"/>
      <c r="O5" s="6" t="s">
        <v>4</v>
      </c>
      <c r="P5" s="2"/>
      <c r="Q5" s="2"/>
      <c r="R5" s="2"/>
      <c r="S5" s="2"/>
      <c r="T5" s="2"/>
      <c r="U5" s="2"/>
      <c r="V5" s="2"/>
      <c r="W5" s="2"/>
      <c r="X5" s="2"/>
      <c r="Y5" s="2"/>
      <c r="Z5" s="2"/>
      <c r="AB5" s="6" t="s">
        <v>4</v>
      </c>
      <c r="AC5" s="2"/>
      <c r="AD5" s="2"/>
      <c r="AE5" s="2"/>
      <c r="AF5" s="2"/>
      <c r="AG5" s="2"/>
      <c r="AH5" s="2"/>
      <c r="AI5" s="2"/>
      <c r="AJ5" s="2"/>
      <c r="AK5" s="2"/>
      <c r="AL5" s="2"/>
    </row>
    <row r="6" spans="1:38">
      <c r="A6" s="1639"/>
      <c r="B6" s="1639"/>
      <c r="C6" s="1639"/>
      <c r="D6" s="1639"/>
      <c r="E6" s="1639"/>
      <c r="F6" s="1639"/>
      <c r="G6" s="1639"/>
      <c r="H6" s="1639"/>
      <c r="I6" s="1639"/>
      <c r="J6" s="1639"/>
      <c r="K6" s="1639"/>
      <c r="L6" s="1639"/>
      <c r="M6" s="1639"/>
      <c r="O6" s="2"/>
      <c r="P6" s="2"/>
      <c r="Q6" s="2"/>
      <c r="R6" s="2"/>
      <c r="S6" s="2"/>
      <c r="T6" s="2"/>
      <c r="U6" s="2"/>
      <c r="V6" s="2"/>
      <c r="W6" s="2"/>
      <c r="X6" s="2"/>
      <c r="Y6" s="2"/>
      <c r="Z6" s="2"/>
      <c r="AB6" s="2"/>
      <c r="AC6" s="2"/>
      <c r="AD6" s="2"/>
      <c r="AE6" s="2"/>
      <c r="AF6" s="2"/>
      <c r="AG6" s="2"/>
      <c r="AH6" s="2"/>
      <c r="AI6" s="2"/>
      <c r="AJ6" s="2"/>
      <c r="AK6" s="2"/>
      <c r="AL6" s="2"/>
    </row>
    <row r="7" spans="1:38" ht="15.75" customHeight="1">
      <c r="A7" s="6"/>
      <c r="O7" s="2" t="s">
        <v>687</v>
      </c>
      <c r="P7" s="2" t="str">
        <f>B34</f>
        <v>(7 points)  Calculate the 2021 Net Periodic Pension Cost for the SRP under ASC 715.</v>
      </c>
      <c r="Q7" s="2"/>
      <c r="R7" s="2"/>
      <c r="S7" s="2"/>
      <c r="T7" s="2"/>
      <c r="U7" s="2"/>
      <c r="V7" s="2"/>
      <c r="W7" s="2"/>
      <c r="X7" s="2"/>
      <c r="Y7" s="2"/>
      <c r="Z7" s="2"/>
      <c r="AB7" s="2" t="str">
        <f>A51</f>
        <v>(b)</v>
      </c>
      <c r="AC7" s="1462" t="str">
        <f>B51</f>
        <v xml:space="preserve">(8 points)  Calculate the revised 2021 Net Periodic Pension Cost for the SRP under ASC 715 reflecting the plan freeze.  
</v>
      </c>
      <c r="AD7" s="1462"/>
      <c r="AE7" s="1462"/>
      <c r="AF7" s="1462"/>
      <c r="AG7" s="1462"/>
      <c r="AH7" s="1462"/>
      <c r="AI7" s="1462"/>
      <c r="AJ7" s="1462"/>
      <c r="AK7" s="1462"/>
      <c r="AL7" s="2"/>
    </row>
    <row r="8" spans="1:38">
      <c r="A8" s="2" t="s">
        <v>953</v>
      </c>
      <c r="O8" s="2"/>
      <c r="P8" s="2"/>
      <c r="Q8" s="2"/>
      <c r="R8" s="2"/>
      <c r="S8" s="2"/>
      <c r="T8" s="2"/>
      <c r="U8" s="2"/>
      <c r="V8" s="2"/>
      <c r="W8" s="2"/>
      <c r="X8" s="2"/>
      <c r="Y8" s="2"/>
      <c r="Z8" s="2"/>
      <c r="AB8" s="2"/>
      <c r="AC8" s="1462"/>
      <c r="AD8" s="1462"/>
      <c r="AE8" s="1462"/>
      <c r="AF8" s="1462"/>
      <c r="AG8" s="1462"/>
      <c r="AH8" s="1462"/>
      <c r="AI8" s="1462"/>
      <c r="AJ8" s="1462"/>
      <c r="AK8" s="1462"/>
      <c r="AL8" s="2"/>
    </row>
    <row r="9" spans="1:38" ht="15.75" customHeight="1">
      <c r="O9" s="2"/>
      <c r="P9" s="1462" t="str">
        <f>B37</f>
        <v>Show all work.</v>
      </c>
      <c r="Q9" s="1462"/>
      <c r="R9" s="1462"/>
      <c r="S9" s="1462"/>
      <c r="T9" s="1462"/>
      <c r="U9" s="1462"/>
      <c r="V9" s="1462"/>
      <c r="W9" s="1462"/>
      <c r="X9" s="1462"/>
      <c r="Y9" s="1462"/>
      <c r="Z9" s="1462"/>
      <c r="AB9" s="2"/>
      <c r="AC9" s="2"/>
      <c r="AD9" s="2"/>
      <c r="AE9" s="2"/>
      <c r="AF9" s="2"/>
      <c r="AG9" s="2"/>
      <c r="AH9" s="2"/>
      <c r="AI9" s="2"/>
      <c r="AJ9" s="2"/>
      <c r="AK9" s="2"/>
      <c r="AL9" s="2"/>
    </row>
    <row r="10" spans="1:38" ht="15.75" customHeight="1">
      <c r="B10" s="680" t="s">
        <v>952</v>
      </c>
      <c r="C10" s="1640">
        <v>25934</v>
      </c>
      <c r="D10" s="1640"/>
      <c r="E10" s="593"/>
      <c r="F10" s="593"/>
      <c r="G10" s="593"/>
      <c r="H10" s="593"/>
      <c r="I10" s="593"/>
      <c r="J10" s="593"/>
      <c r="K10" s="593"/>
      <c r="L10" s="593"/>
      <c r="O10" s="2"/>
      <c r="P10" s="5"/>
      <c r="Q10" s="5"/>
      <c r="R10" s="5"/>
      <c r="S10" s="5"/>
      <c r="T10" s="5"/>
      <c r="U10" s="5"/>
      <c r="V10" s="5"/>
      <c r="W10" s="5"/>
      <c r="X10" s="5"/>
      <c r="Y10" s="5"/>
      <c r="Z10" s="5"/>
      <c r="AB10" s="2"/>
      <c r="AC10" s="1462" t="str">
        <f>B54</f>
        <v>Show all work.</v>
      </c>
      <c r="AD10" s="1462"/>
      <c r="AE10" s="1462"/>
      <c r="AF10" s="1462"/>
      <c r="AG10" s="9"/>
      <c r="AH10" s="9"/>
      <c r="AI10" s="9"/>
      <c r="AJ10" s="9"/>
      <c r="AK10" s="9"/>
      <c r="AL10" s="9"/>
    </row>
    <row r="11" spans="1:38">
      <c r="B11" s="680" t="s">
        <v>951</v>
      </c>
      <c r="C11" s="1640">
        <v>40544</v>
      </c>
      <c r="D11" s="1640"/>
      <c r="E11" s="593"/>
      <c r="F11" s="593"/>
      <c r="G11" s="593"/>
      <c r="H11" s="593"/>
      <c r="I11" s="593"/>
      <c r="J11" s="593"/>
      <c r="K11" s="593"/>
      <c r="L11" s="593"/>
      <c r="AB11" s="2"/>
      <c r="AC11" s="28"/>
      <c r="AD11" s="5"/>
      <c r="AE11" s="5"/>
      <c r="AF11" s="5"/>
      <c r="AG11" s="5"/>
      <c r="AH11" s="5"/>
      <c r="AI11" s="5"/>
      <c r="AJ11" s="5"/>
      <c r="AK11" s="5"/>
      <c r="AL11" s="5"/>
    </row>
    <row r="12" spans="1:38">
      <c r="B12" s="798" t="s">
        <v>950</v>
      </c>
      <c r="C12" s="797">
        <v>2016</v>
      </c>
      <c r="D12" s="796">
        <v>800000</v>
      </c>
      <c r="E12" s="593"/>
      <c r="F12" s="593"/>
      <c r="G12" s="593"/>
      <c r="H12" s="593"/>
      <c r="I12" s="593"/>
      <c r="J12" s="593"/>
      <c r="K12" s="593"/>
      <c r="L12" s="593"/>
      <c r="O12" s="398"/>
      <c r="P12" s="398"/>
      <c r="Q12" s="398"/>
      <c r="AB12" s="398"/>
      <c r="AC12" s="398"/>
      <c r="AD12" s="844" t="s">
        <v>1007</v>
      </c>
      <c r="AE12" s="843" t="s">
        <v>1006</v>
      </c>
      <c r="AF12" s="843" t="s">
        <v>440</v>
      </c>
      <c r="AG12" s="398"/>
      <c r="AH12" s="398"/>
      <c r="AI12" s="398"/>
      <c r="AJ12" s="398"/>
    </row>
    <row r="13" spans="1:38">
      <c r="B13" s="793"/>
      <c r="C13" s="792">
        <v>2017</v>
      </c>
      <c r="D13" s="791">
        <v>850000</v>
      </c>
      <c r="E13" s="593"/>
      <c r="F13" s="593"/>
      <c r="G13" s="593"/>
      <c r="H13" s="593"/>
      <c r="I13" s="593"/>
      <c r="J13" s="593"/>
      <c r="K13" s="593"/>
      <c r="L13" s="593"/>
      <c r="O13" s="398"/>
      <c r="P13" s="398" t="s">
        <v>1005</v>
      </c>
      <c r="Q13" s="397">
        <f>Q67*(1+C24)</f>
        <v>242328.98136833834</v>
      </c>
      <c r="R13" s="778"/>
      <c r="AB13" s="398"/>
      <c r="AC13" s="398" t="s">
        <v>1005</v>
      </c>
      <c r="AD13" s="397">
        <f>Q13/4</f>
        <v>60582.245342084585</v>
      </c>
      <c r="AE13" s="842">
        <v>0</v>
      </c>
      <c r="AF13" s="397">
        <f t="shared" ref="AF13:AF20" si="0">AE13+AD13</f>
        <v>60582.245342084585</v>
      </c>
      <c r="AG13" s="398"/>
      <c r="AH13" s="398"/>
      <c r="AI13" s="398"/>
      <c r="AJ13" s="398"/>
    </row>
    <row r="14" spans="1:38">
      <c r="B14" s="793"/>
      <c r="C14" s="792">
        <v>2018</v>
      </c>
      <c r="D14" s="791">
        <v>900000</v>
      </c>
      <c r="E14" s="593"/>
      <c r="F14" s="593"/>
      <c r="G14" s="593"/>
      <c r="H14" s="593"/>
      <c r="I14" s="593"/>
      <c r="J14" s="593"/>
      <c r="K14" s="593"/>
      <c r="L14" s="593"/>
      <c r="O14" s="398"/>
      <c r="P14" s="398" t="s">
        <v>1041</v>
      </c>
      <c r="Q14" s="397">
        <f>Q55*C24</f>
        <v>87588.788446387363</v>
      </c>
      <c r="R14" s="778"/>
      <c r="AB14" s="398"/>
      <c r="AC14" s="398" t="s">
        <v>1041</v>
      </c>
      <c r="AD14" s="397">
        <f>Q14/4</f>
        <v>21897.197111596841</v>
      </c>
      <c r="AE14" s="842">
        <f>-0.75*AH25*C45</f>
        <v>41045.182864901239</v>
      </c>
      <c r="AF14" s="397">
        <f t="shared" si="0"/>
        <v>62942.379976498079</v>
      </c>
      <c r="AG14" s="398"/>
      <c r="AH14" s="398"/>
      <c r="AI14" s="398"/>
      <c r="AJ14" s="398"/>
    </row>
    <row r="15" spans="1:38">
      <c r="B15" s="793"/>
      <c r="C15" s="792">
        <v>2019</v>
      </c>
      <c r="D15" s="791">
        <v>950000</v>
      </c>
      <c r="E15" s="593"/>
      <c r="F15" s="593"/>
      <c r="G15" s="593"/>
      <c r="H15" s="593"/>
      <c r="I15" s="593"/>
      <c r="J15" s="593"/>
      <c r="K15" s="593"/>
      <c r="L15" s="593"/>
      <c r="O15" s="398"/>
      <c r="P15" s="398" t="s">
        <v>770</v>
      </c>
      <c r="Q15" s="397">
        <v>0</v>
      </c>
      <c r="AB15" s="398"/>
      <c r="AC15" s="398" t="s">
        <v>770</v>
      </c>
      <c r="AD15" s="397">
        <f>Q15/4</f>
        <v>0</v>
      </c>
      <c r="AE15" s="840">
        <v>0</v>
      </c>
      <c r="AF15" s="397">
        <f t="shared" si="0"/>
        <v>0</v>
      </c>
      <c r="AG15" s="398"/>
      <c r="AH15" s="398"/>
      <c r="AI15" s="398"/>
      <c r="AJ15" s="398"/>
    </row>
    <row r="16" spans="1:38">
      <c r="B16" s="789"/>
      <c r="C16" s="788">
        <v>2020</v>
      </c>
      <c r="D16" s="787">
        <v>1000000</v>
      </c>
      <c r="E16" s="593"/>
      <c r="F16" s="593"/>
      <c r="G16" s="593"/>
      <c r="H16" s="593"/>
      <c r="I16" s="593"/>
      <c r="J16" s="593"/>
      <c r="K16" s="593"/>
      <c r="L16" s="593"/>
      <c r="O16" s="398"/>
      <c r="P16" s="398" t="s">
        <v>1040</v>
      </c>
      <c r="Q16" s="397"/>
      <c r="AB16" s="398"/>
      <c r="AC16" s="398" t="s">
        <v>1040</v>
      </c>
      <c r="AD16" s="398"/>
      <c r="AE16" s="840"/>
      <c r="AF16" s="397">
        <f t="shared" si="0"/>
        <v>0</v>
      </c>
      <c r="AG16" s="398"/>
      <c r="AH16" s="398"/>
      <c r="AI16" s="398"/>
      <c r="AJ16" s="398"/>
    </row>
    <row r="17" spans="1:36">
      <c r="O17" s="398"/>
      <c r="P17" s="841" t="s">
        <v>1039</v>
      </c>
      <c r="Q17" s="397">
        <v>0</v>
      </c>
      <c r="AB17" s="398"/>
      <c r="AC17" s="841" t="s">
        <v>1039</v>
      </c>
      <c r="AD17" s="397">
        <f>Q17/4</f>
        <v>0</v>
      </c>
      <c r="AE17" s="840">
        <v>0</v>
      </c>
      <c r="AF17" s="397">
        <f t="shared" si="0"/>
        <v>0</v>
      </c>
      <c r="AG17" s="398"/>
      <c r="AH17" s="398"/>
      <c r="AI17" s="398"/>
      <c r="AJ17" s="398"/>
    </row>
    <row r="18" spans="1:36">
      <c r="A18" s="1653" t="s">
        <v>1017</v>
      </c>
      <c r="B18" s="1653"/>
      <c r="C18" s="1653"/>
      <c r="D18" s="1653"/>
      <c r="E18" s="1653"/>
      <c r="F18" s="1653"/>
      <c r="G18" s="1653"/>
      <c r="H18" s="1653"/>
      <c r="I18" s="1653"/>
      <c r="J18" s="1653"/>
      <c r="K18" s="1653"/>
      <c r="L18" s="1653"/>
      <c r="M18" s="1653"/>
      <c r="O18" s="398"/>
      <c r="P18" s="841" t="s">
        <v>1038</v>
      </c>
      <c r="Q18" s="397">
        <f>C32</f>
        <v>7000</v>
      </c>
      <c r="AB18" s="398"/>
      <c r="AC18" s="841" t="s">
        <v>1038</v>
      </c>
      <c r="AD18" s="397">
        <f>Q18/4</f>
        <v>1750</v>
      </c>
      <c r="AE18" s="840">
        <v>0</v>
      </c>
      <c r="AF18" s="397">
        <f t="shared" si="0"/>
        <v>1750</v>
      </c>
      <c r="AG18" s="398"/>
      <c r="AH18" s="398"/>
      <c r="AI18" s="398"/>
      <c r="AJ18" s="398"/>
    </row>
    <row r="19" spans="1:36">
      <c r="A19" s="1653"/>
      <c r="B19" s="1653"/>
      <c r="C19" s="1653"/>
      <c r="D19" s="1653"/>
      <c r="E19" s="1653"/>
      <c r="F19" s="1653"/>
      <c r="G19" s="1653"/>
      <c r="H19" s="1653"/>
      <c r="I19" s="1653"/>
      <c r="J19" s="1653"/>
      <c r="K19" s="1653"/>
      <c r="L19" s="1653"/>
      <c r="M19" s="1653"/>
      <c r="O19" s="398"/>
      <c r="P19" s="841" t="s">
        <v>1037</v>
      </c>
      <c r="Q19" s="400">
        <f>(C31-0.1*Q55)/(Q26-Q25)</f>
        <v>38869.15812302503</v>
      </c>
      <c r="AB19" s="398"/>
      <c r="AC19" s="841" t="s">
        <v>1037</v>
      </c>
      <c r="AD19" s="397">
        <f>Q19/4</f>
        <v>9717.2895307562576</v>
      </c>
      <c r="AE19" s="840">
        <v>0</v>
      </c>
      <c r="AF19" s="397">
        <f t="shared" si="0"/>
        <v>9717.2895307562576</v>
      </c>
      <c r="AG19" s="398"/>
      <c r="AH19" s="398"/>
      <c r="AI19" s="398"/>
      <c r="AJ19" s="398"/>
    </row>
    <row r="20" spans="1:36">
      <c r="A20" s="839"/>
      <c r="B20" s="839"/>
      <c r="C20" s="839"/>
      <c r="D20" s="839"/>
      <c r="E20" s="839"/>
      <c r="F20" s="839"/>
      <c r="G20" s="839"/>
      <c r="H20" s="839"/>
      <c r="I20" s="839"/>
      <c r="J20" s="839"/>
      <c r="K20" s="839"/>
      <c r="L20" s="839"/>
      <c r="M20" s="839"/>
      <c r="O20" s="398"/>
      <c r="P20" s="398" t="s">
        <v>1036</v>
      </c>
      <c r="Q20" s="397">
        <f>SUM(Q13:Q19)</f>
        <v>375786.92793775076</v>
      </c>
      <c r="AB20" s="398"/>
      <c r="AC20" s="398" t="s">
        <v>1035</v>
      </c>
      <c r="AD20" s="400">
        <v>0</v>
      </c>
      <c r="AE20" s="838">
        <f>-AG30</f>
        <v>14257.180825796095</v>
      </c>
      <c r="AF20" s="400">
        <f t="shared" si="0"/>
        <v>14257.180825796095</v>
      </c>
      <c r="AG20" s="398"/>
      <c r="AH20" s="398"/>
      <c r="AI20" s="398"/>
      <c r="AJ20" s="398"/>
    </row>
    <row r="21" spans="1:36">
      <c r="B21" s="680" t="s">
        <v>389</v>
      </c>
      <c r="C21" s="1641">
        <v>62</v>
      </c>
      <c r="D21" s="1641"/>
      <c r="G21" s="581"/>
      <c r="H21" s="581"/>
      <c r="I21" s="581"/>
      <c r="J21" s="581"/>
      <c r="K21" s="581"/>
      <c r="L21" s="581"/>
      <c r="AB21" s="398"/>
      <c r="AC21" s="398" t="s">
        <v>1002</v>
      </c>
      <c r="AD21" s="397">
        <f>SUM(AD13:AD20)</f>
        <v>93946.731984437691</v>
      </c>
      <c r="AE21" s="837">
        <f>SUM(AE13:AE20)</f>
        <v>55302.363690697333</v>
      </c>
      <c r="AF21" s="830">
        <f>SUM(AF13:AF20)</f>
        <v>149249.09567513503</v>
      </c>
      <c r="AG21" s="398"/>
      <c r="AH21" s="398"/>
      <c r="AI21" s="398"/>
      <c r="AJ21" s="398"/>
    </row>
    <row r="22" spans="1:36">
      <c r="B22" s="680" t="s">
        <v>340</v>
      </c>
      <c r="C22" s="1654" t="s">
        <v>59</v>
      </c>
      <c r="D22" s="1655"/>
      <c r="G22" s="581"/>
      <c r="H22" s="581"/>
      <c r="I22" s="581"/>
      <c r="J22" s="581"/>
      <c r="K22" s="581"/>
      <c r="L22" s="581"/>
      <c r="P22" s="768" t="s">
        <v>1001</v>
      </c>
      <c r="Q22" s="371"/>
      <c r="R22" s="371"/>
      <c r="AB22" s="398"/>
      <c r="AC22" s="398"/>
      <c r="AD22" s="398"/>
      <c r="AE22" s="398"/>
      <c r="AF22" s="398"/>
      <c r="AG22" s="398"/>
      <c r="AH22" s="398"/>
      <c r="AI22" s="398"/>
      <c r="AJ22" s="398"/>
    </row>
    <row r="23" spans="1:36">
      <c r="B23" s="680" t="s">
        <v>948</v>
      </c>
      <c r="C23" s="1642">
        <v>0.03</v>
      </c>
      <c r="D23" s="1642"/>
      <c r="G23" s="581"/>
      <c r="H23" s="581"/>
      <c r="I23" s="581"/>
      <c r="J23" s="581"/>
      <c r="K23" s="581"/>
      <c r="L23" s="581"/>
      <c r="P23" s="398" t="s">
        <v>1000</v>
      </c>
      <c r="Q23" s="398">
        <f>+DATEDIF(C10,C11,"M")/12</f>
        <v>40</v>
      </c>
      <c r="R23" s="371"/>
      <c r="AB23" s="398"/>
      <c r="AC23" s="398"/>
      <c r="AD23" s="398"/>
      <c r="AE23" s="398" t="s">
        <v>533</v>
      </c>
      <c r="AF23" s="398" t="s">
        <v>999</v>
      </c>
      <c r="AG23" s="836" t="s">
        <v>1034</v>
      </c>
      <c r="AH23" s="398" t="s">
        <v>1033</v>
      </c>
      <c r="AI23" s="398"/>
      <c r="AJ23" s="398"/>
    </row>
    <row r="24" spans="1:36">
      <c r="B24" s="680" t="s">
        <v>771</v>
      </c>
      <c r="C24" s="1642">
        <v>3.7499999999999999E-2</v>
      </c>
      <c r="D24" s="1642"/>
      <c r="P24" s="398" t="s">
        <v>997</v>
      </c>
      <c r="Q24" s="784">
        <v>44197</v>
      </c>
      <c r="R24" s="371"/>
      <c r="AB24" s="398"/>
      <c r="AC24" s="398"/>
      <c r="AD24" s="783">
        <v>44197</v>
      </c>
      <c r="AE24" s="783">
        <v>44286</v>
      </c>
      <c r="AF24" s="783">
        <v>44286</v>
      </c>
      <c r="AG24" s="835" t="s">
        <v>1032</v>
      </c>
      <c r="AH24" s="783">
        <v>44287</v>
      </c>
      <c r="AI24" s="398"/>
      <c r="AJ24" s="398"/>
    </row>
    <row r="25" spans="1:36">
      <c r="B25" s="680" t="s">
        <v>947</v>
      </c>
      <c r="C25" s="1643">
        <v>15.2</v>
      </c>
      <c r="D25" s="1643"/>
      <c r="P25" s="398" t="s">
        <v>996</v>
      </c>
      <c r="Q25" s="398">
        <f>+DATEDIF(C10,Q24,"M")/12</f>
        <v>50</v>
      </c>
      <c r="R25" s="764"/>
      <c r="AB25" s="398"/>
      <c r="AC25" s="398" t="s">
        <v>938</v>
      </c>
      <c r="AD25" s="397">
        <f>-Q55</f>
        <v>-2335701.0252369964</v>
      </c>
      <c r="AE25" s="397">
        <f>AD25-AD13-AD14</f>
        <v>-2418180.4676906778</v>
      </c>
      <c r="AF25" s="397">
        <f>-(AD36+AD49/4+(AD36+AD49)*C45/4)</f>
        <v>-2710630.7903214619</v>
      </c>
      <c r="AG25" s="830">
        <f>-AD87-AF25</f>
        <v>1026725.8522742316</v>
      </c>
      <c r="AH25" s="397">
        <f>AF25+AG25</f>
        <v>-1683904.9380472302</v>
      </c>
      <c r="AI25" s="398"/>
      <c r="AJ25" s="398"/>
    </row>
    <row r="26" spans="1:36">
      <c r="B26" s="720"/>
      <c r="C26" s="720"/>
      <c r="D26" s="720"/>
      <c r="P26" s="398" t="s">
        <v>994</v>
      </c>
      <c r="Q26" s="398">
        <v>62</v>
      </c>
      <c r="R26" s="764"/>
      <c r="AB26" s="398"/>
      <c r="AC26" s="398" t="s">
        <v>541</v>
      </c>
      <c r="AD26" s="781">
        <v>0</v>
      </c>
      <c r="AE26" s="781">
        <f>AD26</f>
        <v>0</v>
      </c>
      <c r="AF26" s="781">
        <f>AE26</f>
        <v>0</v>
      </c>
      <c r="AG26" s="834">
        <v>0</v>
      </c>
      <c r="AH26" s="400">
        <f>AF26+AG26</f>
        <v>0</v>
      </c>
      <c r="AI26" s="398"/>
      <c r="AJ26" s="398"/>
    </row>
    <row r="27" spans="1:36">
      <c r="A27" s="682" t="s">
        <v>1016</v>
      </c>
      <c r="C27" s="720"/>
      <c r="D27" s="720"/>
      <c r="P27" s="398" t="s">
        <v>967</v>
      </c>
      <c r="Q27" s="371">
        <f>Q25-Q23</f>
        <v>10</v>
      </c>
      <c r="R27" s="764"/>
      <c r="AB27" s="398"/>
      <c r="AC27" s="398" t="s">
        <v>937</v>
      </c>
      <c r="AD27" s="397">
        <f>SUM(AD25:AD26)</f>
        <v>-2335701.0252369964</v>
      </c>
      <c r="AE27" s="397">
        <f>SUM(AE25:AE26)</f>
        <v>-2418180.4676906778</v>
      </c>
      <c r="AF27" s="397">
        <f>SUM(AF25:AF26)</f>
        <v>-2710630.7903214619</v>
      </c>
      <c r="AG27" s="830">
        <f>SUM(AG25:AG26)</f>
        <v>1026725.8522742316</v>
      </c>
      <c r="AH27" s="397">
        <f>AF27+AG27</f>
        <v>-1683904.9380472302</v>
      </c>
      <c r="AI27" s="398"/>
      <c r="AJ27" s="398"/>
    </row>
    <row r="28" spans="1:36">
      <c r="B28" s="720"/>
      <c r="C28" s="720"/>
      <c r="D28" s="720"/>
      <c r="P28" s="398" t="s">
        <v>972</v>
      </c>
      <c r="Q28" s="767">
        <f>AVERAGE(R46:R50)</f>
        <v>1345090.8804263216</v>
      </c>
      <c r="R28" s="764"/>
      <c r="AB28" s="398"/>
      <c r="AC28" s="398" t="s">
        <v>762</v>
      </c>
      <c r="AD28" s="833">
        <f>C31</f>
        <v>700000</v>
      </c>
      <c r="AE28" s="833">
        <f>AD28-AD19</f>
        <v>690282.7104692437</v>
      </c>
      <c r="AF28" s="397">
        <f>AE27-AF27+AE28</f>
        <v>982733.03310002771</v>
      </c>
      <c r="AG28" s="830">
        <f>-MIN(AF28,AG25)</f>
        <v>-982733.03310002771</v>
      </c>
      <c r="AH28" s="397">
        <f>AF28+AG28</f>
        <v>0</v>
      </c>
      <c r="AI28" s="398"/>
      <c r="AJ28" s="398"/>
    </row>
    <row r="29" spans="1:36">
      <c r="B29" s="829" t="s">
        <v>1015</v>
      </c>
      <c r="C29" s="1651">
        <v>0</v>
      </c>
      <c r="D29" s="1651"/>
      <c r="P29" s="398" t="s">
        <v>993</v>
      </c>
      <c r="Q29" s="398">
        <v>0</v>
      </c>
      <c r="R29" s="778"/>
      <c r="AB29" s="398"/>
      <c r="AC29" s="398" t="s">
        <v>1031</v>
      </c>
      <c r="AD29" s="832">
        <f>C30</f>
        <v>60000</v>
      </c>
      <c r="AE29" s="832">
        <f>AD29-AD18</f>
        <v>58250</v>
      </c>
      <c r="AF29" s="832">
        <f>AE29</f>
        <v>58250</v>
      </c>
      <c r="AG29" s="831">
        <f>-AF29</f>
        <v>-58250</v>
      </c>
      <c r="AH29" s="400">
        <f>AF29+AG29</f>
        <v>0</v>
      </c>
      <c r="AI29" s="398"/>
      <c r="AJ29" s="398"/>
    </row>
    <row r="30" spans="1:36">
      <c r="B30" s="829" t="s">
        <v>1014</v>
      </c>
      <c r="C30" s="1651">
        <v>60000</v>
      </c>
      <c r="D30" s="1651"/>
      <c r="P30" s="398" t="s">
        <v>992</v>
      </c>
      <c r="Q30" s="398">
        <v>0</v>
      </c>
      <c r="R30" s="778"/>
      <c r="AB30" s="398"/>
      <c r="AC30" s="398" t="s">
        <v>1030</v>
      </c>
      <c r="AD30" s="397">
        <f>SUM(AD27:AD29)</f>
        <v>-1575701.0252369964</v>
      </c>
      <c r="AE30" s="397">
        <f>SUM(AE27:AE29)</f>
        <v>-1669647.7572214343</v>
      </c>
      <c r="AF30" s="397">
        <f>SUM(AF27:AF29)</f>
        <v>-1669647.7572214343</v>
      </c>
      <c r="AG30" s="830">
        <f>SUM(AG27:AG29)</f>
        <v>-14257.180825796095</v>
      </c>
      <c r="AH30" s="397">
        <f>SUM(AH27:AH29)</f>
        <v>-1683904.9380472302</v>
      </c>
      <c r="AI30" s="398"/>
      <c r="AJ30" s="398"/>
    </row>
    <row r="31" spans="1:36">
      <c r="B31" s="829" t="s">
        <v>1013</v>
      </c>
      <c r="C31" s="1652">
        <v>700000</v>
      </c>
      <c r="D31" s="1652"/>
      <c r="AB31" s="398"/>
      <c r="AC31" s="398" t="s">
        <v>771</v>
      </c>
      <c r="AD31" s="780">
        <f>C24</f>
        <v>3.7499999999999999E-2</v>
      </c>
      <c r="AE31" s="780">
        <f>AD31</f>
        <v>3.7499999999999999E-2</v>
      </c>
      <c r="AF31" s="780">
        <f>C45</f>
        <v>3.2500000000000001E-2</v>
      </c>
      <c r="AG31" s="780">
        <f>AF31</f>
        <v>3.2500000000000001E-2</v>
      </c>
      <c r="AH31" s="780">
        <f>AF31</f>
        <v>3.2500000000000001E-2</v>
      </c>
      <c r="AI31" s="398"/>
      <c r="AJ31" s="398"/>
    </row>
    <row r="32" spans="1:36">
      <c r="B32" s="829" t="s">
        <v>1012</v>
      </c>
      <c r="C32" s="1651">
        <v>7000</v>
      </c>
      <c r="D32" s="1651"/>
      <c r="P32" s="771" t="s">
        <v>978</v>
      </c>
      <c r="Q32" s="764"/>
      <c r="R32" s="764"/>
      <c r="AB32" s="398"/>
      <c r="AC32" s="398"/>
      <c r="AD32" s="398"/>
      <c r="AE32" s="398"/>
      <c r="AF32" s="398"/>
      <c r="AG32" s="398"/>
      <c r="AH32" s="398"/>
      <c r="AI32" s="398"/>
      <c r="AJ32" s="398"/>
    </row>
    <row r="33" spans="1:36">
      <c r="B33" s="720"/>
      <c r="C33" s="720"/>
      <c r="D33" s="720"/>
      <c r="P33" s="398" t="s">
        <v>12</v>
      </c>
      <c r="Q33" s="398" t="s">
        <v>55</v>
      </c>
      <c r="R33" s="398" t="s">
        <v>977</v>
      </c>
      <c r="AB33" s="398"/>
      <c r="AC33" s="398"/>
      <c r="AD33" s="398"/>
      <c r="AE33" s="398"/>
      <c r="AF33" s="398"/>
      <c r="AG33" s="397"/>
      <c r="AH33" s="398"/>
      <c r="AI33" s="398"/>
      <c r="AJ33" s="398"/>
    </row>
    <row r="34" spans="1:36" ht="15.75" customHeight="1">
      <c r="A34" s="2" t="s">
        <v>687</v>
      </c>
      <c r="B34" s="1462" t="s">
        <v>1011</v>
      </c>
      <c r="C34" s="1462"/>
      <c r="D34" s="1462"/>
      <c r="E34" s="1462"/>
      <c r="F34" s="1462"/>
      <c r="G34" s="1462"/>
      <c r="H34" s="1462"/>
      <c r="I34" s="1462"/>
      <c r="J34" s="1462"/>
      <c r="K34" s="1462"/>
      <c r="L34" s="1462"/>
      <c r="P34" s="398">
        <f>+C12</f>
        <v>2016</v>
      </c>
      <c r="Q34" s="398">
        <f>+Q35-1</f>
        <v>45</v>
      </c>
      <c r="R34" s="777">
        <f>+D12</f>
        <v>800000</v>
      </c>
      <c r="AB34" s="398"/>
      <c r="AC34" s="398"/>
      <c r="AD34" s="398"/>
      <c r="AE34" s="398"/>
      <c r="AF34" s="398"/>
      <c r="AG34" s="398"/>
      <c r="AH34" s="398"/>
      <c r="AI34" s="398"/>
      <c r="AJ34" s="398"/>
    </row>
    <row r="35" spans="1:36" ht="15.75" customHeight="1">
      <c r="B35" s="1462"/>
      <c r="C35" s="1462"/>
      <c r="D35" s="1462"/>
      <c r="E35" s="1462"/>
      <c r="F35" s="1462"/>
      <c r="G35" s="1462"/>
      <c r="H35" s="1462"/>
      <c r="I35" s="1462"/>
      <c r="J35" s="1462"/>
      <c r="K35" s="1462"/>
      <c r="L35" s="1462"/>
      <c r="P35" s="398">
        <f>+C13</f>
        <v>2017</v>
      </c>
      <c r="Q35" s="398">
        <f>+Q36-1</f>
        <v>46</v>
      </c>
      <c r="R35" s="777">
        <f>+D13</f>
        <v>850000</v>
      </c>
      <c r="AB35" s="398"/>
      <c r="AC35" s="398"/>
      <c r="AD35" s="398"/>
      <c r="AE35" s="398"/>
      <c r="AF35" s="398"/>
      <c r="AG35" s="398"/>
      <c r="AH35" s="398"/>
      <c r="AI35" s="398"/>
      <c r="AJ35" s="398"/>
    </row>
    <row r="36" spans="1:36" ht="15.75" customHeight="1">
      <c r="B36" s="5"/>
      <c r="C36" s="5"/>
      <c r="D36" s="5"/>
      <c r="E36" s="5"/>
      <c r="F36" s="5"/>
      <c r="G36" s="5"/>
      <c r="H36" s="5"/>
      <c r="I36" s="5"/>
      <c r="J36" s="5"/>
      <c r="K36" s="5"/>
      <c r="L36" s="5"/>
      <c r="P36" s="398">
        <f>+C14</f>
        <v>2018</v>
      </c>
      <c r="Q36" s="398">
        <f>+Q37-1</f>
        <v>47</v>
      </c>
      <c r="R36" s="777">
        <f>+D14</f>
        <v>900000</v>
      </c>
      <c r="S36" s="818"/>
      <c r="AB36" s="398"/>
      <c r="AC36" s="774" t="s">
        <v>1029</v>
      </c>
      <c r="AD36" s="397">
        <f>AD42-AD46</f>
        <v>2621658.2630202132</v>
      </c>
      <c r="AE36" s="398"/>
      <c r="AF36" s="398"/>
      <c r="AG36" s="398"/>
      <c r="AH36" s="398"/>
      <c r="AI36" s="398"/>
      <c r="AJ36" s="398"/>
    </row>
    <row r="37" spans="1:36">
      <c r="B37" s="28" t="s">
        <v>683</v>
      </c>
      <c r="C37" s="5"/>
      <c r="D37" s="5"/>
      <c r="E37" s="5"/>
      <c r="F37" s="5"/>
      <c r="G37" s="5"/>
      <c r="H37" s="5"/>
      <c r="I37" s="5"/>
      <c r="J37" s="5"/>
      <c r="K37" s="5"/>
      <c r="L37" s="5"/>
      <c r="P37" s="398">
        <f>+C15</f>
        <v>2019</v>
      </c>
      <c r="Q37" s="398">
        <f>+Q38-1</f>
        <v>48</v>
      </c>
      <c r="R37" s="777">
        <f>+D15</f>
        <v>950000</v>
      </c>
      <c r="AB37" s="398"/>
      <c r="AC37" s="398"/>
      <c r="AD37" s="398"/>
      <c r="AE37" s="398"/>
      <c r="AF37" s="398"/>
      <c r="AG37" s="398"/>
      <c r="AH37" s="398"/>
      <c r="AI37" s="398"/>
      <c r="AJ37" s="398"/>
    </row>
    <row r="38" spans="1:36" ht="16.2">
      <c r="B38" s="29" t="s">
        <v>32</v>
      </c>
      <c r="C38" s="5"/>
      <c r="D38" s="5"/>
      <c r="E38" s="5"/>
      <c r="F38" s="5"/>
      <c r="G38" s="5"/>
      <c r="H38" s="5"/>
      <c r="I38" s="5"/>
      <c r="J38" s="5"/>
      <c r="K38" s="5"/>
      <c r="L38" s="5"/>
      <c r="P38" s="398">
        <f>+C16</f>
        <v>2020</v>
      </c>
      <c r="Q38" s="398">
        <f>+Q39-1</f>
        <v>49</v>
      </c>
      <c r="R38" s="777">
        <f>+D16</f>
        <v>1000000</v>
      </c>
      <c r="S38" s="818"/>
      <c r="AB38" s="398"/>
      <c r="AC38" s="771" t="s">
        <v>990</v>
      </c>
      <c r="AD38" s="398"/>
      <c r="AE38" s="398"/>
      <c r="AF38" s="398"/>
      <c r="AG38" s="398"/>
      <c r="AH38" s="398"/>
      <c r="AI38" s="398"/>
      <c r="AJ38" s="398"/>
    </row>
    <row r="39" spans="1:36" ht="16.2">
      <c r="B39" s="29"/>
      <c r="C39" s="5"/>
      <c r="D39" s="5"/>
      <c r="E39" s="5"/>
      <c r="F39" s="5"/>
      <c r="G39" s="5"/>
      <c r="H39" s="5"/>
      <c r="I39" s="5"/>
      <c r="J39" s="5"/>
      <c r="K39" s="5"/>
      <c r="L39" s="5"/>
      <c r="P39" s="398">
        <f t="shared" ref="P39:P51" si="1">+P38+1</f>
        <v>2021</v>
      </c>
      <c r="Q39" s="398">
        <f>+Q25</f>
        <v>50</v>
      </c>
      <c r="R39" s="767">
        <f t="shared" ref="R39:R50" si="2">+R38*(1+$C$23)</f>
        <v>1030000</v>
      </c>
      <c r="S39" s="818"/>
      <c r="AB39" s="398"/>
      <c r="AC39" s="398" t="s">
        <v>972</v>
      </c>
      <c r="AD39" s="828">
        <f>Q28</f>
        <v>1345090.8804263216</v>
      </c>
      <c r="AE39" s="398"/>
      <c r="AF39" s="398"/>
      <c r="AG39" s="398"/>
      <c r="AH39" s="398"/>
      <c r="AI39" s="398"/>
      <c r="AJ39" s="398"/>
    </row>
    <row r="40" spans="1:36" ht="15.75" customHeight="1">
      <c r="A40" s="1462" t="s">
        <v>945</v>
      </c>
      <c r="B40" s="1462"/>
      <c r="C40" s="1462"/>
      <c r="D40" s="1462"/>
      <c r="E40" s="1462"/>
      <c r="F40" s="1462"/>
      <c r="G40" s="1462"/>
      <c r="H40" s="1462"/>
      <c r="I40" s="1462"/>
      <c r="J40" s="1462"/>
      <c r="K40" s="1462"/>
      <c r="L40" s="1462"/>
      <c r="M40" s="1462"/>
      <c r="P40" s="398">
        <f t="shared" si="1"/>
        <v>2022</v>
      </c>
      <c r="Q40" s="398">
        <f t="shared" ref="Q40:Q51" si="3">+Q39+1</f>
        <v>51</v>
      </c>
      <c r="R40" s="767">
        <f t="shared" si="2"/>
        <v>1060900</v>
      </c>
      <c r="S40" s="818"/>
      <c r="AB40" s="398"/>
      <c r="AC40" s="398" t="s">
        <v>967</v>
      </c>
      <c r="AD40" s="828">
        <f>Q27</f>
        <v>10</v>
      </c>
      <c r="AE40" s="398"/>
      <c r="AF40" s="398"/>
      <c r="AG40" s="398"/>
      <c r="AH40" s="398"/>
      <c r="AI40" s="398"/>
      <c r="AJ40" s="398"/>
    </row>
    <row r="41" spans="1:36">
      <c r="A41" s="1462"/>
      <c r="B41" s="1462"/>
      <c r="C41" s="1462"/>
      <c r="D41" s="1462"/>
      <c r="E41" s="1462"/>
      <c r="F41" s="1462"/>
      <c r="G41" s="1462"/>
      <c r="H41" s="1462"/>
      <c r="I41" s="1462"/>
      <c r="J41" s="1462"/>
      <c r="K41" s="1462"/>
      <c r="L41" s="1462"/>
      <c r="M41" s="1462"/>
      <c r="P41" s="398">
        <f t="shared" si="1"/>
        <v>2023</v>
      </c>
      <c r="Q41" s="398">
        <f t="shared" si="3"/>
        <v>52</v>
      </c>
      <c r="R41" s="767">
        <f t="shared" si="2"/>
        <v>1092727</v>
      </c>
      <c r="S41" s="818"/>
      <c r="AB41" s="398"/>
      <c r="AC41" s="398" t="s">
        <v>966</v>
      </c>
      <c r="AD41" s="828">
        <f>0.02*AD39*AD40</f>
        <v>269018.17608526436</v>
      </c>
      <c r="AE41" s="398"/>
      <c r="AF41" s="398"/>
      <c r="AG41" s="398"/>
      <c r="AH41" s="398"/>
      <c r="AI41" s="398"/>
      <c r="AJ41" s="398"/>
    </row>
    <row r="42" spans="1:36" ht="16.2">
      <c r="B42" s="29"/>
      <c r="C42" s="5"/>
      <c r="D42" s="5"/>
      <c r="E42" s="5"/>
      <c r="F42" s="5"/>
      <c r="G42" s="5"/>
      <c r="H42" s="5"/>
      <c r="I42" s="5"/>
      <c r="J42" s="5"/>
      <c r="K42" s="5"/>
      <c r="L42" s="5"/>
      <c r="P42" s="398">
        <f t="shared" si="1"/>
        <v>2024</v>
      </c>
      <c r="Q42" s="398">
        <f t="shared" si="3"/>
        <v>53</v>
      </c>
      <c r="R42" s="767">
        <f t="shared" si="2"/>
        <v>1125508.81</v>
      </c>
      <c r="S42" s="818"/>
      <c r="AB42" s="398"/>
      <c r="AC42" s="398" t="s">
        <v>989</v>
      </c>
      <c r="AD42" s="828">
        <f>+AD41*(1+C45)^-(Q26-Q25)*C46</f>
        <v>2950711.6813784465</v>
      </c>
      <c r="AE42" s="397"/>
      <c r="AF42" s="398"/>
      <c r="AG42" s="398"/>
      <c r="AH42" s="398"/>
      <c r="AI42" s="398"/>
      <c r="AJ42" s="398"/>
    </row>
    <row r="43" spans="1:36">
      <c r="A43" s="2" t="s">
        <v>1010</v>
      </c>
      <c r="C43" s="720"/>
      <c r="D43" s="720"/>
      <c r="P43" s="398">
        <f t="shared" si="1"/>
        <v>2025</v>
      </c>
      <c r="Q43" s="398">
        <f t="shared" si="3"/>
        <v>54</v>
      </c>
      <c r="R43" s="767">
        <f t="shared" si="2"/>
        <v>1159274.0743</v>
      </c>
      <c r="S43" s="818"/>
      <c r="AB43" s="398"/>
      <c r="AC43" s="398"/>
      <c r="AD43" s="828"/>
      <c r="AE43" s="828"/>
      <c r="AF43" s="398"/>
      <c r="AG43" s="398"/>
      <c r="AH43" s="398"/>
      <c r="AI43" s="398"/>
      <c r="AJ43" s="398"/>
    </row>
    <row r="44" spans="1:36">
      <c r="C44" s="720"/>
      <c r="D44" s="720"/>
      <c r="P44" s="398">
        <f t="shared" si="1"/>
        <v>2026</v>
      </c>
      <c r="Q44" s="398">
        <f t="shared" si="3"/>
        <v>55</v>
      </c>
      <c r="R44" s="767">
        <f t="shared" si="2"/>
        <v>1194052.2965289999</v>
      </c>
      <c r="S44" s="818"/>
      <c r="AB44" s="398"/>
      <c r="AC44" s="771" t="s">
        <v>988</v>
      </c>
      <c r="AD44" s="828"/>
      <c r="AE44" s="828"/>
      <c r="AF44" s="398"/>
      <c r="AG44" s="398"/>
      <c r="AH44" s="398"/>
      <c r="AI44" s="398"/>
      <c r="AJ44" s="398"/>
    </row>
    <row r="45" spans="1:36">
      <c r="B45" s="680" t="s">
        <v>771</v>
      </c>
      <c r="C45" s="1642">
        <v>3.2500000000000001E-2</v>
      </c>
      <c r="D45" s="1642"/>
      <c r="P45" s="398">
        <f t="shared" si="1"/>
        <v>2027</v>
      </c>
      <c r="Q45" s="398">
        <f t="shared" si="3"/>
        <v>56</v>
      </c>
      <c r="R45" s="767">
        <f t="shared" si="2"/>
        <v>1229873.86542487</v>
      </c>
      <c r="S45" s="818"/>
      <c r="AB45" s="398"/>
      <c r="AC45" s="398" t="s">
        <v>959</v>
      </c>
      <c r="AD45" s="828">
        <f>+AD40*3000</f>
        <v>30000</v>
      </c>
      <c r="AE45" s="398"/>
      <c r="AF45" s="398"/>
      <c r="AG45" s="398"/>
      <c r="AH45" s="398"/>
      <c r="AI45" s="398"/>
      <c r="AJ45" s="398"/>
    </row>
    <row r="46" spans="1:36">
      <c r="B46" s="680" t="s">
        <v>943</v>
      </c>
      <c r="C46" s="1644">
        <v>16.100000000000001</v>
      </c>
      <c r="D46" s="1644"/>
      <c r="P46" s="398">
        <f t="shared" si="1"/>
        <v>2028</v>
      </c>
      <c r="Q46" s="398">
        <f t="shared" si="3"/>
        <v>57</v>
      </c>
      <c r="R46" s="767">
        <f t="shared" si="2"/>
        <v>1266770.0813876162</v>
      </c>
      <c r="S46" s="818"/>
      <c r="AB46" s="398"/>
      <c r="AC46" s="398" t="s">
        <v>1023</v>
      </c>
      <c r="AD46" s="828">
        <f>AD45*(1+C45)^-(Q26-Q25)*C46</f>
        <v>329053.41835823347</v>
      </c>
      <c r="AE46" s="398"/>
      <c r="AF46" s="398"/>
      <c r="AG46" s="398"/>
      <c r="AH46" s="398"/>
      <c r="AI46" s="398"/>
      <c r="AJ46" s="398"/>
    </row>
    <row r="47" spans="1:36">
      <c r="B47" s="680" t="s">
        <v>942</v>
      </c>
      <c r="C47" s="1656">
        <v>257500</v>
      </c>
      <c r="D47" s="1656"/>
      <c r="P47" s="398">
        <f t="shared" si="1"/>
        <v>2029</v>
      </c>
      <c r="Q47" s="398">
        <f t="shared" si="3"/>
        <v>58</v>
      </c>
      <c r="R47" s="767">
        <f t="shared" si="2"/>
        <v>1304773.1838292447</v>
      </c>
      <c r="S47" s="818"/>
      <c r="AB47" s="398"/>
      <c r="AC47" s="398"/>
      <c r="AD47" s="398"/>
      <c r="AE47" s="828"/>
      <c r="AF47" s="398"/>
      <c r="AG47" s="398"/>
      <c r="AH47" s="398"/>
      <c r="AI47" s="398"/>
      <c r="AJ47" s="398"/>
    </row>
    <row r="48" spans="1:36">
      <c r="P48" s="398">
        <f t="shared" si="1"/>
        <v>2030</v>
      </c>
      <c r="Q48" s="398">
        <f t="shared" si="3"/>
        <v>59</v>
      </c>
      <c r="R48" s="767">
        <f t="shared" si="2"/>
        <v>1343916.379344122</v>
      </c>
      <c r="S48" s="818"/>
      <c r="AB48" s="398"/>
      <c r="AC48" s="774"/>
      <c r="AD48" s="828"/>
      <c r="AE48" s="828"/>
      <c r="AF48" s="398"/>
      <c r="AG48" s="398"/>
      <c r="AH48" s="398"/>
      <c r="AI48" s="398"/>
      <c r="AJ48" s="398"/>
    </row>
    <row r="49" spans="1:36">
      <c r="A49" s="2" t="s">
        <v>1009</v>
      </c>
      <c r="P49" s="398">
        <f t="shared" si="1"/>
        <v>2031</v>
      </c>
      <c r="Q49" s="398">
        <f t="shared" si="3"/>
        <v>60</v>
      </c>
      <c r="R49" s="767">
        <f t="shared" si="2"/>
        <v>1384233.8707244457</v>
      </c>
      <c r="S49" s="818"/>
      <c r="AB49" s="398"/>
      <c r="AC49" s="774" t="s">
        <v>987</v>
      </c>
      <c r="AD49" s="828">
        <f>AD55-AD60</f>
        <v>262165.82630202128</v>
      </c>
      <c r="AE49" s="398"/>
      <c r="AF49" s="398"/>
      <c r="AG49" s="398"/>
      <c r="AH49" s="398"/>
      <c r="AI49" s="398"/>
      <c r="AJ49" s="398"/>
    </row>
    <row r="50" spans="1:36">
      <c r="P50" s="398">
        <f t="shared" si="1"/>
        <v>2032</v>
      </c>
      <c r="Q50" s="398">
        <f t="shared" si="3"/>
        <v>61</v>
      </c>
      <c r="R50" s="767">
        <f t="shared" si="2"/>
        <v>1425760.8868461791</v>
      </c>
      <c r="S50" s="818"/>
      <c r="AB50" s="398"/>
      <c r="AC50" s="398"/>
      <c r="AD50" s="398"/>
      <c r="AE50" s="398"/>
      <c r="AF50" s="398"/>
      <c r="AG50" s="398"/>
      <c r="AH50" s="398"/>
      <c r="AI50" s="398"/>
      <c r="AJ50" s="398"/>
    </row>
    <row r="51" spans="1:36" ht="15.75" customHeight="1">
      <c r="A51" s="2" t="s">
        <v>6</v>
      </c>
      <c r="B51" s="1639" t="s">
        <v>1008</v>
      </c>
      <c r="C51" s="1639"/>
      <c r="D51" s="1639"/>
      <c r="E51" s="1639"/>
      <c r="F51" s="1639"/>
      <c r="G51" s="1639"/>
      <c r="H51" s="1639"/>
      <c r="I51" s="1639"/>
      <c r="J51" s="1639"/>
      <c r="K51" s="1639"/>
      <c r="L51" s="1639"/>
      <c r="M51" s="1639"/>
      <c r="P51" s="398">
        <f t="shared" si="1"/>
        <v>2033</v>
      </c>
      <c r="Q51" s="398">
        <f t="shared" si="3"/>
        <v>62</v>
      </c>
      <c r="R51" s="765"/>
      <c r="S51" s="818"/>
      <c r="AB51" s="398"/>
      <c r="AC51" s="771" t="s">
        <v>974</v>
      </c>
      <c r="AD51" s="828"/>
      <c r="AE51" s="398"/>
      <c r="AF51" s="398"/>
      <c r="AG51" s="398"/>
      <c r="AH51" s="398"/>
      <c r="AI51" s="398"/>
      <c r="AJ51" s="398"/>
    </row>
    <row r="52" spans="1:36">
      <c r="B52" s="1639"/>
      <c r="C52" s="1639"/>
      <c r="D52" s="1639"/>
      <c r="E52" s="1639"/>
      <c r="F52" s="1639"/>
      <c r="G52" s="1639"/>
      <c r="H52" s="1639"/>
      <c r="I52" s="1639"/>
      <c r="J52" s="1639"/>
      <c r="K52" s="1639"/>
      <c r="L52" s="1639"/>
      <c r="M52" s="1639"/>
      <c r="S52" s="818"/>
      <c r="AB52" s="398"/>
      <c r="AC52" s="398" t="s">
        <v>972</v>
      </c>
      <c r="AD52" s="828">
        <f>AD39</f>
        <v>1345090.8804263216</v>
      </c>
      <c r="AE52" s="398"/>
      <c r="AF52" s="398"/>
      <c r="AG52" s="398"/>
      <c r="AH52" s="398"/>
      <c r="AI52" s="398"/>
      <c r="AJ52" s="398"/>
    </row>
    <row r="53" spans="1:36">
      <c r="B53" s="7"/>
      <c r="C53" s="7"/>
      <c r="D53" s="7"/>
      <c r="E53" s="7"/>
      <c r="F53" s="7"/>
      <c r="G53" s="7"/>
      <c r="H53" s="7"/>
      <c r="I53" s="7"/>
      <c r="J53" s="7"/>
      <c r="K53" s="7"/>
      <c r="L53" s="7"/>
      <c r="M53" s="7"/>
      <c r="P53" s="775" t="s">
        <v>1028</v>
      </c>
      <c r="Q53" s="371"/>
      <c r="R53" s="371"/>
      <c r="S53" s="818"/>
      <c r="AB53" s="398"/>
      <c r="AC53" s="398" t="s">
        <v>963</v>
      </c>
      <c r="AD53" s="828">
        <v>1</v>
      </c>
      <c r="AE53" s="398"/>
      <c r="AF53" s="398"/>
      <c r="AG53" s="398"/>
      <c r="AH53" s="398"/>
      <c r="AI53" s="398"/>
      <c r="AJ53" s="398"/>
    </row>
    <row r="54" spans="1:36">
      <c r="B54" s="28" t="s">
        <v>683</v>
      </c>
      <c r="C54" s="7"/>
      <c r="D54" s="7"/>
      <c r="E54" s="7"/>
      <c r="F54" s="7"/>
      <c r="G54" s="7"/>
      <c r="H54" s="7"/>
      <c r="I54" s="7"/>
      <c r="J54" s="7"/>
      <c r="K54" s="7"/>
      <c r="L54" s="7"/>
      <c r="M54" s="7"/>
      <c r="P54" s="371"/>
      <c r="Q54" s="371"/>
      <c r="R54" s="371"/>
      <c r="S54" s="818"/>
      <c r="AB54" s="398"/>
      <c r="AC54" s="398" t="s">
        <v>970</v>
      </c>
      <c r="AD54" s="828">
        <f>0.02*AD53*AD52</f>
        <v>26901.817608526435</v>
      </c>
      <c r="AE54" s="398"/>
      <c r="AF54" s="398"/>
      <c r="AG54" s="398"/>
      <c r="AH54" s="398"/>
      <c r="AI54" s="398"/>
      <c r="AJ54" s="398"/>
    </row>
    <row r="55" spans="1:36" ht="16.2">
      <c r="B55" s="29" t="s">
        <v>32</v>
      </c>
      <c r="P55" s="433" t="s">
        <v>1027</v>
      </c>
      <c r="Q55" s="373">
        <f>Q61-Q65</f>
        <v>2335701.0252369964</v>
      </c>
      <c r="R55" s="764"/>
      <c r="S55" s="818"/>
      <c r="AB55" s="398"/>
      <c r="AC55" s="398" t="s">
        <v>968</v>
      </c>
      <c r="AD55" s="828">
        <f>+AD54*(1+C45)^-(Q26-Q25)*C46</f>
        <v>295071.16813784465</v>
      </c>
      <c r="AE55" s="398"/>
      <c r="AF55" s="398"/>
      <c r="AG55" s="398"/>
      <c r="AH55" s="398"/>
      <c r="AI55" s="398"/>
      <c r="AJ55" s="398"/>
    </row>
    <row r="56" spans="1:36">
      <c r="P56" s="371"/>
      <c r="Q56" s="371"/>
      <c r="R56" s="371"/>
      <c r="S56" s="818"/>
      <c r="AB56" s="398"/>
      <c r="AC56" s="398"/>
      <c r="AD56" s="398"/>
      <c r="AE56" s="398"/>
      <c r="AF56" s="398"/>
      <c r="AG56" s="398"/>
      <c r="AH56" s="398"/>
      <c r="AI56" s="398"/>
      <c r="AJ56" s="398"/>
    </row>
    <row r="57" spans="1:36">
      <c r="P57" s="768" t="s">
        <v>1026</v>
      </c>
      <c r="Q57" s="371"/>
      <c r="R57" s="371"/>
      <c r="S57" s="818"/>
      <c r="AB57" s="398"/>
      <c r="AC57" s="771" t="s">
        <v>965</v>
      </c>
      <c r="AD57" s="398"/>
      <c r="AE57" s="398"/>
      <c r="AF57" s="398"/>
      <c r="AG57" s="398"/>
      <c r="AH57" s="398"/>
      <c r="AI57" s="398"/>
      <c r="AJ57" s="398"/>
    </row>
    <row r="58" spans="1:36">
      <c r="P58" s="371" t="s">
        <v>972</v>
      </c>
      <c r="Q58" s="766">
        <f>Q28</f>
        <v>1345090.8804263216</v>
      </c>
      <c r="R58" s="371"/>
      <c r="S58" s="818"/>
      <c r="AB58" s="398"/>
      <c r="AC58" s="398" t="s">
        <v>963</v>
      </c>
      <c r="AD58" s="828">
        <f>AD53</f>
        <v>1</v>
      </c>
      <c r="AE58" s="398"/>
      <c r="AF58" s="398"/>
      <c r="AG58" s="398"/>
      <c r="AH58" s="398"/>
      <c r="AI58" s="398"/>
      <c r="AJ58" s="398"/>
    </row>
    <row r="59" spans="1:36">
      <c r="P59" s="371" t="s">
        <v>967</v>
      </c>
      <c r="Q59" s="766">
        <f>Q27</f>
        <v>10</v>
      </c>
      <c r="R59" s="371"/>
      <c r="AB59" s="398"/>
      <c r="AC59" s="398" t="s">
        <v>962</v>
      </c>
      <c r="AD59" s="828">
        <f>AD58*3000</f>
        <v>3000</v>
      </c>
      <c r="AE59" s="398"/>
      <c r="AF59" s="398"/>
      <c r="AG59" s="398"/>
      <c r="AH59" s="398"/>
      <c r="AI59" s="398"/>
      <c r="AJ59" s="398"/>
    </row>
    <row r="60" spans="1:36">
      <c r="P60" s="371" t="s">
        <v>966</v>
      </c>
      <c r="Q60" s="766">
        <f>0.02*Q58*Q59</f>
        <v>269018.17608526436</v>
      </c>
      <c r="R60" s="371"/>
      <c r="AB60" s="398"/>
      <c r="AC60" s="398" t="s">
        <v>960</v>
      </c>
      <c r="AD60" s="828">
        <f>+AD59*(1+C45)^-(Q26-Q25)*C46</f>
        <v>32905.341835823347</v>
      </c>
      <c r="AE60" s="398"/>
      <c r="AF60" s="398"/>
      <c r="AG60" s="398"/>
      <c r="AH60" s="398"/>
      <c r="AI60" s="398"/>
      <c r="AJ60" s="398"/>
    </row>
    <row r="61" spans="1:36">
      <c r="P61" s="371" t="s">
        <v>1025</v>
      </c>
      <c r="Q61" s="766">
        <f>+Q60*(1+C24)^-(Q26-Q25)*C25</f>
        <v>2628862.9592152457</v>
      </c>
      <c r="R61" s="371"/>
      <c r="AB61" s="398"/>
      <c r="AC61" s="398"/>
      <c r="AD61" s="398"/>
      <c r="AE61" s="398"/>
      <c r="AF61" s="398"/>
      <c r="AG61" s="398"/>
      <c r="AH61" s="398"/>
      <c r="AI61" s="398"/>
      <c r="AJ61" s="398"/>
    </row>
    <row r="62" spans="1:36">
      <c r="Q62" s="766"/>
      <c r="R62" s="371"/>
      <c r="AB62" s="398"/>
      <c r="AC62" s="774" t="s">
        <v>983</v>
      </c>
      <c r="AD62" s="398"/>
      <c r="AE62" s="398"/>
      <c r="AF62" s="398"/>
      <c r="AG62" s="398"/>
      <c r="AH62" s="398"/>
      <c r="AI62" s="398"/>
      <c r="AJ62" s="398"/>
    </row>
    <row r="63" spans="1:36">
      <c r="P63" s="768" t="s">
        <v>1024</v>
      </c>
      <c r="Q63" s="766"/>
      <c r="R63" s="371"/>
      <c r="AB63" s="398"/>
      <c r="AC63" s="398"/>
      <c r="AD63" s="398"/>
      <c r="AE63" s="398"/>
      <c r="AF63" s="398"/>
      <c r="AG63" s="398"/>
      <c r="AH63" s="398"/>
      <c r="AI63" s="398"/>
      <c r="AJ63" s="398"/>
    </row>
    <row r="64" spans="1:36">
      <c r="P64" s="371" t="s">
        <v>959</v>
      </c>
      <c r="Q64" s="766">
        <f>+Q59*3000</f>
        <v>30000</v>
      </c>
      <c r="R64" s="371"/>
      <c r="AB64" s="398"/>
      <c r="AC64" s="398" t="s">
        <v>982</v>
      </c>
      <c r="AD64" s="398"/>
      <c r="AE64" s="398"/>
      <c r="AF64" s="398"/>
      <c r="AG64" s="398"/>
      <c r="AH64" s="398"/>
      <c r="AI64" s="398"/>
      <c r="AJ64" s="398"/>
    </row>
    <row r="65" spans="16:36">
      <c r="P65" s="371" t="s">
        <v>1023</v>
      </c>
      <c r="Q65" s="766">
        <f>(1+C24)^-(Q26-Q25)*C25*Q64</f>
        <v>293161.93397824949</v>
      </c>
      <c r="R65" s="371"/>
      <c r="AB65" s="398"/>
      <c r="AC65" s="398" t="s">
        <v>981</v>
      </c>
      <c r="AD65" s="772">
        <f>(0.75*AD70+SUM(AD71:AD75))/5</f>
        <v>911500</v>
      </c>
      <c r="AE65" s="398"/>
      <c r="AF65" s="398"/>
      <c r="AG65" s="398"/>
      <c r="AH65" s="398"/>
      <c r="AI65" s="398"/>
      <c r="AJ65" s="398"/>
    </row>
    <row r="66" spans="16:36">
      <c r="P66" s="371"/>
      <c r="Q66" s="766"/>
      <c r="R66" s="371"/>
      <c r="AB66" s="398"/>
      <c r="AC66" s="398" t="s">
        <v>979</v>
      </c>
      <c r="AD66" s="397">
        <f>AD40</f>
        <v>10</v>
      </c>
      <c r="AE66" s="398"/>
      <c r="AF66" s="398"/>
      <c r="AG66" s="398"/>
      <c r="AH66" s="398"/>
      <c r="AI66" s="398"/>
      <c r="AJ66" s="398"/>
    </row>
    <row r="67" spans="16:36">
      <c r="P67" s="433" t="s">
        <v>975</v>
      </c>
      <c r="Q67" s="766">
        <f>Q73-Q78</f>
        <v>233570.10252369958</v>
      </c>
      <c r="R67" s="371"/>
      <c r="AB67" s="398"/>
      <c r="AC67" s="398"/>
      <c r="AD67" s="398"/>
      <c r="AE67" s="398"/>
      <c r="AF67" s="398"/>
      <c r="AG67" s="398"/>
      <c r="AH67" s="398"/>
      <c r="AI67" s="398"/>
      <c r="AJ67" s="398"/>
    </row>
    <row r="68" spans="16:36">
      <c r="R68" s="371"/>
      <c r="AB68" s="398"/>
      <c r="AC68" s="771" t="s">
        <v>978</v>
      </c>
      <c r="AD68" s="398"/>
      <c r="AE68" s="398"/>
      <c r="AF68" s="398"/>
      <c r="AG68" s="398"/>
      <c r="AH68" s="398"/>
      <c r="AI68" s="398"/>
      <c r="AJ68" s="398"/>
    </row>
    <row r="69" spans="16:36">
      <c r="P69" s="768" t="s">
        <v>974</v>
      </c>
      <c r="Q69" s="766"/>
      <c r="R69" s="371"/>
      <c r="AB69" s="398"/>
      <c r="AC69" s="398" t="s">
        <v>12</v>
      </c>
      <c r="AD69" s="398" t="s">
        <v>977</v>
      </c>
      <c r="AE69" s="398"/>
      <c r="AF69" s="398"/>
      <c r="AG69" s="398"/>
      <c r="AH69" s="398"/>
      <c r="AI69" s="398"/>
      <c r="AJ69" s="398"/>
    </row>
    <row r="70" spans="16:36">
      <c r="P70" s="371" t="s">
        <v>972</v>
      </c>
      <c r="Q70" s="766">
        <f>Q58</f>
        <v>1345090.8804263216</v>
      </c>
      <c r="R70" s="371"/>
      <c r="AB70" s="398"/>
      <c r="AC70" s="398">
        <f>P34</f>
        <v>2016</v>
      </c>
      <c r="AD70" s="769">
        <f>R34</f>
        <v>800000</v>
      </c>
      <c r="AE70" s="398"/>
      <c r="AF70" s="398"/>
      <c r="AG70" s="398"/>
      <c r="AH70" s="398"/>
      <c r="AI70" s="398"/>
      <c r="AJ70" s="398"/>
    </row>
    <row r="71" spans="16:36">
      <c r="P71" s="371" t="s">
        <v>963</v>
      </c>
      <c r="Q71" s="766">
        <v>1</v>
      </c>
      <c r="R71" s="371"/>
      <c r="AB71" s="398"/>
      <c r="AC71" s="398">
        <f>P35</f>
        <v>2017</v>
      </c>
      <c r="AD71" s="769">
        <f>R35</f>
        <v>850000</v>
      </c>
      <c r="AE71" s="398"/>
      <c r="AF71" s="398"/>
      <c r="AG71" s="398"/>
      <c r="AH71" s="398"/>
      <c r="AI71" s="398"/>
      <c r="AJ71" s="398"/>
    </row>
    <row r="72" spans="16:36">
      <c r="P72" s="371" t="s">
        <v>970</v>
      </c>
      <c r="Q72" s="766">
        <f>0.02*Q71*Q70</f>
        <v>26901.817608526435</v>
      </c>
      <c r="R72" s="764"/>
      <c r="AB72" s="398"/>
      <c r="AC72" s="398">
        <f>P36</f>
        <v>2018</v>
      </c>
      <c r="AD72" s="769">
        <f>R36</f>
        <v>900000</v>
      </c>
      <c r="AE72" s="398"/>
      <c r="AF72" s="398"/>
      <c r="AG72" s="398"/>
      <c r="AH72" s="398"/>
      <c r="AI72" s="398"/>
      <c r="AJ72" s="398"/>
    </row>
    <row r="73" spans="16:36">
      <c r="P73" s="371" t="s">
        <v>968</v>
      </c>
      <c r="Q73" s="766">
        <f>+Q72*(1+C24)^-(Q26-Q25)*C25</f>
        <v>262886.29592152452</v>
      </c>
      <c r="R73" s="764"/>
      <c r="AB73" s="398"/>
      <c r="AC73" s="398">
        <f>P37</f>
        <v>2019</v>
      </c>
      <c r="AD73" s="769">
        <f>R37</f>
        <v>950000</v>
      </c>
      <c r="AE73" s="398"/>
      <c r="AF73" s="398"/>
      <c r="AG73" s="398"/>
      <c r="AH73" s="398"/>
      <c r="AI73" s="398"/>
      <c r="AJ73" s="398"/>
    </row>
    <row r="74" spans="16:36">
      <c r="P74" s="764"/>
      <c r="Q74" s="764"/>
      <c r="R74" s="764"/>
      <c r="AB74" s="398"/>
      <c r="AC74" s="398">
        <f>P38</f>
        <v>2020</v>
      </c>
      <c r="AD74" s="769">
        <f>R38</f>
        <v>1000000</v>
      </c>
      <c r="AE74" s="398"/>
      <c r="AF74" s="398"/>
      <c r="AG74" s="398"/>
      <c r="AH74" s="398"/>
      <c r="AI74" s="398"/>
      <c r="AJ74" s="398"/>
    </row>
    <row r="75" spans="16:36">
      <c r="P75" s="768" t="s">
        <v>965</v>
      </c>
      <c r="Q75" s="764"/>
      <c r="R75" s="764"/>
      <c r="AB75" s="398"/>
      <c r="AC75" s="770" t="s">
        <v>973</v>
      </c>
      <c r="AD75" s="769">
        <f>C47</f>
        <v>257500</v>
      </c>
      <c r="AE75" s="398"/>
      <c r="AF75" s="398"/>
      <c r="AG75" s="398"/>
      <c r="AH75" s="398"/>
      <c r="AI75" s="398"/>
      <c r="AJ75" s="398"/>
    </row>
    <row r="76" spans="16:36">
      <c r="P76" s="371" t="s">
        <v>963</v>
      </c>
      <c r="Q76" s="766">
        <f>Q71</f>
        <v>1</v>
      </c>
      <c r="R76" s="764"/>
      <c r="AB76" s="398"/>
      <c r="AC76" s="398"/>
      <c r="AD76" s="398"/>
      <c r="AE76" s="398"/>
      <c r="AF76" s="398"/>
      <c r="AG76" s="398"/>
      <c r="AH76" s="398"/>
      <c r="AI76" s="398"/>
      <c r="AJ76" s="398"/>
    </row>
    <row r="77" spans="16:36">
      <c r="P77" s="371" t="s">
        <v>962</v>
      </c>
      <c r="Q77" s="766">
        <f>Q76*3000</f>
        <v>3000</v>
      </c>
      <c r="AB77" s="398"/>
      <c r="AC77" s="771" t="s">
        <v>1022</v>
      </c>
      <c r="AD77" s="398"/>
      <c r="AE77" s="398"/>
      <c r="AF77" s="398"/>
      <c r="AG77" s="398"/>
      <c r="AH77" s="398"/>
      <c r="AI77" s="398"/>
      <c r="AJ77" s="398"/>
    </row>
    <row r="78" spans="16:36">
      <c r="P78" s="371" t="s">
        <v>960</v>
      </c>
      <c r="Q78" s="766">
        <f>+Q77*(1+C24)^-(Q26-Q25)*C25</f>
        <v>29316.193397824947</v>
      </c>
      <c r="AB78" s="398"/>
      <c r="AC78" s="398" t="s">
        <v>969</v>
      </c>
      <c r="AD78" s="828">
        <f>AD65</f>
        <v>911500</v>
      </c>
      <c r="AE78" s="767"/>
      <c r="AF78" s="398"/>
      <c r="AG78" s="398"/>
      <c r="AH78" s="398"/>
      <c r="AI78" s="398"/>
      <c r="AJ78" s="398"/>
    </row>
    <row r="79" spans="16:36">
      <c r="AB79" s="398"/>
      <c r="AC79" s="398" t="s">
        <v>967</v>
      </c>
      <c r="AD79" s="828">
        <f>AD66</f>
        <v>10</v>
      </c>
      <c r="AE79" s="767"/>
      <c r="AF79" s="398"/>
      <c r="AG79" s="398"/>
      <c r="AH79" s="398"/>
      <c r="AI79" s="398"/>
      <c r="AJ79" s="398"/>
    </row>
    <row r="80" spans="16:36">
      <c r="AB80" s="398"/>
      <c r="AC80" s="398" t="s">
        <v>966</v>
      </c>
      <c r="AD80" s="828">
        <f>0.02*AD78*AD79</f>
        <v>182300</v>
      </c>
      <c r="AE80" s="767"/>
      <c r="AF80" s="398"/>
      <c r="AG80" s="398"/>
      <c r="AH80" s="398"/>
      <c r="AI80" s="398"/>
      <c r="AJ80" s="398"/>
    </row>
    <row r="81" spans="17:36">
      <c r="AB81" s="398"/>
      <c r="AC81" s="398" t="s">
        <v>1021</v>
      </c>
      <c r="AD81" s="828">
        <f>+AD80*(1+C45)^-(Q26-Q25-0.25)*C46</f>
        <v>2015599.9356927779</v>
      </c>
      <c r="AE81" s="767"/>
      <c r="AF81" s="398"/>
      <c r="AG81" s="398"/>
      <c r="AH81" s="398"/>
      <c r="AI81" s="398"/>
      <c r="AJ81" s="398"/>
    </row>
    <row r="82" spans="17:36">
      <c r="AB82" s="398"/>
      <c r="AC82" s="398"/>
      <c r="AD82" s="828"/>
      <c r="AE82" s="767"/>
      <c r="AF82" s="398"/>
      <c r="AG82" s="398"/>
      <c r="AH82" s="398"/>
      <c r="AI82" s="398"/>
      <c r="AJ82" s="398"/>
    </row>
    <row r="83" spans="17:36">
      <c r="AB83" s="398"/>
      <c r="AC83" s="771" t="s">
        <v>1020</v>
      </c>
      <c r="AD83" s="828"/>
      <c r="AE83" s="767"/>
      <c r="AF83" s="398"/>
      <c r="AG83" s="398"/>
      <c r="AH83" s="398"/>
      <c r="AI83" s="398"/>
      <c r="AJ83" s="398"/>
    </row>
    <row r="84" spans="17:36">
      <c r="AB84" s="398"/>
      <c r="AC84" s="398" t="s">
        <v>959</v>
      </c>
      <c r="AD84" s="828">
        <f>+AD79*3000</f>
        <v>30000</v>
      </c>
      <c r="AE84" s="767"/>
      <c r="AF84" s="398"/>
      <c r="AG84" s="398"/>
      <c r="AH84" s="398"/>
      <c r="AI84" s="398"/>
      <c r="AJ84" s="398"/>
    </row>
    <row r="85" spans="17:36">
      <c r="AB85" s="398"/>
      <c r="AC85" s="398" t="s">
        <v>1019</v>
      </c>
      <c r="AD85" s="828">
        <f>AD84*(1+C45)^-(Q26-Q25-0.25)*C46</f>
        <v>331694.99764554767</v>
      </c>
      <c r="AE85" s="767"/>
      <c r="AF85" s="398"/>
      <c r="AG85" s="398"/>
      <c r="AH85" s="398"/>
      <c r="AI85" s="398"/>
      <c r="AJ85" s="398"/>
    </row>
    <row r="86" spans="17:36">
      <c r="AB86" s="398"/>
      <c r="AC86" s="398"/>
      <c r="AD86" s="828"/>
      <c r="AE86" s="767"/>
      <c r="AF86" s="398"/>
      <c r="AG86" s="398"/>
      <c r="AH86" s="398"/>
      <c r="AI86" s="398"/>
      <c r="AJ86" s="398"/>
    </row>
    <row r="87" spans="17:36">
      <c r="Q87" s="818"/>
      <c r="AB87" s="398"/>
      <c r="AC87" s="774" t="s">
        <v>1018</v>
      </c>
      <c r="AD87" s="828">
        <f>AD81-AD85</f>
        <v>1683904.9380472302</v>
      </c>
      <c r="AE87" s="767"/>
      <c r="AF87" s="398"/>
      <c r="AG87" s="398"/>
      <c r="AH87" s="398"/>
      <c r="AI87" s="398"/>
      <c r="AJ87" s="398"/>
    </row>
    <row r="88" spans="17:36">
      <c r="Q88" s="818"/>
      <c r="AB88" s="398"/>
      <c r="AC88" s="398"/>
      <c r="AD88" s="398"/>
      <c r="AE88" s="767"/>
      <c r="AF88" s="398"/>
      <c r="AG88" s="398"/>
      <c r="AH88" s="398"/>
      <c r="AI88" s="398"/>
      <c r="AJ88" s="398"/>
    </row>
    <row r="89" spans="17:36">
      <c r="Q89" s="818"/>
      <c r="AB89" s="398"/>
      <c r="AC89" s="398"/>
      <c r="AD89" s="398"/>
      <c r="AE89" s="827"/>
      <c r="AF89" s="398"/>
      <c r="AG89" s="398"/>
      <c r="AH89" s="398"/>
      <c r="AI89" s="398"/>
      <c r="AJ89" s="398"/>
    </row>
    <row r="90" spans="17:36">
      <c r="Q90" s="817"/>
      <c r="AB90" s="398"/>
      <c r="AC90" s="398"/>
      <c r="AD90" s="398"/>
      <c r="AE90" s="398"/>
      <c r="AF90" s="398"/>
      <c r="AG90" s="398"/>
      <c r="AH90" s="398"/>
      <c r="AI90" s="398"/>
      <c r="AJ90" s="398"/>
    </row>
    <row r="91" spans="17:36">
      <c r="Q91" s="443"/>
      <c r="AB91" s="398"/>
      <c r="AC91" s="398"/>
      <c r="AD91" s="398"/>
      <c r="AE91" s="398"/>
      <c r="AF91" s="398"/>
      <c r="AG91" s="398"/>
      <c r="AH91" s="398"/>
      <c r="AI91" s="398"/>
      <c r="AJ91" s="398"/>
    </row>
    <row r="92" spans="17:36">
      <c r="AB92" s="398"/>
      <c r="AC92" s="398"/>
      <c r="AD92" s="398"/>
      <c r="AE92" s="398"/>
      <c r="AF92" s="398"/>
      <c r="AG92" s="398"/>
      <c r="AH92" s="398"/>
      <c r="AI92" s="398"/>
      <c r="AJ92" s="398"/>
    </row>
    <row r="93" spans="17:36">
      <c r="AB93" s="398"/>
      <c r="AC93" s="398"/>
      <c r="AD93" s="398"/>
      <c r="AE93" s="398"/>
      <c r="AF93" s="398"/>
      <c r="AG93" s="398"/>
      <c r="AH93" s="398"/>
      <c r="AI93" s="398"/>
      <c r="AJ93" s="398"/>
    </row>
    <row r="94" spans="17:36">
      <c r="AB94" s="398"/>
      <c r="AC94" s="398"/>
      <c r="AD94" s="398"/>
      <c r="AE94" s="398"/>
      <c r="AF94" s="398"/>
      <c r="AG94" s="398"/>
      <c r="AH94" s="398"/>
      <c r="AI94" s="398"/>
      <c r="AJ94" s="398"/>
    </row>
    <row r="95" spans="17:36">
      <c r="AB95" s="398"/>
      <c r="AC95" s="398"/>
      <c r="AD95" s="398"/>
      <c r="AE95" s="398"/>
      <c r="AF95" s="398"/>
      <c r="AG95" s="398"/>
      <c r="AH95" s="398"/>
      <c r="AI95" s="398"/>
      <c r="AJ95" s="398"/>
    </row>
    <row r="96" spans="17:36">
      <c r="AB96" s="398"/>
      <c r="AC96" s="398"/>
      <c r="AD96" s="398"/>
      <c r="AE96" s="398"/>
      <c r="AF96" s="398"/>
      <c r="AG96" s="398"/>
      <c r="AH96" s="398"/>
      <c r="AI96" s="398"/>
      <c r="AJ96" s="398"/>
    </row>
    <row r="97" spans="15:36">
      <c r="Q97" s="819"/>
      <c r="AB97" s="398"/>
      <c r="AC97" s="398"/>
      <c r="AD97" s="398"/>
      <c r="AE97" s="398"/>
      <c r="AF97" s="398"/>
      <c r="AG97" s="398"/>
      <c r="AH97" s="398"/>
      <c r="AI97" s="398"/>
      <c r="AJ97" s="398"/>
    </row>
    <row r="98" spans="15:36">
      <c r="Q98" s="819"/>
    </row>
    <row r="99" spans="15:36">
      <c r="Q99" s="819"/>
    </row>
    <row r="100" spans="15:36">
      <c r="Q100" s="819"/>
    </row>
    <row r="101" spans="15:36">
      <c r="Q101" s="819"/>
    </row>
    <row r="102" spans="15:36">
      <c r="Q102" s="819"/>
    </row>
    <row r="103" spans="15:36">
      <c r="Q103" s="819"/>
    </row>
    <row r="104" spans="15:36">
      <c r="Q104" s="826"/>
    </row>
    <row r="105" spans="15:36" ht="15.75" customHeight="1">
      <c r="O105" s="4"/>
      <c r="P105" s="1657"/>
      <c r="Q105" s="1657"/>
      <c r="R105" s="1657"/>
      <c r="S105" s="1657"/>
      <c r="T105" s="1657"/>
      <c r="U105" s="1657"/>
      <c r="V105" s="1657"/>
      <c r="W105" s="1657"/>
      <c r="X105" s="1657"/>
      <c r="Y105" s="1657"/>
      <c r="Z105" s="1657"/>
    </row>
    <row r="106" spans="15:36">
      <c r="O106" s="4"/>
      <c r="P106" s="824"/>
      <c r="Q106" s="824"/>
      <c r="R106" s="824"/>
      <c r="S106" s="824"/>
      <c r="T106" s="824"/>
      <c r="U106" s="824"/>
      <c r="V106" s="824"/>
      <c r="W106" s="824"/>
      <c r="X106" s="824"/>
      <c r="Y106" s="824"/>
      <c r="Z106" s="824"/>
    </row>
    <row r="107" spans="15:36">
      <c r="O107" s="4"/>
      <c r="P107" s="825"/>
      <c r="Q107" s="824"/>
      <c r="R107" s="824"/>
      <c r="S107" s="824"/>
      <c r="T107" s="824"/>
      <c r="U107" s="824"/>
      <c r="V107" s="824"/>
      <c r="W107" s="824"/>
      <c r="X107" s="824"/>
      <c r="Y107" s="824"/>
      <c r="Z107" s="824"/>
    </row>
    <row r="108" spans="15:36">
      <c r="O108" s="4"/>
      <c r="P108" s="825"/>
      <c r="Q108" s="824"/>
      <c r="R108" s="824"/>
      <c r="S108" s="824"/>
      <c r="T108" s="824"/>
      <c r="U108" s="824"/>
      <c r="V108" s="824"/>
      <c r="W108" s="824"/>
      <c r="X108" s="824"/>
      <c r="Y108" s="824"/>
      <c r="Z108" s="824"/>
    </row>
    <row r="110" spans="15:36">
      <c r="P110" s="445"/>
    </row>
    <row r="113" spans="16:16">
      <c r="P113" s="820"/>
    </row>
    <row r="115" spans="16:16">
      <c r="P115" s="440"/>
    </row>
    <row r="116" spans="16:16">
      <c r="P116" s="440"/>
    </row>
    <row r="117" spans="16:16">
      <c r="P117" s="440"/>
    </row>
    <row r="118" spans="16:16">
      <c r="P118" s="440"/>
    </row>
    <row r="119" spans="16:16">
      <c r="P119" s="440"/>
    </row>
    <row r="120" spans="16:16">
      <c r="P120" s="440"/>
    </row>
    <row r="121" spans="16:16">
      <c r="P121" s="819"/>
    </row>
    <row r="124" spans="16:16">
      <c r="P124" s="819"/>
    </row>
    <row r="127" spans="16:16">
      <c r="P127" s="817"/>
    </row>
    <row r="128" spans="16:16">
      <c r="P128" s="817"/>
    </row>
    <row r="129" spans="16:16">
      <c r="P129" s="819"/>
    </row>
    <row r="130" spans="16:16">
      <c r="P130" s="819"/>
    </row>
    <row r="131" spans="16:16">
      <c r="P131" s="819"/>
    </row>
    <row r="132" spans="16:16">
      <c r="P132" s="817"/>
    </row>
    <row r="133" spans="16:16">
      <c r="P133" s="819"/>
    </row>
    <row r="134" spans="16:16">
      <c r="P134" s="819"/>
    </row>
    <row r="135" spans="16:16">
      <c r="P135" s="819"/>
    </row>
    <row r="136" spans="16:16">
      <c r="P136" s="817"/>
    </row>
    <row r="137" spans="16:16">
      <c r="P137" s="819"/>
    </row>
    <row r="138" spans="16:16">
      <c r="P138" s="819"/>
    </row>
    <row r="139" spans="16:16">
      <c r="P139" s="817"/>
    </row>
    <row r="140" spans="16:16">
      <c r="P140" s="817"/>
    </row>
    <row r="141" spans="16:16">
      <c r="P141" s="817"/>
    </row>
    <row r="149" spans="17:18">
      <c r="R149" s="819"/>
    </row>
    <row r="151" spans="17:18">
      <c r="R151" s="819"/>
    </row>
    <row r="152" spans="17:18">
      <c r="R152" s="819"/>
    </row>
    <row r="155" spans="17:18">
      <c r="R155" s="815"/>
    </row>
    <row r="156" spans="17:18">
      <c r="R156" s="819"/>
    </row>
    <row r="158" spans="17:18">
      <c r="R158" s="818"/>
    </row>
    <row r="159" spans="17:18">
      <c r="R159" s="823"/>
    </row>
    <row r="160" spans="17:18">
      <c r="Q160" s="819"/>
    </row>
    <row r="161" spans="17:20">
      <c r="Q161" s="819"/>
    </row>
    <row r="162" spans="17:20">
      <c r="Q162" s="819"/>
    </row>
    <row r="164" spans="17:20">
      <c r="Q164" s="822"/>
      <c r="R164" s="821"/>
      <c r="T164" s="821"/>
    </row>
    <row r="165" spans="17:20">
      <c r="Q165" s="818"/>
      <c r="R165" s="818"/>
      <c r="S165" s="815"/>
      <c r="T165" s="818"/>
    </row>
    <row r="166" spans="17:20">
      <c r="Q166" s="818"/>
      <c r="R166" s="818"/>
      <c r="S166" s="815"/>
      <c r="T166" s="818"/>
    </row>
    <row r="167" spans="17:20">
      <c r="Q167" s="818"/>
      <c r="R167" s="818"/>
      <c r="S167" s="815"/>
      <c r="T167" s="818"/>
    </row>
    <row r="168" spans="17:20">
      <c r="Q168" s="818"/>
      <c r="R168" s="818"/>
      <c r="S168" s="815"/>
      <c r="T168" s="818"/>
    </row>
    <row r="169" spans="17:20">
      <c r="Q169" s="818"/>
      <c r="R169" s="818"/>
      <c r="S169" s="815"/>
      <c r="T169" s="818"/>
    </row>
    <row r="170" spans="17:20">
      <c r="Q170" s="818"/>
      <c r="R170" s="818"/>
      <c r="S170" s="815"/>
      <c r="T170" s="818"/>
    </row>
    <row r="171" spans="17:20">
      <c r="Q171" s="818"/>
      <c r="R171" s="818"/>
      <c r="S171" s="815"/>
      <c r="T171" s="818"/>
    </row>
    <row r="173" spans="17:20">
      <c r="Q173" s="127"/>
      <c r="R173" s="819"/>
      <c r="S173" s="819"/>
      <c r="T173" s="440"/>
    </row>
    <row r="174" spans="17:20">
      <c r="Q174" s="127"/>
      <c r="R174" s="819"/>
      <c r="T174" s="818"/>
    </row>
    <row r="175" spans="17:20">
      <c r="Q175" s="127"/>
      <c r="R175" s="819"/>
      <c r="T175" s="819"/>
    </row>
    <row r="176" spans="17:20">
      <c r="Q176" s="127"/>
      <c r="R176" s="819"/>
      <c r="T176" s="819"/>
    </row>
    <row r="177" spans="16:20">
      <c r="R177" s="818"/>
      <c r="T177" s="818"/>
    </row>
    <row r="180" spans="16:20">
      <c r="P180" s="820"/>
    </row>
    <row r="182" spans="16:20">
      <c r="P182" s="440"/>
    </row>
    <row r="183" spans="16:20">
      <c r="P183" s="440"/>
    </row>
    <row r="184" spans="16:20">
      <c r="P184" s="440"/>
    </row>
    <row r="185" spans="16:20">
      <c r="P185" s="440"/>
    </row>
    <row r="186" spans="16:20">
      <c r="P186" s="440"/>
    </row>
    <row r="187" spans="16:20">
      <c r="P187" s="440"/>
    </row>
    <row r="188" spans="16:20">
      <c r="P188" s="819"/>
    </row>
    <row r="191" spans="16:20">
      <c r="Q191" s="818"/>
    </row>
    <row r="192" spans="16:20">
      <c r="Q192" s="818"/>
    </row>
    <row r="193" spans="16:17">
      <c r="Q193" s="818"/>
    </row>
    <row r="194" spans="16:17">
      <c r="Q194" s="817"/>
    </row>
    <row r="195" spans="16:17">
      <c r="Q195" s="443"/>
    </row>
    <row r="198" spans="16:17">
      <c r="P198" s="815"/>
    </row>
    <row r="199" spans="16:17">
      <c r="P199" s="815"/>
    </row>
    <row r="200" spans="16:17" ht="17.399999999999999">
      <c r="P200" s="816"/>
    </row>
    <row r="201" spans="16:17">
      <c r="P201" s="815"/>
    </row>
  </sheetData>
  <mergeCells count="23">
    <mergeCell ref="B51:M52"/>
    <mergeCell ref="P105:Z105"/>
    <mergeCell ref="A40:M41"/>
    <mergeCell ref="C24:D24"/>
    <mergeCell ref="C25:D25"/>
    <mergeCell ref="C45:D45"/>
    <mergeCell ref="C46:D46"/>
    <mergeCell ref="C47:D47"/>
    <mergeCell ref="C11:D11"/>
    <mergeCell ref="A18:M19"/>
    <mergeCell ref="C21:D21"/>
    <mergeCell ref="C22:D22"/>
    <mergeCell ref="C23:D23"/>
    <mergeCell ref="C29:D29"/>
    <mergeCell ref="C30:D30"/>
    <mergeCell ref="C31:D31"/>
    <mergeCell ref="C32:D32"/>
    <mergeCell ref="B34:L35"/>
    <mergeCell ref="A5:M6"/>
    <mergeCell ref="AC7:AK8"/>
    <mergeCell ref="P9:Z9"/>
    <mergeCell ref="C10:D10"/>
    <mergeCell ref="AC10:AF10"/>
  </mergeCells>
  <pageMargins left="0.7" right="0.7" top="0.75" bottom="0.75" header="0.3" footer="0.3"/>
  <pageSetup scale="50" orientation="portrait" r:id="rId1"/>
  <colBreaks count="2" manualBreakCount="2">
    <brk id="14" max="1048575" man="1"/>
    <brk id="26"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211FB-B50C-4AF6-986B-5802B277E06C}">
  <dimension ref="A1:AA126"/>
  <sheetViews>
    <sheetView zoomScale="85" zoomScaleNormal="85" workbookViewId="0">
      <selection sqref="A1:XFD1048576"/>
    </sheetView>
  </sheetViews>
  <sheetFormatPr defaultRowHeight="15.6"/>
  <cols>
    <col min="1" max="1" width="3.6640625" style="2" customWidth="1"/>
    <col min="2" max="2" width="56.5546875" style="2" customWidth="1"/>
    <col min="3" max="3" width="24.33203125" style="2" customWidth="1"/>
    <col min="4" max="4" width="13.6640625" style="2" customWidth="1"/>
    <col min="5" max="5" width="6.88671875" style="2" bestFit="1" customWidth="1"/>
    <col min="6" max="6" width="10" style="2" hidden="1" customWidth="1"/>
    <col min="7" max="7" width="6.88671875" style="2" hidden="1" customWidth="1"/>
    <col min="8" max="8" width="10" style="2" hidden="1" customWidth="1"/>
    <col min="9" max="9" width="6.88671875" style="2" hidden="1" customWidth="1"/>
    <col min="10" max="10" width="10" style="2" hidden="1" customWidth="1"/>
    <col min="11" max="11" width="6.88671875" style="2" hidden="1" customWidth="1"/>
    <col min="12" max="12" width="10" style="2" hidden="1" customWidth="1"/>
    <col min="13" max="13" width="2.6640625" style="2" customWidth="1"/>
    <col min="14" max="14" width="1" style="3" customWidth="1"/>
    <col min="15" max="15" width="5.33203125" style="33" customWidth="1"/>
    <col min="16" max="16" width="12" style="33" customWidth="1"/>
    <col min="17" max="17" width="17.33203125" style="33" customWidth="1"/>
    <col min="18" max="18" width="13.44140625" style="33" customWidth="1"/>
    <col min="19" max="19" width="12.5546875" style="33" bestFit="1" customWidth="1"/>
    <col min="20" max="20" width="15" style="33" customWidth="1"/>
    <col min="21" max="21" width="8.88671875" style="33"/>
    <col min="22" max="22" width="11" style="33" customWidth="1"/>
    <col min="23" max="23" width="8.88671875" style="33"/>
    <col min="24" max="26" width="14.6640625" style="33" customWidth="1"/>
    <col min="27" max="27" width="1" style="3" customWidth="1"/>
  </cols>
  <sheetData>
    <row r="1" spans="1:26">
      <c r="A1" s="1" t="s">
        <v>1057</v>
      </c>
      <c r="O1" s="1" t="s">
        <v>1057</v>
      </c>
      <c r="P1" s="2"/>
      <c r="Q1" s="2"/>
      <c r="R1" s="2"/>
      <c r="S1" s="2"/>
      <c r="T1" s="2"/>
      <c r="U1" s="2"/>
      <c r="V1" s="2"/>
      <c r="W1" s="2"/>
      <c r="X1" s="2"/>
      <c r="Y1" s="2"/>
      <c r="Z1" s="2"/>
    </row>
    <row r="2" spans="1:26">
      <c r="A2" s="1" t="s">
        <v>732</v>
      </c>
      <c r="O2" s="1" t="s">
        <v>732</v>
      </c>
      <c r="P2" s="2"/>
      <c r="Q2" s="2"/>
      <c r="R2" s="2"/>
      <c r="S2" s="2"/>
      <c r="T2" s="2"/>
      <c r="U2" s="2"/>
      <c r="V2" s="2"/>
      <c r="W2" s="2"/>
      <c r="X2" s="2"/>
      <c r="Y2" s="2"/>
      <c r="Z2" s="2"/>
    </row>
    <row r="3" spans="1:26">
      <c r="A3" s="1" t="s">
        <v>259</v>
      </c>
      <c r="O3" s="1" t="s">
        <v>259</v>
      </c>
      <c r="P3" s="2"/>
      <c r="Q3" s="2"/>
      <c r="R3" s="2"/>
      <c r="S3" s="2"/>
      <c r="T3" s="2"/>
      <c r="U3" s="2"/>
      <c r="V3" s="2"/>
      <c r="W3" s="2"/>
      <c r="X3" s="2"/>
      <c r="Y3" s="2"/>
      <c r="Z3" s="2"/>
    </row>
    <row r="4" spans="1:26">
      <c r="O4" s="2"/>
      <c r="P4" s="2"/>
      <c r="Q4" s="2"/>
      <c r="R4" s="2"/>
      <c r="S4" s="2"/>
      <c r="T4" s="2"/>
      <c r="U4" s="2"/>
      <c r="V4" s="2"/>
      <c r="W4" s="2"/>
      <c r="X4" s="2"/>
      <c r="Y4" s="2"/>
      <c r="Z4" s="2"/>
    </row>
    <row r="5" spans="1:26" ht="16.2" customHeight="1">
      <c r="A5" s="1658" t="s">
        <v>1056</v>
      </c>
      <c r="B5" s="1658"/>
      <c r="C5" s="1658"/>
      <c r="D5" s="1658"/>
      <c r="E5" s="1658"/>
      <c r="F5" s="1658"/>
      <c r="G5" s="1658"/>
      <c r="H5" s="1658"/>
      <c r="I5" s="1658"/>
      <c r="J5" s="1658"/>
      <c r="K5" s="1658"/>
      <c r="L5" s="1658"/>
      <c r="M5" s="1658"/>
      <c r="O5" s="6" t="s">
        <v>4</v>
      </c>
      <c r="P5" s="2"/>
      <c r="Q5" s="2"/>
      <c r="R5" s="2"/>
      <c r="S5" s="2"/>
      <c r="T5" s="2"/>
      <c r="U5" s="2"/>
      <c r="V5" s="2"/>
      <c r="W5" s="2"/>
      <c r="X5" s="2"/>
      <c r="Y5" s="2"/>
      <c r="Z5" s="2"/>
    </row>
    <row r="6" spans="1:26">
      <c r="A6" s="1658"/>
      <c r="B6" s="1658"/>
      <c r="C6" s="1658"/>
      <c r="D6" s="1658"/>
      <c r="E6" s="1658"/>
      <c r="F6" s="1658"/>
      <c r="G6" s="1658"/>
      <c r="H6" s="1658"/>
      <c r="I6" s="1658"/>
      <c r="J6" s="1658"/>
      <c r="K6" s="1658"/>
      <c r="L6" s="1658"/>
      <c r="M6" s="1658"/>
      <c r="O6" s="2"/>
      <c r="P6" s="2"/>
      <c r="Q6" s="2"/>
      <c r="R6" s="2"/>
      <c r="S6" s="2"/>
      <c r="T6" s="2"/>
      <c r="U6" s="2"/>
      <c r="V6" s="2"/>
      <c r="W6" s="2"/>
      <c r="X6" s="2"/>
      <c r="Y6" s="2"/>
      <c r="Z6" s="2"/>
    </row>
    <row r="7" spans="1:26" ht="15.6" customHeight="1">
      <c r="A7" s="1658"/>
      <c r="B7" s="1658"/>
      <c r="C7" s="1658"/>
      <c r="D7" s="1658"/>
      <c r="E7" s="1658"/>
      <c r="F7" s="1658"/>
      <c r="G7" s="1658"/>
      <c r="H7" s="1658"/>
      <c r="I7" s="1658"/>
      <c r="J7" s="1658"/>
      <c r="K7" s="1658"/>
      <c r="L7" s="1658"/>
      <c r="M7" s="1658"/>
      <c r="O7" s="2" t="s">
        <v>246</v>
      </c>
      <c r="P7" s="1462" t="str">
        <f>B27</f>
        <v xml:space="preserve">(7 points)  Calculate the revised 2021 Defined Benefit Cost, including the change to Other Comprehensive Income, under International Accounting Standard IAS 19, rev. 2011 (IAS 19).  
Show all work.
</v>
      </c>
      <c r="Q7" s="1462"/>
      <c r="R7" s="1462"/>
      <c r="S7" s="1462"/>
      <c r="T7" s="1462"/>
      <c r="U7" s="1462"/>
      <c r="V7" s="1462"/>
      <c r="W7" s="1462"/>
      <c r="X7" s="1462"/>
      <c r="Y7" s="1462"/>
      <c r="Z7" s="1462"/>
    </row>
    <row r="8" spans="1:26" ht="15.6" customHeight="1">
      <c r="A8" s="1658"/>
      <c r="B8" s="1658"/>
      <c r="C8" s="1658"/>
      <c r="D8" s="1658"/>
      <c r="E8" s="1658"/>
      <c r="F8" s="1658"/>
      <c r="G8" s="1658"/>
      <c r="H8" s="1658"/>
      <c r="I8" s="1658"/>
      <c r="J8" s="1658"/>
      <c r="K8" s="1658"/>
      <c r="L8" s="1658"/>
      <c r="M8" s="1658"/>
      <c r="O8" s="2"/>
      <c r="P8" s="1462"/>
      <c r="Q8" s="1462"/>
      <c r="R8" s="1462"/>
      <c r="S8" s="1462"/>
      <c r="T8" s="1462"/>
      <c r="U8" s="1462"/>
      <c r="V8" s="1462"/>
      <c r="W8" s="1462"/>
      <c r="X8" s="1462"/>
      <c r="Y8" s="1462"/>
      <c r="Z8" s="1462"/>
    </row>
    <row r="9" spans="1:26" ht="15.75" customHeight="1">
      <c r="A9" s="1658"/>
      <c r="B9" s="1658"/>
      <c r="C9" s="1658"/>
      <c r="D9" s="1658"/>
      <c r="E9" s="1658"/>
      <c r="F9" s="1658"/>
      <c r="G9" s="1658"/>
      <c r="H9" s="1658"/>
      <c r="I9" s="1658"/>
      <c r="J9" s="1658"/>
      <c r="K9" s="1658"/>
      <c r="L9" s="1658"/>
      <c r="M9" s="1658"/>
      <c r="O9" s="2"/>
      <c r="P9" s="1462"/>
      <c r="Q9" s="1462"/>
      <c r="R9" s="1462"/>
      <c r="S9" s="1462"/>
      <c r="T9" s="1462"/>
      <c r="U9" s="1462"/>
      <c r="V9" s="1462"/>
      <c r="W9" s="1462"/>
      <c r="X9" s="1462"/>
      <c r="Y9" s="1462"/>
      <c r="Z9" s="1462"/>
    </row>
    <row r="10" spans="1:26">
      <c r="A10" s="1658"/>
      <c r="B10" s="1658"/>
      <c r="C10" s="1658"/>
      <c r="D10" s="1658"/>
      <c r="E10" s="1658"/>
      <c r="F10" s="1658"/>
      <c r="G10" s="1658"/>
      <c r="H10" s="1658"/>
      <c r="I10" s="1658"/>
      <c r="J10" s="1658"/>
      <c r="K10" s="1658"/>
      <c r="L10" s="1658"/>
      <c r="M10" s="1658"/>
      <c r="O10" s="2"/>
      <c r="P10" s="1462"/>
      <c r="Q10" s="1462"/>
      <c r="R10" s="1462"/>
      <c r="S10" s="1462"/>
      <c r="T10" s="1462"/>
      <c r="U10" s="1462"/>
      <c r="V10" s="1462"/>
      <c r="W10" s="1462"/>
      <c r="X10" s="1462"/>
      <c r="Y10" s="1462"/>
      <c r="Z10" s="1462"/>
    </row>
    <row r="11" spans="1:26">
      <c r="O11" s="2"/>
      <c r="P11" s="1462"/>
      <c r="Q11" s="1462"/>
      <c r="R11" s="1462"/>
      <c r="S11" s="1462"/>
      <c r="T11" s="1462"/>
      <c r="U11" s="1462"/>
      <c r="V11" s="1462"/>
      <c r="W11" s="1462"/>
      <c r="X11" s="1462"/>
      <c r="Y11" s="1462"/>
      <c r="Z11" s="1462"/>
    </row>
    <row r="12" spans="1:26">
      <c r="B12" s="850" t="s">
        <v>1055</v>
      </c>
      <c r="C12" s="849">
        <v>19000</v>
      </c>
    </row>
    <row r="13" spans="1:26">
      <c r="B13" s="850" t="s">
        <v>1054</v>
      </c>
      <c r="C13" s="849">
        <v>21000</v>
      </c>
    </row>
    <row r="14" spans="1:26">
      <c r="B14" s="850" t="s">
        <v>1053</v>
      </c>
      <c r="C14" s="849">
        <v>21500</v>
      </c>
    </row>
    <row r="15" spans="1:26">
      <c r="B15" s="850" t="s">
        <v>1052</v>
      </c>
      <c r="C15" s="849">
        <v>35849</v>
      </c>
    </row>
    <row r="16" spans="1:26">
      <c r="B16" s="850" t="s">
        <v>1051</v>
      </c>
      <c r="C16" s="853" t="s">
        <v>59</v>
      </c>
    </row>
    <row r="17" spans="1:17">
      <c r="B17" s="850" t="s">
        <v>1050</v>
      </c>
      <c r="C17" s="849">
        <v>0</v>
      </c>
    </row>
    <row r="18" spans="1:17">
      <c r="B18" s="1659" t="s">
        <v>1049</v>
      </c>
      <c r="C18" s="1659"/>
    </row>
    <row r="19" spans="1:17">
      <c r="B19" s="850" t="s">
        <v>1048</v>
      </c>
      <c r="C19" s="851">
        <v>0.04</v>
      </c>
    </row>
    <row r="20" spans="1:17">
      <c r="B20" s="850" t="s">
        <v>1047</v>
      </c>
      <c r="C20" s="849">
        <v>700000</v>
      </c>
    </row>
    <row r="21" spans="1:17" ht="46.8">
      <c r="B21" s="850" t="s">
        <v>1046</v>
      </c>
      <c r="C21" s="849">
        <v>1200000</v>
      </c>
    </row>
    <row r="22" spans="1:17" ht="31.2">
      <c r="B22" s="850" t="s">
        <v>1045</v>
      </c>
      <c r="C22" s="849">
        <v>1210000</v>
      </c>
    </row>
    <row r="23" spans="1:17">
      <c r="B23" s="850" t="s">
        <v>1044</v>
      </c>
      <c r="C23" s="849">
        <v>51580</v>
      </c>
    </row>
    <row r="24" spans="1:17">
      <c r="B24" s="848"/>
      <c r="C24" s="847"/>
    </row>
    <row r="25" spans="1:17">
      <c r="A25" s="2" t="s">
        <v>1043</v>
      </c>
      <c r="B25" s="848"/>
      <c r="C25" s="847"/>
    </row>
    <row r="26" spans="1:17" ht="15.6" customHeight="1">
      <c r="B26" s="7"/>
      <c r="C26" s="23"/>
      <c r="D26" s="23"/>
    </row>
    <row r="27" spans="1:17" ht="15.6" customHeight="1">
      <c r="A27" s="2" t="s">
        <v>246</v>
      </c>
      <c r="B27" s="1462" t="s">
        <v>1042</v>
      </c>
      <c r="C27" s="1462"/>
      <c r="D27" s="1462"/>
      <c r="E27" s="5"/>
      <c r="F27" s="5"/>
      <c r="G27" s="5"/>
      <c r="H27" s="5"/>
      <c r="I27" s="5"/>
      <c r="J27" s="5"/>
      <c r="K27" s="5"/>
    </row>
    <row r="28" spans="1:17">
      <c r="A28" s="5"/>
      <c r="B28" s="1462"/>
      <c r="C28" s="1462"/>
      <c r="D28" s="1462"/>
      <c r="E28" s="5"/>
      <c r="F28" s="5"/>
      <c r="G28" s="5"/>
      <c r="H28" s="5"/>
      <c r="I28" s="5"/>
      <c r="J28" s="5"/>
      <c r="K28" s="5"/>
    </row>
    <row r="29" spans="1:17" ht="16.2" customHeight="1">
      <c r="A29" s="5"/>
      <c r="B29" s="1462"/>
      <c r="C29" s="1462"/>
      <c r="D29" s="1462"/>
      <c r="E29" s="5"/>
      <c r="F29" s="5"/>
      <c r="G29" s="5"/>
      <c r="H29" s="5"/>
      <c r="I29" s="5"/>
      <c r="J29" s="5"/>
      <c r="K29" s="5"/>
    </row>
    <row r="30" spans="1:17" ht="16.2" customHeight="1">
      <c r="A30" s="5"/>
      <c r="B30" s="1462"/>
      <c r="C30" s="1462"/>
      <c r="D30" s="1462"/>
      <c r="E30" s="5"/>
      <c r="F30" s="5"/>
      <c r="G30" s="5"/>
      <c r="H30" s="5"/>
      <c r="I30" s="5"/>
      <c r="J30" s="5"/>
      <c r="K30" s="5"/>
    </row>
    <row r="31" spans="1:17" ht="16.2">
      <c r="B31" s="29" t="s">
        <v>32</v>
      </c>
      <c r="Q31" s="35"/>
    </row>
    <row r="32" spans="1:17">
      <c r="Q32" s="35"/>
    </row>
    <row r="35" spans="17:17">
      <c r="Q35" s="35"/>
    </row>
    <row r="36" spans="17:17">
      <c r="Q36" s="35"/>
    </row>
    <row r="38" spans="17:17">
      <c r="Q38" s="34"/>
    </row>
    <row r="41" spans="17:17">
      <c r="Q41" s="35"/>
    </row>
    <row r="42" spans="17:17">
      <c r="Q42" s="35"/>
    </row>
    <row r="43" spans="17:17">
      <c r="Q43" s="35"/>
    </row>
    <row r="44" spans="17:17">
      <c r="Q44" s="35"/>
    </row>
    <row r="45" spans="17:17">
      <c r="Q45" s="35"/>
    </row>
    <row r="46" spans="17:17">
      <c r="Q46" s="35"/>
    </row>
    <row r="48" spans="17:17">
      <c r="Q48" s="36"/>
    </row>
    <row r="50" spans="16:16">
      <c r="P50" s="846"/>
    </row>
    <row r="51" spans="16:16" ht="15.75" customHeight="1"/>
    <row r="53" spans="16:16">
      <c r="P53" s="845"/>
    </row>
    <row r="55" spans="16:16">
      <c r="P55" s="34"/>
    </row>
    <row r="56" spans="16:16">
      <c r="P56" s="34"/>
    </row>
    <row r="57" spans="16:16">
      <c r="P57" s="35"/>
    </row>
    <row r="58" spans="16:16">
      <c r="P58" s="34"/>
    </row>
    <row r="59" spans="16:16">
      <c r="P59" s="34"/>
    </row>
    <row r="60" spans="16:16">
      <c r="P60" s="34"/>
    </row>
    <row r="64" spans="16:16">
      <c r="P64" s="35"/>
    </row>
    <row r="67" spans="16:18">
      <c r="P67" s="36"/>
    </row>
    <row r="68" spans="16:18">
      <c r="P68" s="36"/>
    </row>
    <row r="69" spans="16:18">
      <c r="P69" s="35"/>
      <c r="R69" s="37"/>
    </row>
    <row r="70" spans="16:18">
      <c r="P70" s="35"/>
    </row>
    <row r="71" spans="16:18">
      <c r="P71" s="35"/>
    </row>
    <row r="72" spans="16:18">
      <c r="P72" s="36"/>
    </row>
    <row r="73" spans="16:18">
      <c r="P73" s="35"/>
    </row>
    <row r="74" spans="16:18">
      <c r="P74" s="35"/>
    </row>
    <row r="75" spans="16:18">
      <c r="P75" s="35"/>
    </row>
    <row r="76" spans="16:18">
      <c r="P76" s="36"/>
    </row>
    <row r="77" spans="16:18">
      <c r="P77" s="35"/>
    </row>
    <row r="78" spans="16:18">
      <c r="P78" s="35"/>
    </row>
    <row r="79" spans="16:18">
      <c r="P79" s="36"/>
    </row>
    <row r="80" spans="16:18">
      <c r="P80" s="36"/>
    </row>
    <row r="81" spans="16:18">
      <c r="P81" s="36"/>
    </row>
    <row r="89" spans="16:18">
      <c r="R89" s="35"/>
    </row>
    <row r="91" spans="16:18">
      <c r="R91" s="35"/>
    </row>
    <row r="92" spans="16:18">
      <c r="R92" s="35"/>
    </row>
    <row r="95" spans="16:18">
      <c r="R95" s="38"/>
    </row>
    <row r="96" spans="16:18">
      <c r="R96" s="35"/>
    </row>
    <row r="98" spans="16:20">
      <c r="R98" s="37"/>
    </row>
    <row r="99" spans="16:20">
      <c r="R99" s="39"/>
    </row>
    <row r="100" spans="16:20">
      <c r="Q100" s="35"/>
    </row>
    <row r="101" spans="16:20">
      <c r="Q101" s="35"/>
    </row>
    <row r="103" spans="16:20">
      <c r="Q103" s="40"/>
      <c r="R103" s="41"/>
      <c r="T103" s="41"/>
    </row>
    <row r="104" spans="16:20">
      <c r="Q104" s="37"/>
      <c r="R104" s="37"/>
      <c r="S104" s="38"/>
      <c r="T104" s="37"/>
    </row>
    <row r="105" spans="16:20">
      <c r="Q105" s="37"/>
      <c r="R105" s="37"/>
      <c r="S105" s="38"/>
      <c r="T105" s="37"/>
    </row>
    <row r="106" spans="16:20">
      <c r="Q106" s="37"/>
      <c r="R106" s="37"/>
      <c r="S106" s="38"/>
      <c r="T106" s="37"/>
    </row>
    <row r="107" spans="16:20">
      <c r="Q107" s="42"/>
      <c r="R107" s="42"/>
      <c r="S107" s="42"/>
      <c r="T107" s="42"/>
    </row>
    <row r="112" spans="16:20">
      <c r="P112" s="43"/>
    </row>
    <row r="114" spans="15:20">
      <c r="P114" s="34"/>
    </row>
    <row r="115" spans="15:20">
      <c r="P115" s="34"/>
    </row>
    <row r="116" spans="15:20">
      <c r="P116" s="34"/>
    </row>
    <row r="117" spans="15:20">
      <c r="P117" s="34"/>
    </row>
    <row r="118" spans="15:20">
      <c r="Q118" s="44"/>
    </row>
    <row r="121" spans="15:20">
      <c r="P121" s="38"/>
      <c r="R121" s="45"/>
      <c r="S121" s="45"/>
      <c r="T121" s="46"/>
    </row>
    <row r="122" spans="15:20">
      <c r="R122" s="34"/>
      <c r="S122" s="47"/>
      <c r="T122" s="34"/>
    </row>
    <row r="123" spans="15:20">
      <c r="R123" s="34"/>
      <c r="S123" s="47"/>
      <c r="T123" s="34"/>
    </row>
    <row r="124" spans="15:20">
      <c r="R124" s="48"/>
      <c r="S124" s="49"/>
      <c r="T124" s="34"/>
    </row>
    <row r="125" spans="15:20">
      <c r="R125" s="34"/>
      <c r="S125" s="34"/>
      <c r="T125" s="34"/>
    </row>
    <row r="126" spans="15:20">
      <c r="O126" s="50"/>
    </row>
  </sheetData>
  <sheetProtection algorithmName="SHA-512" hashValue="1kHeUcJYKgPTYWemqSCZt3He70uR6Vyrwa0GqiSdTxA+eV5N6X30wbDz7Vk34YjAGFM+qciyrwX97n3XMnm4Ug==" saltValue="X/QQdwOtF7EZmMVNEVo3Zg==" spinCount="100000" sheet="1" objects="1" scenarios="1" formatCells="0" formatColumns="0" formatRows="0" insertColumns="0" insertRows="0"/>
  <mergeCells count="4">
    <mergeCell ref="A5:M10"/>
    <mergeCell ref="P7:Z11"/>
    <mergeCell ref="B18:C18"/>
    <mergeCell ref="B27:D30"/>
  </mergeCell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6C5A5-DBED-4F42-9DA9-DF6BA0CF5239}">
  <dimension ref="A1:AF126"/>
  <sheetViews>
    <sheetView zoomScale="80" zoomScaleNormal="80" zoomScaleSheetLayoutView="100" workbookViewId="0">
      <selection sqref="A1:XFD1048576"/>
    </sheetView>
  </sheetViews>
  <sheetFormatPr defaultColWidth="9.33203125" defaultRowHeight="15.6"/>
  <cols>
    <col min="1" max="1" width="3.6640625" style="2" customWidth="1"/>
    <col min="2" max="2" width="56.5546875" style="2" customWidth="1"/>
    <col min="3" max="3" width="24.33203125" style="2" customWidth="1"/>
    <col min="4" max="4" width="13.6640625" style="2" customWidth="1"/>
    <col min="5" max="5" width="6.88671875" style="2" bestFit="1" customWidth="1"/>
    <col min="6" max="6" width="10" style="2" hidden="1" customWidth="1"/>
    <col min="7" max="7" width="6.88671875" style="2" hidden="1" customWidth="1"/>
    <col min="8" max="8" width="10" style="2" hidden="1" customWidth="1"/>
    <col min="9" max="9" width="6.88671875" style="2" hidden="1" customWidth="1"/>
    <col min="10" max="10" width="10" style="2" hidden="1" customWidth="1"/>
    <col min="11" max="11" width="6.88671875" style="2" hidden="1" customWidth="1"/>
    <col min="12" max="12" width="10" style="2" hidden="1" customWidth="1"/>
    <col min="13" max="13" width="2.6640625" style="2" customWidth="1"/>
    <col min="14" max="14" width="1" style="3" customWidth="1"/>
    <col min="15" max="15" width="5.33203125" style="854" customWidth="1"/>
    <col min="16" max="16" width="59.109375" style="854" customWidth="1"/>
    <col min="17" max="20" width="16.5546875" style="854" customWidth="1"/>
    <col min="21" max="21" width="12.88671875" style="854" bestFit="1" customWidth="1"/>
    <col min="22" max="22" width="13.6640625" style="854" customWidth="1"/>
    <col min="23" max="23" width="9.33203125" style="854"/>
    <col min="24" max="26" width="14.6640625" style="854" customWidth="1"/>
    <col min="27" max="27" width="1" style="3" customWidth="1"/>
    <col min="28" max="28" width="9.33203125" style="560"/>
    <col min="29" max="29" width="18.6640625" style="560" customWidth="1"/>
    <col min="30" max="30" width="9.33203125" style="560"/>
    <col min="31" max="31" width="14.5546875" style="560" bestFit="1" customWidth="1"/>
    <col min="32" max="16384" width="9.33203125" style="560"/>
  </cols>
  <sheetData>
    <row r="1" spans="1:29">
      <c r="A1" s="1" t="s">
        <v>1057</v>
      </c>
      <c r="O1" s="1" t="s">
        <v>1057</v>
      </c>
      <c r="P1" s="2"/>
      <c r="Q1" s="2"/>
      <c r="R1" s="2"/>
      <c r="S1" s="2"/>
      <c r="T1" s="2"/>
      <c r="U1" s="2"/>
      <c r="V1" s="2"/>
      <c r="W1" s="2"/>
      <c r="X1" s="2"/>
      <c r="Y1" s="2"/>
      <c r="Z1" s="2"/>
    </row>
    <row r="2" spans="1:29">
      <c r="A2" s="1" t="s">
        <v>732</v>
      </c>
      <c r="O2" s="1" t="s">
        <v>732</v>
      </c>
      <c r="P2" s="2"/>
      <c r="Q2" s="2"/>
      <c r="R2" s="2"/>
      <c r="S2" s="2"/>
      <c r="T2" s="2"/>
      <c r="U2" s="2"/>
      <c r="V2" s="2"/>
      <c r="W2" s="2"/>
      <c r="X2" s="2"/>
      <c r="Y2" s="2"/>
      <c r="Z2" s="2"/>
    </row>
    <row r="3" spans="1:29">
      <c r="A3" s="1" t="s">
        <v>259</v>
      </c>
      <c r="O3" s="1" t="s">
        <v>259</v>
      </c>
      <c r="P3" s="2"/>
      <c r="Q3" s="2"/>
      <c r="R3" s="2"/>
      <c r="S3" s="2"/>
      <c r="T3" s="2"/>
      <c r="U3" s="2"/>
      <c r="V3" s="2"/>
      <c r="W3" s="2"/>
      <c r="X3" s="2"/>
      <c r="Y3" s="2"/>
      <c r="Z3" s="2"/>
    </row>
    <row r="4" spans="1:29">
      <c r="O4" s="2"/>
      <c r="P4" s="2"/>
      <c r="Q4" s="2"/>
      <c r="R4" s="2"/>
      <c r="S4" s="2"/>
      <c r="T4" s="2"/>
      <c r="U4" s="2"/>
      <c r="V4" s="2"/>
      <c r="W4" s="2"/>
      <c r="X4" s="2"/>
      <c r="Y4" s="2"/>
      <c r="Z4" s="2"/>
    </row>
    <row r="5" spans="1:29" ht="16.2">
      <c r="A5" s="1658" t="s">
        <v>1056</v>
      </c>
      <c r="B5" s="1658"/>
      <c r="C5" s="1658"/>
      <c r="D5" s="1658"/>
      <c r="E5" s="1658"/>
      <c r="F5" s="1658"/>
      <c r="G5" s="1658"/>
      <c r="H5" s="1658"/>
      <c r="I5" s="1658"/>
      <c r="J5" s="1658"/>
      <c r="K5" s="1658"/>
      <c r="L5" s="1658"/>
      <c r="M5" s="1658"/>
      <c r="O5" s="6" t="s">
        <v>4</v>
      </c>
      <c r="P5" s="2"/>
      <c r="Q5" s="2"/>
      <c r="R5" s="2"/>
      <c r="S5" s="2"/>
      <c r="T5" s="2"/>
      <c r="U5" s="2"/>
      <c r="V5" s="2"/>
      <c r="W5" s="2"/>
      <c r="X5" s="2"/>
      <c r="Y5" s="2"/>
      <c r="Z5" s="2"/>
    </row>
    <row r="6" spans="1:29">
      <c r="A6" s="1658"/>
      <c r="B6" s="1658"/>
      <c r="C6" s="1658"/>
      <c r="D6" s="1658"/>
      <c r="E6" s="1658"/>
      <c r="F6" s="1658"/>
      <c r="G6" s="1658"/>
      <c r="H6" s="1658"/>
      <c r="I6" s="1658"/>
      <c r="J6" s="1658"/>
      <c r="K6" s="1658"/>
      <c r="L6" s="1658"/>
      <c r="M6" s="1658"/>
      <c r="O6" s="2"/>
      <c r="P6" s="2"/>
      <c r="Q6" s="2"/>
      <c r="R6" s="2"/>
      <c r="S6" s="2"/>
      <c r="T6" s="2"/>
      <c r="U6" s="2"/>
      <c r="V6" s="2"/>
      <c r="W6" s="2"/>
      <c r="X6" s="2"/>
      <c r="Y6" s="2"/>
      <c r="Z6" s="2"/>
    </row>
    <row r="7" spans="1:29" ht="15.75" customHeight="1">
      <c r="A7" s="1658"/>
      <c r="B7" s="1658"/>
      <c r="C7" s="1658"/>
      <c r="D7" s="1658"/>
      <c r="E7" s="1658"/>
      <c r="F7" s="1658"/>
      <c r="G7" s="1658"/>
      <c r="H7" s="1658"/>
      <c r="I7" s="1658"/>
      <c r="J7" s="1658"/>
      <c r="K7" s="1658"/>
      <c r="L7" s="1658"/>
      <c r="M7" s="1658"/>
      <c r="O7" s="2" t="s">
        <v>246</v>
      </c>
      <c r="P7" s="1462" t="str">
        <f>B27</f>
        <v xml:space="preserve">(7 points)  Calculate the revised 2021 Defined Benefit Cost, including the change to Other Comprehensive Income, under International Accounting Standard IAS 19, rev. 2011 (IAS 19).  
Show all work.
</v>
      </c>
      <c r="Q7" s="1462"/>
      <c r="R7" s="1462"/>
      <c r="S7" s="1462"/>
      <c r="T7" s="1462"/>
      <c r="U7" s="1462"/>
      <c r="V7" s="1462"/>
      <c r="W7" s="1462"/>
      <c r="X7" s="1462"/>
      <c r="Y7" s="1462"/>
      <c r="Z7" s="1462"/>
    </row>
    <row r="8" spans="1:29">
      <c r="A8" s="1658"/>
      <c r="B8" s="1658"/>
      <c r="C8" s="1658"/>
      <c r="D8" s="1658"/>
      <c r="E8" s="1658"/>
      <c r="F8" s="1658"/>
      <c r="G8" s="1658"/>
      <c r="H8" s="1658"/>
      <c r="I8" s="1658"/>
      <c r="J8" s="1658"/>
      <c r="K8" s="1658"/>
      <c r="L8" s="1658"/>
      <c r="M8" s="1658"/>
      <c r="O8" s="2"/>
      <c r="P8" s="1462"/>
      <c r="Q8" s="1462"/>
      <c r="R8" s="1462"/>
      <c r="S8" s="1462"/>
      <c r="T8" s="1462"/>
      <c r="U8" s="1462"/>
      <c r="V8" s="1462"/>
      <c r="W8" s="1462"/>
      <c r="X8" s="1462"/>
      <c r="Y8" s="1462"/>
      <c r="Z8" s="1462"/>
    </row>
    <row r="9" spans="1:29">
      <c r="A9" s="1658"/>
      <c r="B9" s="1658"/>
      <c r="C9" s="1658"/>
      <c r="D9" s="1658"/>
      <c r="E9" s="1658"/>
      <c r="F9" s="1658"/>
      <c r="G9" s="1658"/>
      <c r="H9" s="1658"/>
      <c r="I9" s="1658"/>
      <c r="J9" s="1658"/>
      <c r="K9" s="1658"/>
      <c r="L9" s="1658"/>
      <c r="M9" s="1658"/>
      <c r="O9" s="2"/>
      <c r="P9" s="1462"/>
      <c r="Q9" s="1462"/>
      <c r="R9" s="1462"/>
      <c r="S9" s="1462"/>
      <c r="T9" s="1462"/>
      <c r="U9" s="1462"/>
      <c r="V9" s="1462"/>
      <c r="W9" s="1462"/>
      <c r="X9" s="1462"/>
      <c r="Y9" s="1462"/>
      <c r="Z9" s="1462"/>
    </row>
    <row r="10" spans="1:29">
      <c r="A10" s="1658"/>
      <c r="B10" s="1658"/>
      <c r="C10" s="1658"/>
      <c r="D10" s="1658"/>
      <c r="E10" s="1658"/>
      <c r="F10" s="1658"/>
      <c r="G10" s="1658"/>
      <c r="H10" s="1658"/>
      <c r="I10" s="1658"/>
      <c r="J10" s="1658"/>
      <c r="K10" s="1658"/>
      <c r="L10" s="1658"/>
      <c r="M10" s="1658"/>
      <c r="O10" s="2"/>
      <c r="P10" s="1462"/>
      <c r="Q10" s="1462"/>
      <c r="R10" s="1462"/>
      <c r="S10" s="1462"/>
      <c r="T10" s="1462"/>
      <c r="U10" s="1462"/>
      <c r="V10" s="1462"/>
      <c r="W10" s="1462"/>
      <c r="X10" s="1462"/>
      <c r="Y10" s="1462"/>
      <c r="Z10" s="1462"/>
    </row>
    <row r="11" spans="1:29" ht="15.6" customHeight="1">
      <c r="O11" s="2"/>
      <c r="P11" s="1462"/>
      <c r="Q11" s="1462"/>
      <c r="R11" s="1462"/>
      <c r="S11" s="1462"/>
      <c r="T11" s="1462"/>
      <c r="U11" s="1462"/>
      <c r="V11" s="1462"/>
      <c r="W11" s="1462"/>
      <c r="X11" s="1462"/>
      <c r="Y11" s="1462"/>
      <c r="Z11" s="1462"/>
    </row>
    <row r="12" spans="1:29" ht="15.6" customHeight="1">
      <c r="B12" s="850" t="s">
        <v>1055</v>
      </c>
      <c r="C12" s="849">
        <v>19000</v>
      </c>
      <c r="O12" s="560"/>
      <c r="P12" s="560"/>
      <c r="Q12" s="560"/>
      <c r="R12" s="560"/>
      <c r="S12" s="560"/>
      <c r="T12" s="560"/>
      <c r="U12" s="560"/>
      <c r="V12" s="560"/>
      <c r="W12" s="560"/>
      <c r="X12" s="560"/>
      <c r="Y12" s="560"/>
      <c r="Z12" s="560"/>
    </row>
    <row r="13" spans="1:29" ht="15.6" customHeight="1">
      <c r="B13" s="850" t="s">
        <v>1054</v>
      </c>
      <c r="C13" s="849">
        <v>21000</v>
      </c>
      <c r="O13" s="560"/>
      <c r="P13" s="560"/>
      <c r="Q13" s="560"/>
      <c r="R13" s="560"/>
      <c r="T13" s="886"/>
      <c r="U13" s="560"/>
      <c r="V13" s="573" t="s">
        <v>1098</v>
      </c>
      <c r="W13" s="560"/>
      <c r="X13" s="560"/>
      <c r="Y13" s="560"/>
      <c r="Z13" s="560"/>
    </row>
    <row r="14" spans="1:29" ht="15.6" customHeight="1">
      <c r="B14" s="850" t="s">
        <v>1053</v>
      </c>
      <c r="C14" s="849">
        <v>21500</v>
      </c>
      <c r="O14" s="560"/>
      <c r="P14" s="4" t="s">
        <v>1097</v>
      </c>
      <c r="Q14" s="865">
        <v>3.7499999999999999E-2</v>
      </c>
      <c r="R14" s="560"/>
      <c r="S14" s="560"/>
      <c r="T14" s="560"/>
      <c r="U14" s="560"/>
      <c r="V14" s="560"/>
      <c r="W14" s="560"/>
      <c r="X14" s="560"/>
      <c r="Y14" s="560"/>
      <c r="Z14" s="560"/>
    </row>
    <row r="15" spans="1:29" ht="15.6" customHeight="1">
      <c r="B15" s="850" t="s">
        <v>1052</v>
      </c>
      <c r="C15" s="849">
        <v>35849</v>
      </c>
      <c r="O15" s="560"/>
      <c r="P15" s="4" t="s">
        <v>1096</v>
      </c>
      <c r="Q15" s="865">
        <f>+C19</f>
        <v>0.04</v>
      </c>
      <c r="R15" s="560"/>
      <c r="S15" s="560"/>
      <c r="T15" s="560"/>
      <c r="U15" s="560"/>
      <c r="V15" s="560"/>
      <c r="W15" s="560"/>
      <c r="X15" s="560"/>
      <c r="Y15" s="560"/>
      <c r="Z15" s="560"/>
      <c r="AC15" s="885"/>
    </row>
    <row r="16" spans="1:29" ht="15.6" customHeight="1">
      <c r="B16" s="850" t="s">
        <v>1051</v>
      </c>
      <c r="C16" s="853" t="s">
        <v>59</v>
      </c>
      <c r="O16" s="560"/>
      <c r="P16" s="4"/>
      <c r="Q16" s="865"/>
      <c r="R16" s="4"/>
      <c r="S16" s="560"/>
      <c r="T16" s="560"/>
      <c r="U16" s="560"/>
      <c r="V16" s="560"/>
      <c r="W16" s="560"/>
      <c r="X16" s="560"/>
      <c r="Y16" s="560"/>
      <c r="Z16" s="560"/>
    </row>
    <row r="17" spans="1:26" ht="15.6" customHeight="1">
      <c r="B17" s="850" t="s">
        <v>1050</v>
      </c>
      <c r="C17" s="849">
        <v>0</v>
      </c>
      <c r="O17" s="560"/>
      <c r="P17" s="884"/>
      <c r="Q17" s="881" t="s">
        <v>1095</v>
      </c>
      <c r="R17" s="881" t="s">
        <v>1094</v>
      </c>
      <c r="S17" s="560"/>
      <c r="T17" s="560"/>
      <c r="U17" s="560"/>
      <c r="V17" s="560"/>
      <c r="W17" s="560"/>
      <c r="X17" s="560"/>
      <c r="Y17" s="560"/>
      <c r="Z17" s="560"/>
    </row>
    <row r="18" spans="1:26" ht="15.6" customHeight="1">
      <c r="B18" s="1659" t="s">
        <v>1049</v>
      </c>
      <c r="C18" s="1659"/>
      <c r="O18" s="560"/>
      <c r="P18" s="864" t="s">
        <v>995</v>
      </c>
      <c r="Q18" s="882">
        <v>1164740</v>
      </c>
      <c r="R18" s="882">
        <f>Q59</f>
        <v>1210000</v>
      </c>
      <c r="S18" s="560"/>
      <c r="T18" s="578"/>
      <c r="U18" s="560"/>
      <c r="V18" s="560"/>
      <c r="W18" s="560"/>
      <c r="X18" s="560"/>
      <c r="Y18" s="560"/>
      <c r="Z18" s="560"/>
    </row>
    <row r="19" spans="1:26" ht="15.6" customHeight="1">
      <c r="B19" s="850" t="s">
        <v>1048</v>
      </c>
      <c r="C19" s="851">
        <v>0.04</v>
      </c>
      <c r="O19" s="560"/>
      <c r="P19" s="864" t="s">
        <v>541</v>
      </c>
      <c r="Q19" s="883">
        <v>696839</v>
      </c>
      <c r="R19" s="883">
        <f>C20</f>
        <v>700000</v>
      </c>
      <c r="S19" s="560"/>
      <c r="T19" s="567"/>
      <c r="U19" s="560"/>
      <c r="V19" s="560"/>
      <c r="W19" s="560"/>
      <c r="X19" s="560"/>
      <c r="Y19" s="560"/>
      <c r="Z19" s="560"/>
    </row>
    <row r="20" spans="1:26" ht="15.6" customHeight="1">
      <c r="B20" s="850" t="s">
        <v>1047</v>
      </c>
      <c r="C20" s="849">
        <v>700000</v>
      </c>
      <c r="O20" s="560"/>
      <c r="P20" s="864" t="s">
        <v>1093</v>
      </c>
      <c r="Q20" s="882">
        <f>Q19-Q18</f>
        <v>-467901</v>
      </c>
      <c r="R20" s="882">
        <f>R19-R18</f>
        <v>-510000</v>
      </c>
      <c r="S20" s="560"/>
      <c r="T20" s="567"/>
      <c r="U20" s="560"/>
      <c r="V20" s="560"/>
      <c r="W20" s="560"/>
      <c r="X20" s="560"/>
      <c r="Y20" s="560"/>
      <c r="Z20" s="560"/>
    </row>
    <row r="21" spans="1:26" ht="42.75" customHeight="1">
      <c r="B21" s="850" t="s">
        <v>1046</v>
      </c>
      <c r="C21" s="849">
        <v>1200000</v>
      </c>
      <c r="O21" s="560"/>
      <c r="S21" s="560"/>
      <c r="T21" s="567"/>
      <c r="U21" s="560"/>
      <c r="V21" s="560"/>
      <c r="W21" s="560"/>
      <c r="X21" s="560"/>
      <c r="Y21" s="560"/>
      <c r="Z21" s="560"/>
    </row>
    <row r="22" spans="1:26" ht="31.2">
      <c r="B22" s="850" t="s">
        <v>1045</v>
      </c>
      <c r="C22" s="849">
        <v>1210000</v>
      </c>
      <c r="O22" s="560"/>
      <c r="S22" s="560"/>
      <c r="T22" s="567"/>
      <c r="U22" s="560"/>
      <c r="V22" s="560"/>
      <c r="W22" s="560"/>
      <c r="X22" s="560"/>
      <c r="Y22" s="560"/>
      <c r="Z22" s="560"/>
    </row>
    <row r="23" spans="1:26">
      <c r="B23" s="850" t="s">
        <v>1044</v>
      </c>
      <c r="C23" s="849">
        <v>51580</v>
      </c>
      <c r="O23" s="560"/>
      <c r="Q23" s="881" t="s">
        <v>1079</v>
      </c>
      <c r="R23" s="881" t="s">
        <v>1088</v>
      </c>
      <c r="S23" s="881" t="s">
        <v>1087</v>
      </c>
      <c r="T23" s="881" t="s">
        <v>1087</v>
      </c>
      <c r="U23" s="560"/>
      <c r="V23" s="560"/>
      <c r="W23" s="560"/>
      <c r="X23" s="560"/>
      <c r="Y23" s="560"/>
      <c r="Z23" s="560"/>
    </row>
    <row r="24" spans="1:26">
      <c r="B24" s="848"/>
      <c r="C24" s="847"/>
      <c r="O24" s="560"/>
      <c r="Q24" s="881" t="s">
        <v>1092</v>
      </c>
      <c r="R24" s="881" t="s">
        <v>1091</v>
      </c>
      <c r="S24" s="881" t="s">
        <v>1092</v>
      </c>
      <c r="T24" s="881" t="s">
        <v>1091</v>
      </c>
      <c r="Y24" s="560"/>
      <c r="Z24" s="560"/>
    </row>
    <row r="25" spans="1:26">
      <c r="A25" s="2" t="s">
        <v>1043</v>
      </c>
      <c r="B25" s="848"/>
      <c r="C25" s="847"/>
      <c r="O25" s="560"/>
      <c r="P25" s="864" t="s">
        <v>151</v>
      </c>
      <c r="Q25" s="866">
        <v>39900</v>
      </c>
      <c r="R25" s="866">
        <f>+C12</f>
        <v>19000</v>
      </c>
      <c r="S25" s="866">
        <f>+C13</f>
        <v>21000</v>
      </c>
      <c r="T25" s="866">
        <f>+C14</f>
        <v>21500</v>
      </c>
      <c r="Y25" s="560"/>
      <c r="Z25" s="560"/>
    </row>
    <row r="26" spans="1:26">
      <c r="B26" s="7"/>
      <c r="C26" s="880"/>
      <c r="D26" s="880"/>
      <c r="O26" s="560"/>
      <c r="P26" s="864" t="s">
        <v>1090</v>
      </c>
      <c r="Q26" s="866">
        <v>35849</v>
      </c>
      <c r="R26" s="866">
        <f>0.5*C15</f>
        <v>17924.5</v>
      </c>
      <c r="S26" s="866">
        <f>+C15*0.5</f>
        <v>17924.5</v>
      </c>
      <c r="T26" s="866">
        <f>0.5*C15</f>
        <v>17924.5</v>
      </c>
      <c r="Y26" s="560"/>
      <c r="Z26" s="560"/>
    </row>
    <row r="27" spans="1:26">
      <c r="A27" s="2" t="s">
        <v>246</v>
      </c>
      <c r="B27" s="1462" t="s">
        <v>1042</v>
      </c>
      <c r="C27" s="1462"/>
      <c r="D27" s="1462"/>
      <c r="E27" s="5"/>
      <c r="F27" s="5"/>
      <c r="G27" s="5"/>
      <c r="H27" s="5"/>
      <c r="I27" s="5"/>
      <c r="J27" s="5"/>
      <c r="K27" s="5"/>
      <c r="O27" s="560"/>
      <c r="Y27" s="560"/>
      <c r="Z27" s="560"/>
    </row>
    <row r="28" spans="1:26">
      <c r="A28" s="5"/>
      <c r="B28" s="1462"/>
      <c r="C28" s="1462"/>
      <c r="D28" s="1462"/>
      <c r="E28" s="5"/>
      <c r="F28" s="5"/>
      <c r="G28" s="5"/>
      <c r="H28" s="5"/>
      <c r="I28" s="5"/>
      <c r="J28" s="5"/>
      <c r="K28" s="5"/>
      <c r="O28" s="560"/>
      <c r="Y28" s="560"/>
      <c r="Z28" s="560"/>
    </row>
    <row r="29" spans="1:26">
      <c r="A29" s="5"/>
      <c r="B29" s="1462"/>
      <c r="C29" s="1462"/>
      <c r="D29" s="1462"/>
      <c r="E29" s="5"/>
      <c r="F29" s="5"/>
      <c r="G29" s="5"/>
      <c r="H29" s="5"/>
      <c r="I29" s="5"/>
      <c r="J29" s="5"/>
      <c r="K29" s="5"/>
      <c r="O29" s="560"/>
      <c r="P29" s="56" t="s">
        <v>1089</v>
      </c>
      <c r="Q29" s="459" t="s">
        <v>1079</v>
      </c>
      <c r="R29" s="459" t="s">
        <v>1088</v>
      </c>
      <c r="S29" s="871" t="s">
        <v>1087</v>
      </c>
      <c r="Y29" s="560"/>
      <c r="Z29" s="560"/>
    </row>
    <row r="30" spans="1:26">
      <c r="A30" s="5"/>
      <c r="B30" s="1462"/>
      <c r="C30" s="1462"/>
      <c r="D30" s="1462"/>
      <c r="E30" s="5"/>
      <c r="F30" s="5"/>
      <c r="G30" s="5"/>
      <c r="H30" s="5"/>
      <c r="I30" s="5"/>
      <c r="J30" s="5"/>
      <c r="K30" s="5"/>
      <c r="P30" s="4" t="s">
        <v>1086</v>
      </c>
      <c r="Q30" s="866">
        <v>59347</v>
      </c>
      <c r="R30" s="866">
        <f>+Q30/2</f>
        <v>29673.5</v>
      </c>
      <c r="S30" s="866">
        <f>+C23*0.5</f>
        <v>25790</v>
      </c>
      <c r="T30" s="560"/>
    </row>
    <row r="31" spans="1:26" ht="16.2">
      <c r="B31" s="29" t="s">
        <v>32</v>
      </c>
      <c r="P31" s="4" t="s">
        <v>1041</v>
      </c>
      <c r="Q31" s="879">
        <f>+Q14*Q30+Q18*Q14-Q14*0.5*Q26-Q19*Q14</f>
        <v>19099.631250000002</v>
      </c>
      <c r="R31" s="879">
        <f>+Q31/2</f>
        <v>9549.8156250000011</v>
      </c>
      <c r="S31" s="878">
        <f>+Q66</f>
        <v>11052.355</v>
      </c>
      <c r="T31" s="560"/>
    </row>
    <row r="32" spans="1:26">
      <c r="P32" s="4" t="s">
        <v>1085</v>
      </c>
      <c r="Q32" s="877">
        <v>0</v>
      </c>
      <c r="R32" s="877">
        <v>0</v>
      </c>
      <c r="S32" s="876">
        <f>Q57+Q60</f>
        <v>47802.07733631623</v>
      </c>
      <c r="T32" s="560"/>
    </row>
    <row r="33" spans="15:26">
      <c r="P33" s="560"/>
      <c r="Q33" s="732">
        <f>SUM(Q30:Q32)</f>
        <v>78446.631250000006</v>
      </c>
      <c r="R33" s="732">
        <f>SUM(R30:R32)</f>
        <v>39223.315625000003</v>
      </c>
      <c r="S33" s="732">
        <f>SUM(S30:S32)</f>
        <v>84644.432336316226</v>
      </c>
      <c r="T33" s="560"/>
    </row>
    <row r="34" spans="15:26">
      <c r="Q34" s="560"/>
      <c r="R34" s="560"/>
      <c r="S34" s="560"/>
    </row>
    <row r="35" spans="15:26">
      <c r="P35" s="875" t="s">
        <v>1084</v>
      </c>
      <c r="Q35" s="875"/>
      <c r="R35" s="875"/>
      <c r="S35" s="875"/>
      <c r="T35" s="874">
        <f>Q72</f>
        <v>17976.698913683766</v>
      </c>
    </row>
    <row r="36" spans="15:26">
      <c r="P36" s="875" t="s">
        <v>1083</v>
      </c>
      <c r="Q36" s="875"/>
      <c r="R36" s="875"/>
      <c r="S36" s="875"/>
      <c r="T36" s="874">
        <f>T35+R33+S33</f>
        <v>141844.44687499999</v>
      </c>
    </row>
    <row r="38" spans="15:26">
      <c r="O38" s="560"/>
      <c r="P38" s="56" t="s">
        <v>1082</v>
      </c>
      <c r="S38" s="560"/>
      <c r="T38" s="560"/>
      <c r="U38" s="560"/>
      <c r="V38" s="560"/>
      <c r="W38" s="560"/>
      <c r="X38" s="560"/>
      <c r="Y38" s="560"/>
      <c r="Z38" s="560"/>
    </row>
    <row r="39" spans="15:26">
      <c r="O39" s="560"/>
      <c r="S39" s="560"/>
      <c r="T39" s="560"/>
      <c r="U39" s="560"/>
      <c r="V39" s="560"/>
      <c r="W39" s="560"/>
      <c r="X39" s="560"/>
      <c r="Y39" s="560"/>
      <c r="Z39" s="560"/>
    </row>
    <row r="40" spans="15:26">
      <c r="O40" s="560"/>
      <c r="P40" s="106" t="s">
        <v>1081</v>
      </c>
      <c r="S40" s="565"/>
      <c r="T40" s="560"/>
      <c r="U40" s="560"/>
      <c r="V40" s="560"/>
      <c r="W40" s="560"/>
      <c r="X40" s="560"/>
      <c r="Y40" s="560"/>
      <c r="Z40" s="560"/>
    </row>
    <row r="41" spans="15:26">
      <c r="O41" s="560"/>
      <c r="P41" s="4" t="s">
        <v>1080</v>
      </c>
      <c r="Q41" s="873">
        <f>+Q18+R30+R47-R25</f>
        <v>1197991.0687500001</v>
      </c>
      <c r="S41" s="872"/>
      <c r="T41" s="560"/>
      <c r="U41" s="560"/>
      <c r="V41" s="560"/>
      <c r="W41" s="560"/>
      <c r="X41" s="560"/>
      <c r="Y41" s="560"/>
      <c r="Z41" s="560"/>
    </row>
    <row r="42" spans="15:26">
      <c r="O42" s="560"/>
      <c r="S42" s="4"/>
      <c r="T42" s="578"/>
      <c r="U42" s="560"/>
      <c r="V42" s="560"/>
      <c r="W42" s="560"/>
      <c r="X42" s="560"/>
      <c r="Y42" s="560"/>
      <c r="Z42" s="560"/>
    </row>
    <row r="43" spans="15:26">
      <c r="O43" s="560"/>
      <c r="P43" s="560"/>
      <c r="Q43" s="871" t="s">
        <v>1079</v>
      </c>
      <c r="R43" s="871" t="s">
        <v>1078</v>
      </c>
      <c r="S43" s="4"/>
      <c r="T43" s="567"/>
      <c r="U43" s="560"/>
      <c r="V43" s="560"/>
      <c r="W43" s="560"/>
      <c r="X43" s="560"/>
      <c r="Y43" s="560"/>
      <c r="Z43" s="560"/>
    </row>
    <row r="44" spans="15:26">
      <c r="O44" s="560"/>
      <c r="P44" s="560" t="s">
        <v>1077</v>
      </c>
      <c r="Q44" s="732">
        <f>+Q14*Q18</f>
        <v>43677.75</v>
      </c>
      <c r="R44" s="732">
        <f>0.5*Q44</f>
        <v>21838.875</v>
      </c>
      <c r="S44" s="863"/>
      <c r="T44" s="567"/>
      <c r="U44" s="560"/>
      <c r="V44" s="560"/>
      <c r="W44" s="560"/>
      <c r="X44" s="560"/>
      <c r="Y44" s="560"/>
      <c r="Z44" s="560"/>
    </row>
    <row r="45" spans="15:26">
      <c r="O45" s="560"/>
      <c r="P45" s="560" t="s">
        <v>1064</v>
      </c>
      <c r="Q45" s="732">
        <f>Q14*Q30</f>
        <v>2225.5124999999998</v>
      </c>
      <c r="R45" s="732">
        <f>0.5*Q45</f>
        <v>1112.7562499999999</v>
      </c>
      <c r="S45" s="863"/>
      <c r="T45" s="567"/>
      <c r="U45" s="560"/>
      <c r="V45" s="560"/>
      <c r="W45" s="560"/>
      <c r="X45" s="560"/>
      <c r="Y45" s="560"/>
      <c r="Z45" s="560"/>
    </row>
    <row r="46" spans="15:26">
      <c r="O46" s="560"/>
      <c r="P46" s="560" t="s">
        <v>1076</v>
      </c>
      <c r="Q46" s="732">
        <f>+Q14*Q25*0.5</f>
        <v>748.125</v>
      </c>
      <c r="R46" s="870">
        <f>0.5*Q46</f>
        <v>374.0625</v>
      </c>
      <c r="S46" s="863"/>
      <c r="T46" s="567"/>
      <c r="U46" s="560"/>
      <c r="V46" s="560"/>
      <c r="W46" s="560"/>
      <c r="X46" s="560"/>
      <c r="Y46" s="560"/>
      <c r="Z46" s="560"/>
    </row>
    <row r="47" spans="15:26" ht="17.399999999999999">
      <c r="O47" s="560"/>
      <c r="P47" s="560"/>
      <c r="Q47" s="560"/>
      <c r="R47" s="732">
        <f>+R44+R45-R46</f>
        <v>22577.568749999999</v>
      </c>
      <c r="S47" s="863"/>
      <c r="T47" s="564"/>
      <c r="U47" s="560"/>
      <c r="V47" s="560"/>
      <c r="W47" s="560"/>
      <c r="X47" s="560"/>
      <c r="Y47" s="560"/>
      <c r="Z47" s="560"/>
    </row>
    <row r="48" spans="15:26">
      <c r="O48" s="560"/>
      <c r="P48" s="106" t="s">
        <v>1075</v>
      </c>
      <c r="Q48" s="4"/>
      <c r="S48" s="863"/>
      <c r="T48" s="562"/>
      <c r="U48" s="560"/>
      <c r="V48" s="560"/>
      <c r="W48" s="560"/>
      <c r="X48" s="560"/>
      <c r="Y48" s="560"/>
      <c r="Z48" s="560"/>
    </row>
    <row r="49" spans="15:32">
      <c r="O49" s="560"/>
      <c r="P49" s="4" t="s">
        <v>1074</v>
      </c>
      <c r="Q49" s="4">
        <v>12.9</v>
      </c>
      <c r="S49" s="863"/>
      <c r="T49" s="560"/>
      <c r="U49" s="560"/>
      <c r="V49" s="560"/>
      <c r="W49" s="560"/>
      <c r="X49" s="560"/>
      <c r="Y49" s="560"/>
      <c r="Z49" s="560"/>
    </row>
    <row r="50" spans="15:32">
      <c r="O50" s="560"/>
      <c r="P50" s="4" t="s">
        <v>1073</v>
      </c>
      <c r="Q50" s="4">
        <f>+(Q15-Q14)*100</f>
        <v>0.25000000000000022</v>
      </c>
      <c r="S50" s="863"/>
      <c r="T50" s="562"/>
      <c r="U50" s="560"/>
      <c r="V50" s="560"/>
      <c r="W50" s="560"/>
      <c r="X50" s="560"/>
      <c r="Y50" s="560"/>
      <c r="Z50" s="560"/>
    </row>
    <row r="51" spans="15:32">
      <c r="O51" s="560"/>
      <c r="P51" s="4" t="s">
        <v>1072</v>
      </c>
      <c r="Q51" s="4">
        <f>+(1+Q49/100)^-Q50</f>
        <v>0.9701223598238814</v>
      </c>
      <c r="S51" s="863"/>
      <c r="T51" s="560"/>
      <c r="U51" s="560"/>
      <c r="V51" s="560"/>
      <c r="W51" s="560"/>
      <c r="X51" s="560"/>
      <c r="Y51" s="560"/>
      <c r="Z51" s="560"/>
    </row>
    <row r="52" spans="15:32">
      <c r="O52" s="560"/>
      <c r="P52" s="4" t="s">
        <v>1071</v>
      </c>
      <c r="Q52" s="863">
        <f>+Q51*Q41</f>
        <v>1162197.9226636838</v>
      </c>
      <c r="S52" s="863"/>
      <c r="T52" s="560"/>
      <c r="U52" s="560"/>
      <c r="V52" s="560"/>
      <c r="W52" s="560"/>
      <c r="X52" s="560"/>
      <c r="Y52" s="560"/>
      <c r="Z52" s="560"/>
    </row>
    <row r="53" spans="15:32">
      <c r="O53" s="560"/>
      <c r="S53" s="863"/>
      <c r="T53" s="560"/>
      <c r="U53" s="560"/>
      <c r="V53" s="560"/>
      <c r="W53" s="560"/>
      <c r="X53" s="560"/>
      <c r="Y53" s="560"/>
      <c r="Z53" s="560"/>
    </row>
    <row r="54" spans="15:32">
      <c r="O54" s="560"/>
      <c r="P54" s="4" t="s">
        <v>1070</v>
      </c>
      <c r="Q54" s="866">
        <f>+Q52-Q41</f>
        <v>-35793.146086316323</v>
      </c>
      <c r="S54" s="863"/>
      <c r="T54" s="560"/>
      <c r="U54" s="560"/>
      <c r="V54" s="560"/>
      <c r="W54" s="560"/>
      <c r="X54" s="560"/>
      <c r="Y54" s="560"/>
      <c r="Z54" s="560"/>
    </row>
    <row r="55" spans="15:32">
      <c r="O55" s="560"/>
      <c r="Q55" s="869"/>
      <c r="S55" s="863"/>
      <c r="T55" s="560"/>
      <c r="U55" s="560"/>
      <c r="V55" s="560"/>
      <c r="W55" s="560"/>
      <c r="X55" s="560"/>
      <c r="Y55" s="560"/>
      <c r="Z55" s="560"/>
    </row>
    <row r="56" spans="15:32">
      <c r="O56" s="560"/>
      <c r="P56" s="106" t="s">
        <v>1069</v>
      </c>
      <c r="Q56" s="866">
        <f>+C21</f>
        <v>1200000</v>
      </c>
      <c r="S56" s="863"/>
      <c r="T56" s="560"/>
      <c r="U56" s="560"/>
      <c r="V56" s="560"/>
      <c r="W56" s="560"/>
      <c r="X56" s="560"/>
      <c r="Y56" s="560"/>
      <c r="Z56" s="560"/>
    </row>
    <row r="57" spans="15:32">
      <c r="O57" s="560"/>
      <c r="P57" s="4" t="s">
        <v>1068</v>
      </c>
      <c r="Q57" s="866">
        <f>+Q56-Q52</f>
        <v>37802.07733631623</v>
      </c>
      <c r="S57" s="863"/>
      <c r="W57" s="560"/>
      <c r="X57" s="560"/>
      <c r="Y57" s="560"/>
      <c r="Z57" s="560"/>
    </row>
    <row r="58" spans="15:32">
      <c r="O58" s="560"/>
      <c r="P58" s="4"/>
      <c r="Q58" s="866"/>
      <c r="S58" s="863"/>
      <c r="W58" s="560"/>
      <c r="X58" s="560"/>
      <c r="Y58" s="560"/>
      <c r="Z58" s="560"/>
    </row>
    <row r="59" spans="15:32">
      <c r="O59" s="560"/>
      <c r="P59" s="106" t="s">
        <v>1067</v>
      </c>
      <c r="Q59" s="866">
        <f>+C22</f>
        <v>1210000</v>
      </c>
      <c r="S59" s="863"/>
      <c r="W59" s="560"/>
      <c r="X59" s="560"/>
      <c r="Y59" s="560"/>
      <c r="Z59" s="560"/>
    </row>
    <row r="60" spans="15:32">
      <c r="O60" s="560"/>
      <c r="P60" s="4" t="s">
        <v>1066</v>
      </c>
      <c r="Q60" s="866">
        <f>+Q59-Q56</f>
        <v>10000</v>
      </c>
      <c r="S60" s="863"/>
      <c r="W60" s="560"/>
      <c r="X60" s="560"/>
      <c r="Y60" s="560"/>
      <c r="Z60" s="560"/>
    </row>
    <row r="61" spans="15:32">
      <c r="O61" s="560"/>
      <c r="P61" s="4"/>
      <c r="Q61" s="866"/>
      <c r="R61" s="863"/>
      <c r="S61" s="861"/>
      <c r="W61" s="560"/>
      <c r="X61" s="560"/>
      <c r="Y61" s="560"/>
      <c r="Z61" s="560"/>
    </row>
    <row r="62" spans="15:32">
      <c r="O62" s="560"/>
      <c r="P62" s="106" t="s">
        <v>1065</v>
      </c>
      <c r="Q62" s="869"/>
      <c r="R62" s="4"/>
      <c r="S62" s="861"/>
      <c r="W62" s="560"/>
      <c r="X62" s="560"/>
      <c r="Y62" s="560"/>
      <c r="Z62" s="560"/>
    </row>
    <row r="63" spans="15:32">
      <c r="O63" s="560"/>
      <c r="P63" s="560" t="s">
        <v>1064</v>
      </c>
      <c r="Q63" s="732">
        <f>+Q15*C23/2</f>
        <v>1031.5999999999999</v>
      </c>
      <c r="R63" s="4"/>
      <c r="S63" s="861"/>
      <c r="U63" s="560"/>
      <c r="V63" s="560"/>
      <c r="W63" s="560"/>
      <c r="X63" s="560"/>
      <c r="Y63" s="560"/>
      <c r="Z63" s="560"/>
    </row>
    <row r="64" spans="15:32">
      <c r="O64" s="560"/>
      <c r="P64" s="560" t="s">
        <v>1063</v>
      </c>
      <c r="Q64" s="732">
        <f>-Q15*R20/2</f>
        <v>10200</v>
      </c>
      <c r="R64" s="4"/>
      <c r="AD64" s="670"/>
      <c r="AF64" s="670"/>
    </row>
    <row r="65" spans="15:30">
      <c r="O65" s="560"/>
      <c r="P65" s="560" t="s">
        <v>1062</v>
      </c>
      <c r="Q65" s="870">
        <f>-Q15*S26/4</f>
        <v>-179.245</v>
      </c>
      <c r="R65" s="4"/>
      <c r="S65" s="560"/>
      <c r="AD65" s="670"/>
    </row>
    <row r="66" spans="15:30">
      <c r="O66" s="560"/>
      <c r="P66" s="560"/>
      <c r="Q66" s="732">
        <f>+Q63+Q64+Q65</f>
        <v>11052.355</v>
      </c>
      <c r="R66" s="4"/>
    </row>
    <row r="67" spans="15:30">
      <c r="O67" s="560"/>
      <c r="Q67" s="869"/>
      <c r="R67" s="4"/>
    </row>
    <row r="68" spans="15:30">
      <c r="O68" s="560"/>
      <c r="P68" s="106" t="s">
        <v>1061</v>
      </c>
      <c r="Q68" s="869"/>
    </row>
    <row r="69" spans="15:30">
      <c r="O69" s="560"/>
      <c r="P69" s="4" t="s">
        <v>1060</v>
      </c>
      <c r="Q69" s="868">
        <f>+Q20+Q33-R26-T26-Q57-Q60</f>
        <v>-473105.44608631625</v>
      </c>
    </row>
    <row r="70" spans="15:30">
      <c r="O70" s="560"/>
      <c r="P70" s="4" t="s">
        <v>1059</v>
      </c>
      <c r="Q70" s="867">
        <f>+R20+S30+S31-T26</f>
        <v>-491082.14500000002</v>
      </c>
    </row>
    <row r="71" spans="15:30">
      <c r="O71" s="560"/>
      <c r="P71" s="560"/>
      <c r="Q71" s="732"/>
    </row>
    <row r="72" spans="15:30">
      <c r="O72" s="560"/>
      <c r="P72" s="4" t="s">
        <v>1058</v>
      </c>
      <c r="Q72" s="866">
        <f>+Q69-Q70</f>
        <v>17976.698913683766</v>
      </c>
    </row>
    <row r="73" spans="15:30">
      <c r="O73" s="560"/>
      <c r="S73" s="861"/>
      <c r="U73" s="560"/>
      <c r="V73" s="560"/>
      <c r="W73" s="560"/>
      <c r="X73" s="560"/>
      <c r="Y73" s="560"/>
      <c r="Z73" s="560"/>
    </row>
    <row r="74" spans="15:30">
      <c r="O74" s="560"/>
      <c r="S74" s="861"/>
      <c r="V74" s="560"/>
      <c r="W74" s="560"/>
      <c r="X74" s="560"/>
      <c r="Y74" s="560"/>
      <c r="Z74" s="560"/>
    </row>
    <row r="75" spans="15:30">
      <c r="O75" s="560"/>
      <c r="S75" s="861"/>
      <c r="V75" s="560"/>
      <c r="W75" s="560"/>
      <c r="X75" s="560"/>
      <c r="Y75" s="560"/>
      <c r="Z75" s="560"/>
    </row>
    <row r="76" spans="15:30">
      <c r="O76" s="560"/>
      <c r="S76" s="861"/>
      <c r="V76" s="560"/>
      <c r="W76" s="560"/>
      <c r="X76" s="560"/>
      <c r="Y76" s="560"/>
      <c r="Z76" s="560"/>
    </row>
    <row r="77" spans="15:30">
      <c r="O77" s="560"/>
      <c r="S77" s="861"/>
      <c r="V77" s="560"/>
      <c r="W77" s="560"/>
      <c r="X77" s="560"/>
      <c r="Y77" s="560"/>
      <c r="Z77" s="560"/>
    </row>
    <row r="78" spans="15:30">
      <c r="O78" s="560"/>
      <c r="P78" s="4"/>
      <c r="Q78" s="863"/>
      <c r="S78" s="861"/>
      <c r="V78" s="560"/>
      <c r="W78" s="560"/>
      <c r="X78" s="560"/>
      <c r="Y78" s="560"/>
      <c r="Z78" s="560"/>
    </row>
    <row r="79" spans="15:30">
      <c r="O79" s="560"/>
      <c r="P79" s="4"/>
      <c r="Q79" s="865"/>
      <c r="S79" s="861"/>
      <c r="T79" s="560"/>
      <c r="U79" s="560"/>
      <c r="V79" s="560"/>
      <c r="W79" s="560"/>
      <c r="X79" s="560"/>
      <c r="Y79" s="560"/>
      <c r="Z79" s="560"/>
    </row>
    <row r="80" spans="15:30">
      <c r="O80" s="560"/>
      <c r="P80" s="4"/>
      <c r="S80" s="861"/>
      <c r="T80" s="560"/>
      <c r="U80" s="560"/>
      <c r="V80" s="560"/>
      <c r="W80" s="560"/>
      <c r="X80" s="560"/>
      <c r="Y80" s="560"/>
      <c r="Z80" s="560"/>
    </row>
    <row r="81" spans="15:26">
      <c r="O81" s="560"/>
      <c r="P81" s="4"/>
      <c r="S81" s="861"/>
      <c r="T81" s="560"/>
      <c r="U81" s="560"/>
      <c r="V81" s="560"/>
      <c r="W81" s="560"/>
      <c r="X81" s="560"/>
      <c r="Y81" s="560"/>
      <c r="Z81" s="560"/>
    </row>
    <row r="82" spans="15:26">
      <c r="O82" s="560"/>
      <c r="P82" s="864"/>
      <c r="Q82" s="863"/>
      <c r="S82" s="861"/>
      <c r="T82" s="560"/>
      <c r="U82" s="560"/>
      <c r="V82" s="560"/>
      <c r="W82" s="560"/>
      <c r="X82" s="560"/>
      <c r="Y82" s="560"/>
      <c r="Z82" s="560"/>
    </row>
    <row r="83" spans="15:26">
      <c r="O83" s="560"/>
      <c r="P83" s="864"/>
      <c r="Q83" s="863"/>
      <c r="S83" s="861"/>
      <c r="T83" s="560"/>
      <c r="U83" s="560"/>
      <c r="V83" s="560"/>
      <c r="W83" s="560"/>
      <c r="X83" s="560"/>
      <c r="Y83" s="560"/>
      <c r="Z83" s="560"/>
    </row>
    <row r="84" spans="15:26">
      <c r="O84" s="560"/>
      <c r="P84" s="4"/>
      <c r="Q84" s="4"/>
      <c r="S84" s="861"/>
      <c r="T84" s="560"/>
      <c r="U84" s="560"/>
      <c r="V84" s="560"/>
      <c r="W84" s="560"/>
      <c r="X84" s="560"/>
      <c r="Y84" s="560"/>
      <c r="Z84" s="560"/>
    </row>
    <row r="85" spans="15:26">
      <c r="O85" s="560"/>
      <c r="P85" s="4"/>
      <c r="Q85" s="862"/>
      <c r="S85" s="560"/>
      <c r="T85" s="560"/>
      <c r="U85" s="560"/>
      <c r="V85" s="560"/>
      <c r="W85" s="560"/>
      <c r="X85" s="560"/>
      <c r="Y85" s="560"/>
      <c r="Z85" s="560"/>
    </row>
    <row r="86" spans="15:26">
      <c r="O86" s="560"/>
      <c r="S86" s="560"/>
      <c r="T86" s="560"/>
      <c r="U86" s="560"/>
      <c r="V86" s="560"/>
      <c r="W86" s="560"/>
      <c r="X86" s="560"/>
      <c r="Y86" s="560"/>
      <c r="Z86" s="560"/>
    </row>
    <row r="87" spans="15:26">
      <c r="O87" s="560"/>
      <c r="P87" s="560"/>
      <c r="Q87" s="560"/>
      <c r="S87" s="560"/>
      <c r="T87" s="560"/>
      <c r="U87" s="560"/>
      <c r="V87" s="560"/>
      <c r="W87" s="560"/>
      <c r="X87" s="560"/>
      <c r="Y87" s="560"/>
      <c r="Z87" s="560"/>
    </row>
    <row r="88" spans="15:26">
      <c r="P88" s="560"/>
      <c r="Q88" s="560"/>
      <c r="S88" s="560"/>
      <c r="T88" s="560"/>
      <c r="U88" s="560"/>
      <c r="V88" s="560"/>
      <c r="W88" s="560"/>
      <c r="X88" s="560"/>
      <c r="Y88" s="560"/>
      <c r="Z88" s="560"/>
    </row>
    <row r="89" spans="15:26">
      <c r="S89" s="560"/>
      <c r="T89" s="560"/>
      <c r="U89" s="560"/>
      <c r="V89" s="560"/>
      <c r="W89" s="560"/>
      <c r="X89" s="560"/>
      <c r="Y89" s="560"/>
      <c r="Z89" s="560"/>
    </row>
    <row r="90" spans="15:26">
      <c r="S90" s="560"/>
      <c r="T90" s="560"/>
      <c r="U90" s="560"/>
      <c r="V90" s="560"/>
      <c r="W90" s="560"/>
      <c r="X90" s="560"/>
      <c r="Y90" s="560"/>
      <c r="Z90" s="560"/>
    </row>
    <row r="91" spans="15:26">
      <c r="S91" s="560"/>
      <c r="T91" s="560"/>
      <c r="U91" s="560"/>
      <c r="V91" s="560"/>
      <c r="W91" s="560"/>
      <c r="X91" s="560"/>
      <c r="Y91" s="560"/>
      <c r="Z91" s="560"/>
    </row>
    <row r="92" spans="15:26">
      <c r="S92" s="560"/>
      <c r="T92" s="560"/>
      <c r="U92" s="560"/>
      <c r="V92" s="560"/>
      <c r="W92" s="560"/>
      <c r="X92" s="560"/>
      <c r="Y92" s="560"/>
      <c r="Z92" s="560"/>
    </row>
    <row r="93" spans="15:26">
      <c r="S93" s="560"/>
      <c r="T93" s="560"/>
      <c r="U93" s="560"/>
      <c r="V93" s="560"/>
      <c r="W93" s="560"/>
      <c r="X93" s="560"/>
      <c r="Y93" s="560"/>
      <c r="Z93" s="560"/>
    </row>
    <row r="94" spans="15:26">
      <c r="S94" s="560"/>
      <c r="T94" s="560"/>
      <c r="U94" s="560"/>
      <c r="V94" s="560"/>
      <c r="W94" s="560"/>
      <c r="X94" s="560"/>
      <c r="Y94" s="560"/>
      <c r="Z94" s="560"/>
    </row>
    <row r="95" spans="15:26">
      <c r="S95" s="560"/>
      <c r="T95" s="560"/>
      <c r="U95" s="560"/>
      <c r="V95" s="560"/>
      <c r="W95" s="560"/>
      <c r="X95" s="560"/>
      <c r="Y95" s="560"/>
      <c r="Z95" s="560"/>
    </row>
    <row r="98" spans="16:20">
      <c r="P98" s="4"/>
      <c r="Q98" s="861"/>
    </row>
    <row r="99" spans="16:20">
      <c r="P99" s="4"/>
    </row>
    <row r="100" spans="16:20">
      <c r="P100" s="4"/>
    </row>
    <row r="101" spans="16:20">
      <c r="P101" s="560"/>
      <c r="Q101" s="560"/>
    </row>
    <row r="104" spans="16:20">
      <c r="T104" s="860"/>
    </row>
    <row r="105" spans="16:20">
      <c r="S105" s="856"/>
      <c r="T105" s="859"/>
    </row>
    <row r="106" spans="16:20">
      <c r="S106" s="856"/>
      <c r="T106" s="859"/>
    </row>
    <row r="107" spans="16:20">
      <c r="S107" s="856"/>
      <c r="T107" s="859"/>
    </row>
    <row r="108" spans="16:20">
      <c r="S108" s="858"/>
      <c r="T108" s="858"/>
    </row>
    <row r="115" spans="15:16">
      <c r="P115" s="857"/>
    </row>
    <row r="116" spans="15:16">
      <c r="P116" s="857"/>
    </row>
    <row r="117" spans="15:16">
      <c r="P117" s="857"/>
    </row>
    <row r="118" spans="15:16">
      <c r="P118" s="857"/>
    </row>
    <row r="121" spans="15:16">
      <c r="P121" s="856"/>
    </row>
    <row r="126" spans="15:16">
      <c r="O126" s="855"/>
    </row>
  </sheetData>
  <sheetProtection formatCells="0" formatColumns="0" formatRows="0" insertColumns="0" insertRows="0"/>
  <mergeCells count="4">
    <mergeCell ref="A5:M10"/>
    <mergeCell ref="P7:Z11"/>
    <mergeCell ref="B18:C18"/>
    <mergeCell ref="B27:D30"/>
  </mergeCells>
  <pageMargins left="0.7" right="0.7" top="0.75" bottom="0.75" header="0.3" footer="0.3"/>
  <pageSetup scale="68" orientation="portrait" horizontalDpi="4294967293"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ED5C1-B53F-4AEC-B262-B917A302476C}">
  <dimension ref="A1:AA132"/>
  <sheetViews>
    <sheetView zoomScale="85" zoomScaleNormal="85" workbookViewId="0">
      <selection sqref="A1:XFD1048576"/>
    </sheetView>
  </sheetViews>
  <sheetFormatPr defaultRowHeight="15.6"/>
  <cols>
    <col min="1" max="1" width="3.6640625" style="2" customWidth="1"/>
    <col min="2" max="2" width="56.5546875" style="2" customWidth="1"/>
    <col min="3" max="3" width="24.33203125" style="2" customWidth="1"/>
    <col min="4" max="4" width="9.88671875" style="2" customWidth="1"/>
    <col min="5" max="5" width="5.109375" style="2" customWidth="1"/>
    <col min="6" max="6" width="10" style="2" hidden="1" customWidth="1"/>
    <col min="7" max="7" width="6.88671875" style="2" hidden="1" customWidth="1"/>
    <col min="8" max="8" width="10" style="2" hidden="1" customWidth="1"/>
    <col min="9" max="9" width="6.88671875" style="2" hidden="1" customWidth="1"/>
    <col min="10" max="10" width="10" style="2" hidden="1" customWidth="1"/>
    <col min="11" max="11" width="6.88671875" style="2" hidden="1" customWidth="1"/>
    <col min="12" max="12" width="10" style="2" hidden="1" customWidth="1"/>
    <col min="13" max="13" width="2.6640625" style="2" customWidth="1"/>
    <col min="14" max="14" width="1" style="3" customWidth="1"/>
    <col min="15" max="15" width="8.88671875" style="33"/>
    <col min="16" max="16" width="12" style="33" customWidth="1"/>
    <col min="17" max="17" width="17.33203125" style="33" customWidth="1"/>
    <col min="18" max="18" width="13.44140625" style="33" customWidth="1"/>
    <col min="19" max="19" width="12.5546875" style="33" bestFit="1" customWidth="1"/>
    <col min="20" max="20" width="15" style="33" customWidth="1"/>
    <col min="21" max="21" width="8.88671875" style="33"/>
    <col min="22" max="22" width="11" style="33" customWidth="1"/>
    <col min="23" max="23" width="8.88671875" style="33"/>
    <col min="24" max="26" width="14.6640625" style="33" customWidth="1"/>
    <col min="27" max="27" width="1" style="3" customWidth="1"/>
  </cols>
  <sheetData>
    <row r="1" spans="1:26">
      <c r="A1" s="1" t="s">
        <v>1104</v>
      </c>
      <c r="O1" s="1" t="s">
        <v>1104</v>
      </c>
      <c r="P1" s="2"/>
      <c r="Q1" s="2"/>
      <c r="R1" s="2"/>
      <c r="S1" s="2"/>
      <c r="T1" s="2"/>
      <c r="U1" s="2"/>
      <c r="V1" s="2"/>
      <c r="W1" s="2"/>
      <c r="X1" s="2"/>
      <c r="Y1" s="2"/>
      <c r="Z1" s="2"/>
    </row>
    <row r="2" spans="1:26">
      <c r="A2" s="1" t="s">
        <v>1</v>
      </c>
      <c r="O2" s="1" t="s">
        <v>1</v>
      </c>
      <c r="P2" s="2"/>
      <c r="Q2" s="2"/>
      <c r="R2" s="2"/>
      <c r="S2" s="2"/>
      <c r="T2" s="2"/>
      <c r="U2" s="2"/>
      <c r="V2" s="2"/>
      <c r="W2" s="2"/>
      <c r="X2" s="2"/>
      <c r="Y2" s="2"/>
      <c r="Z2" s="2"/>
    </row>
    <row r="3" spans="1:26">
      <c r="A3" s="1" t="s">
        <v>259</v>
      </c>
      <c r="O3" s="1" t="s">
        <v>259</v>
      </c>
      <c r="P3" s="2"/>
      <c r="Q3" s="2"/>
      <c r="R3" s="2"/>
      <c r="S3" s="2"/>
      <c r="T3" s="2"/>
      <c r="U3" s="2"/>
      <c r="V3" s="2"/>
      <c r="W3" s="2"/>
      <c r="X3" s="2"/>
      <c r="Y3" s="2"/>
      <c r="Z3" s="2"/>
    </row>
    <row r="4" spans="1:26">
      <c r="O4" s="2"/>
      <c r="P4" s="2"/>
      <c r="Q4" s="2"/>
      <c r="R4" s="2"/>
      <c r="S4" s="2"/>
      <c r="T4" s="2"/>
      <c r="U4" s="2"/>
      <c r="V4" s="2"/>
      <c r="W4" s="2"/>
      <c r="X4" s="2"/>
      <c r="Y4" s="2"/>
      <c r="Z4" s="2"/>
    </row>
    <row r="5" spans="1:26" ht="16.2" customHeight="1">
      <c r="A5" s="1658" t="s">
        <v>1103</v>
      </c>
      <c r="B5" s="1658"/>
      <c r="C5" s="1658"/>
      <c r="D5" s="1658"/>
      <c r="E5" s="1658"/>
      <c r="F5" s="1658"/>
      <c r="G5" s="1658"/>
      <c r="H5" s="1658"/>
      <c r="I5" s="1658"/>
      <c r="J5" s="1658"/>
      <c r="K5" s="1658"/>
      <c r="L5" s="1658"/>
      <c r="M5" s="1658"/>
      <c r="O5" s="6" t="s">
        <v>4</v>
      </c>
      <c r="P5" s="2"/>
      <c r="Q5" s="2"/>
      <c r="R5" s="2"/>
      <c r="S5" s="2"/>
      <c r="T5" s="2"/>
      <c r="U5" s="2"/>
      <c r="V5" s="2"/>
      <c r="W5" s="2"/>
      <c r="X5" s="2"/>
      <c r="Y5" s="2"/>
      <c r="Z5" s="2"/>
    </row>
    <row r="6" spans="1:26">
      <c r="A6" s="1658"/>
      <c r="B6" s="1658"/>
      <c r="C6" s="1658"/>
      <c r="D6" s="1658"/>
      <c r="E6" s="1658"/>
      <c r="F6" s="1658"/>
      <c r="G6" s="1658"/>
      <c r="H6" s="1658"/>
      <c r="I6" s="1658"/>
      <c r="J6" s="1658"/>
      <c r="K6" s="1658"/>
      <c r="L6" s="1658"/>
      <c r="M6" s="1658"/>
      <c r="O6" s="2"/>
      <c r="P6" s="2"/>
      <c r="Q6" s="2"/>
      <c r="R6" s="2"/>
      <c r="S6" s="2"/>
      <c r="T6" s="2"/>
      <c r="U6" s="2"/>
      <c r="V6" s="2"/>
      <c r="W6" s="2"/>
      <c r="X6" s="2"/>
      <c r="Y6" s="2"/>
      <c r="Z6" s="2"/>
    </row>
    <row r="7" spans="1:26" ht="15.6" customHeight="1">
      <c r="A7" s="1658"/>
      <c r="B7" s="1658"/>
      <c r="C7" s="1658"/>
      <c r="D7" s="1658"/>
      <c r="E7" s="1658"/>
      <c r="F7" s="1658"/>
      <c r="G7" s="1658"/>
      <c r="H7" s="1658"/>
      <c r="I7" s="1658"/>
      <c r="J7" s="1658"/>
      <c r="K7" s="1658"/>
      <c r="L7" s="1658"/>
      <c r="M7" s="1658"/>
      <c r="O7" s="2"/>
      <c r="P7" s="1462" t="s">
        <v>1099</v>
      </c>
      <c r="Q7" s="1462"/>
      <c r="R7" s="1462"/>
      <c r="S7" s="1462"/>
      <c r="T7" s="1462"/>
      <c r="U7" s="1462"/>
      <c r="V7" s="1462"/>
      <c r="W7" s="1462"/>
      <c r="X7" s="1462"/>
      <c r="Y7" s="1462"/>
      <c r="Z7" s="1462"/>
    </row>
    <row r="8" spans="1:26" ht="15.6" customHeight="1">
      <c r="A8" s="1658"/>
      <c r="B8" s="1658"/>
      <c r="C8" s="1658"/>
      <c r="D8" s="1658"/>
      <c r="E8" s="1658"/>
      <c r="F8" s="1658"/>
      <c r="G8" s="1658"/>
      <c r="H8" s="1658"/>
      <c r="I8" s="1658"/>
      <c r="J8" s="1658"/>
      <c r="K8" s="1658"/>
      <c r="L8" s="1658"/>
      <c r="M8" s="1658"/>
      <c r="O8" s="2"/>
      <c r="P8" s="1462"/>
      <c r="Q8" s="1462"/>
      <c r="R8" s="1462"/>
      <c r="S8" s="1462"/>
      <c r="T8" s="1462"/>
      <c r="U8" s="1462"/>
      <c r="V8" s="1462"/>
      <c r="W8" s="1462"/>
      <c r="X8" s="1462"/>
      <c r="Y8" s="1462"/>
      <c r="Z8" s="1462"/>
    </row>
    <row r="9" spans="1:26" ht="15.75" customHeight="1">
      <c r="A9" s="1658"/>
      <c r="B9" s="1658"/>
      <c r="C9" s="1658"/>
      <c r="D9" s="1658"/>
      <c r="E9" s="1658"/>
      <c r="F9" s="1658"/>
      <c r="G9" s="1658"/>
      <c r="H9" s="1658"/>
      <c r="I9" s="1658"/>
      <c r="J9" s="1658"/>
      <c r="K9" s="1658"/>
      <c r="L9" s="1658"/>
      <c r="M9" s="1658"/>
      <c r="O9" s="2"/>
      <c r="P9" s="1462"/>
      <c r="Q9" s="1462"/>
      <c r="R9" s="1462"/>
      <c r="S9" s="1462"/>
      <c r="T9" s="1462"/>
      <c r="U9" s="1462"/>
      <c r="V9" s="1462"/>
      <c r="W9" s="1462"/>
      <c r="X9" s="1462"/>
      <c r="Y9" s="1462"/>
      <c r="Z9" s="1462"/>
    </row>
    <row r="10" spans="1:26">
      <c r="A10" s="1658"/>
      <c r="B10" s="1658"/>
      <c r="C10" s="1658"/>
      <c r="D10" s="1658"/>
      <c r="E10" s="1658"/>
      <c r="F10" s="1658"/>
      <c r="G10" s="1658"/>
      <c r="H10" s="1658"/>
      <c r="I10" s="1658"/>
      <c r="J10" s="1658"/>
      <c r="K10" s="1658"/>
      <c r="L10" s="1658"/>
      <c r="M10" s="1658"/>
      <c r="O10" s="2"/>
      <c r="P10" s="1462"/>
      <c r="Q10" s="1462"/>
      <c r="R10" s="1462"/>
      <c r="S10" s="1462"/>
      <c r="T10" s="1462"/>
      <c r="U10" s="1462"/>
      <c r="V10" s="1462"/>
      <c r="W10" s="1462"/>
      <c r="X10" s="1462"/>
      <c r="Y10" s="1462"/>
      <c r="Z10" s="1462"/>
    </row>
    <row r="11" spans="1:26">
      <c r="O11" s="2"/>
      <c r="P11" s="1462"/>
      <c r="Q11" s="1462"/>
      <c r="R11" s="1462"/>
      <c r="S11" s="1462"/>
      <c r="T11" s="1462"/>
      <c r="U11" s="1462"/>
      <c r="V11" s="1462"/>
      <c r="W11" s="1462"/>
      <c r="X11" s="1462"/>
      <c r="Y11" s="1462"/>
      <c r="Z11" s="1462"/>
    </row>
    <row r="12" spans="1:26">
      <c r="B12" s="850" t="s">
        <v>1055</v>
      </c>
      <c r="C12" s="849">
        <v>19000</v>
      </c>
      <c r="O12" s="2"/>
      <c r="P12" s="1462"/>
      <c r="Q12" s="1462"/>
      <c r="R12" s="1462"/>
      <c r="S12" s="1462"/>
      <c r="T12" s="1462"/>
      <c r="U12" s="1462"/>
      <c r="V12" s="1462"/>
      <c r="W12" s="1462"/>
      <c r="X12" s="1462"/>
      <c r="Y12" s="1462"/>
      <c r="Z12" s="1462"/>
    </row>
    <row r="13" spans="1:26">
      <c r="B13" s="850" t="s">
        <v>1054</v>
      </c>
      <c r="C13" s="849">
        <v>21000</v>
      </c>
      <c r="O13" s="2"/>
      <c r="P13" s="1462"/>
      <c r="Q13" s="1462"/>
      <c r="R13" s="1462"/>
      <c r="S13" s="1462"/>
      <c r="T13" s="1462"/>
      <c r="U13" s="1462"/>
      <c r="V13" s="1462"/>
      <c r="W13" s="1462"/>
      <c r="X13" s="1462"/>
      <c r="Y13" s="1462"/>
      <c r="Z13" s="1462"/>
    </row>
    <row r="14" spans="1:26">
      <c r="B14" s="850" t="s">
        <v>1053</v>
      </c>
      <c r="C14" s="849">
        <v>21500</v>
      </c>
      <c r="O14" s="2"/>
      <c r="P14" s="5"/>
      <c r="Q14" s="5"/>
      <c r="R14" s="5"/>
      <c r="S14" s="5"/>
      <c r="T14" s="5"/>
      <c r="U14" s="5"/>
      <c r="V14" s="5"/>
      <c r="W14" s="5"/>
      <c r="X14" s="5"/>
      <c r="Y14" s="5"/>
      <c r="Z14" s="5"/>
    </row>
    <row r="15" spans="1:26">
      <c r="B15" s="850" t="s">
        <v>1052</v>
      </c>
      <c r="C15" s="849">
        <v>35849</v>
      </c>
      <c r="O15" s="2"/>
      <c r="P15" s="1462" t="s">
        <v>683</v>
      </c>
      <c r="Q15" s="1462"/>
      <c r="R15" s="5"/>
      <c r="S15" s="5"/>
      <c r="T15" s="5"/>
      <c r="U15" s="5"/>
      <c r="V15" s="5"/>
      <c r="W15" s="5"/>
      <c r="X15" s="5"/>
      <c r="Y15" s="5"/>
      <c r="Z15" s="5"/>
    </row>
    <row r="16" spans="1:26">
      <c r="B16" s="850" t="s">
        <v>1051</v>
      </c>
      <c r="C16" s="853" t="s">
        <v>59</v>
      </c>
    </row>
    <row r="17" spans="1:11">
      <c r="B17" s="850" t="s">
        <v>1050</v>
      </c>
      <c r="C17" s="849">
        <v>0</v>
      </c>
    </row>
    <row r="18" spans="1:11">
      <c r="B18" s="1659" t="s">
        <v>1049</v>
      </c>
      <c r="C18" s="1659"/>
    </row>
    <row r="19" spans="1:11">
      <c r="B19" s="850" t="s">
        <v>1048</v>
      </c>
      <c r="C19" s="888">
        <v>0.04</v>
      </c>
    </row>
    <row r="20" spans="1:11">
      <c r="B20" s="850" t="s">
        <v>1047</v>
      </c>
      <c r="C20" s="849">
        <v>700000</v>
      </c>
    </row>
    <row r="21" spans="1:11" ht="46.8">
      <c r="B21" s="850" t="s">
        <v>1102</v>
      </c>
      <c r="C21" s="849">
        <v>1200000</v>
      </c>
    </row>
    <row r="22" spans="1:11" ht="31.2">
      <c r="B22" s="850" t="s">
        <v>1101</v>
      </c>
      <c r="C22" s="849">
        <v>1210000</v>
      </c>
    </row>
    <row r="23" spans="1:11">
      <c r="B23" s="850" t="s">
        <v>1044</v>
      </c>
      <c r="C23" s="849">
        <v>51580</v>
      </c>
    </row>
    <row r="24" spans="1:11" ht="31.2">
      <c r="B24" s="850" t="s">
        <v>1100</v>
      </c>
      <c r="C24" s="887">
        <v>12</v>
      </c>
    </row>
    <row r="25" spans="1:11" ht="15.6" customHeight="1">
      <c r="B25" s="7"/>
      <c r="C25" s="23"/>
      <c r="D25" s="23"/>
    </row>
    <row r="26" spans="1:11" ht="15.6" customHeight="1">
      <c r="A26" s="2" t="s">
        <v>1043</v>
      </c>
      <c r="B26" s="7"/>
      <c r="C26" s="23"/>
      <c r="D26" s="23"/>
    </row>
    <row r="27" spans="1:11" ht="15.6" customHeight="1">
      <c r="B27" s="7"/>
      <c r="C27" s="23"/>
      <c r="D27" s="23"/>
    </row>
    <row r="28" spans="1:11">
      <c r="A28" s="1462" t="s">
        <v>1099</v>
      </c>
      <c r="B28" s="1462"/>
      <c r="C28" s="1462"/>
      <c r="D28" s="1462"/>
      <c r="E28" s="1462"/>
      <c r="F28" s="1462"/>
      <c r="G28" s="1462"/>
      <c r="H28" s="1462"/>
      <c r="I28" s="1462"/>
      <c r="J28" s="1462"/>
      <c r="K28" s="1462"/>
    </row>
    <row r="29" spans="1:11">
      <c r="A29" s="1462"/>
      <c r="B29" s="1462"/>
      <c r="C29" s="1462"/>
      <c r="D29" s="1462"/>
      <c r="E29" s="1462"/>
      <c r="F29" s="1462"/>
      <c r="G29" s="1462"/>
      <c r="H29" s="1462"/>
      <c r="I29" s="1462"/>
      <c r="J29" s="1462"/>
      <c r="K29" s="1462"/>
    </row>
    <row r="30" spans="1:11" ht="16.2" customHeight="1">
      <c r="A30" s="1462"/>
      <c r="B30" s="1462"/>
      <c r="C30" s="1462"/>
      <c r="D30" s="1462"/>
      <c r="E30" s="1462"/>
      <c r="F30" s="1462"/>
      <c r="G30" s="1462"/>
      <c r="H30" s="1462"/>
      <c r="I30" s="1462"/>
      <c r="J30" s="1462"/>
      <c r="K30" s="1462"/>
    </row>
    <row r="31" spans="1:11" ht="16.2" customHeight="1">
      <c r="A31" s="1462"/>
      <c r="B31" s="1462"/>
      <c r="C31" s="1462"/>
      <c r="D31" s="1462"/>
      <c r="E31" s="1462"/>
      <c r="F31" s="1462"/>
      <c r="G31" s="1462"/>
      <c r="H31" s="1462"/>
      <c r="I31" s="1462"/>
      <c r="J31" s="1462"/>
      <c r="K31" s="1462"/>
    </row>
    <row r="32" spans="1:11" ht="16.2" customHeight="1">
      <c r="A32" s="1462"/>
      <c r="B32" s="1462"/>
      <c r="C32" s="1462"/>
      <c r="D32" s="1462"/>
      <c r="E32" s="1462"/>
      <c r="F32" s="1462"/>
      <c r="G32" s="1462"/>
      <c r="H32" s="1462"/>
      <c r="I32" s="1462"/>
      <c r="J32" s="1462"/>
      <c r="K32" s="1462"/>
    </row>
    <row r="33" spans="1:17">
      <c r="A33" s="1462"/>
      <c r="B33" s="1462"/>
      <c r="C33" s="1462"/>
      <c r="D33" s="1462"/>
      <c r="E33" s="1462"/>
      <c r="F33" s="1462"/>
      <c r="G33" s="1462"/>
      <c r="H33" s="1462"/>
      <c r="I33" s="1462"/>
      <c r="J33" s="1462"/>
      <c r="K33" s="1462"/>
    </row>
    <row r="34" spans="1:17">
      <c r="A34" s="1462"/>
      <c r="B34" s="1462"/>
      <c r="C34" s="1462"/>
      <c r="D34" s="1462"/>
      <c r="E34" s="1462"/>
      <c r="F34" s="1462"/>
      <c r="G34" s="1462"/>
      <c r="H34" s="1462"/>
      <c r="I34" s="1462"/>
      <c r="J34" s="1462"/>
      <c r="K34" s="1462"/>
    </row>
    <row r="35" spans="1:17" ht="16.2">
      <c r="B35" s="29"/>
      <c r="C35" s="5"/>
      <c r="D35" s="5"/>
      <c r="E35" s="5"/>
      <c r="F35" s="5"/>
      <c r="G35" s="5"/>
      <c r="H35" s="5"/>
      <c r="I35" s="5"/>
      <c r="J35" s="5"/>
      <c r="K35" s="5"/>
      <c r="Q35" s="35"/>
    </row>
    <row r="36" spans="1:17">
      <c r="B36" s="28" t="s">
        <v>683</v>
      </c>
    </row>
    <row r="37" spans="1:17" ht="16.2">
      <c r="B37" s="29" t="s">
        <v>32</v>
      </c>
      <c r="Q37" s="35"/>
    </row>
    <row r="38" spans="1:17">
      <c r="Q38" s="35"/>
    </row>
    <row r="41" spans="1:17">
      <c r="Q41" s="35"/>
    </row>
    <row r="42" spans="1:17">
      <c r="Q42" s="35"/>
    </row>
    <row r="44" spans="1:17">
      <c r="Q44" s="34"/>
    </row>
    <row r="47" spans="1:17">
      <c r="Q47" s="35"/>
    </row>
    <row r="48" spans="1:17">
      <c r="Q48" s="35"/>
    </row>
    <row r="49" spans="16:17">
      <c r="Q49" s="35"/>
    </row>
    <row r="50" spans="16:17">
      <c r="Q50" s="35"/>
    </row>
    <row r="51" spans="16:17">
      <c r="Q51" s="35"/>
    </row>
    <row r="52" spans="16:17">
      <c r="Q52" s="35"/>
    </row>
    <row r="54" spans="16:17">
      <c r="Q54" s="36"/>
    </row>
    <row r="56" spans="16:17">
      <c r="P56" s="846"/>
    </row>
    <row r="57" spans="16:17" ht="15.75" customHeight="1"/>
    <row r="59" spans="16:17">
      <c r="P59" s="845"/>
    </row>
    <row r="61" spans="16:17">
      <c r="P61" s="34"/>
    </row>
    <row r="62" spans="16:17">
      <c r="P62" s="34"/>
    </row>
    <row r="63" spans="16:17">
      <c r="P63" s="35"/>
    </row>
    <row r="64" spans="16:17">
      <c r="P64" s="34"/>
    </row>
    <row r="65" spans="16:18">
      <c r="P65" s="34"/>
    </row>
    <row r="66" spans="16:18">
      <c r="P66" s="34"/>
    </row>
    <row r="70" spans="16:18">
      <c r="P70" s="35"/>
    </row>
    <row r="73" spans="16:18">
      <c r="P73" s="36"/>
    </row>
    <row r="74" spans="16:18">
      <c r="P74" s="36"/>
    </row>
    <row r="75" spans="16:18">
      <c r="P75" s="35"/>
      <c r="R75" s="37"/>
    </row>
    <row r="76" spans="16:18">
      <c r="P76" s="35"/>
    </row>
    <row r="77" spans="16:18">
      <c r="P77" s="35"/>
    </row>
    <row r="78" spans="16:18">
      <c r="P78" s="36"/>
    </row>
    <row r="79" spans="16:18">
      <c r="P79" s="35"/>
    </row>
    <row r="80" spans="16:18">
      <c r="P80" s="35"/>
    </row>
    <row r="81" spans="16:18">
      <c r="P81" s="35"/>
    </row>
    <row r="82" spans="16:18">
      <c r="P82" s="36"/>
    </row>
    <row r="83" spans="16:18">
      <c r="P83" s="35"/>
    </row>
    <row r="84" spans="16:18">
      <c r="P84" s="35"/>
    </row>
    <row r="85" spans="16:18">
      <c r="P85" s="36"/>
    </row>
    <row r="86" spans="16:18">
      <c r="P86" s="36"/>
    </row>
    <row r="87" spans="16:18">
      <c r="P87" s="36"/>
    </row>
    <row r="95" spans="16:18">
      <c r="R95" s="35"/>
    </row>
    <row r="97" spans="17:20">
      <c r="R97" s="35"/>
    </row>
    <row r="98" spans="17:20">
      <c r="R98" s="35"/>
    </row>
    <row r="101" spans="17:20">
      <c r="R101" s="38"/>
    </row>
    <row r="102" spans="17:20">
      <c r="R102" s="35"/>
    </row>
    <row r="104" spans="17:20">
      <c r="R104" s="37"/>
    </row>
    <row r="105" spans="17:20">
      <c r="R105" s="39"/>
    </row>
    <row r="106" spans="17:20">
      <c r="Q106" s="35"/>
    </row>
    <row r="107" spans="17:20">
      <c r="Q107" s="35"/>
    </row>
    <row r="109" spans="17:20">
      <c r="Q109" s="40"/>
      <c r="R109" s="41"/>
      <c r="T109" s="41"/>
    </row>
    <row r="110" spans="17:20">
      <c r="Q110" s="37"/>
      <c r="R110" s="37"/>
      <c r="S110" s="38"/>
      <c r="T110" s="37"/>
    </row>
    <row r="111" spans="17:20">
      <c r="Q111" s="37"/>
      <c r="R111" s="37"/>
      <c r="S111" s="38"/>
      <c r="T111" s="37"/>
    </row>
    <row r="112" spans="17:20">
      <c r="Q112" s="37"/>
      <c r="R112" s="37"/>
      <c r="S112" s="38"/>
      <c r="T112" s="37"/>
    </row>
    <row r="113" spans="16:20">
      <c r="Q113" s="42"/>
      <c r="R113" s="42"/>
      <c r="S113" s="42"/>
      <c r="T113" s="42"/>
    </row>
    <row r="118" spans="16:20">
      <c r="P118" s="43"/>
    </row>
    <row r="120" spans="16:20">
      <c r="P120" s="34"/>
    </row>
    <row r="121" spans="16:20">
      <c r="P121" s="34"/>
    </row>
    <row r="122" spans="16:20">
      <c r="P122" s="34"/>
    </row>
    <row r="123" spans="16:20">
      <c r="P123" s="34"/>
    </row>
    <row r="124" spans="16:20">
      <c r="Q124" s="44"/>
    </row>
    <row r="127" spans="16:20">
      <c r="P127" s="38"/>
      <c r="R127" s="45"/>
      <c r="S127" s="45"/>
      <c r="T127" s="46"/>
    </row>
    <row r="128" spans="16:20">
      <c r="R128" s="34"/>
      <c r="S128" s="47"/>
      <c r="T128" s="34"/>
    </row>
    <row r="129" spans="15:20">
      <c r="R129" s="34"/>
      <c r="S129" s="47"/>
      <c r="T129" s="34"/>
    </row>
    <row r="130" spans="15:20">
      <c r="R130" s="48"/>
      <c r="S130" s="49"/>
      <c r="T130" s="34"/>
    </row>
    <row r="131" spans="15:20">
      <c r="R131" s="34"/>
      <c r="S131" s="34"/>
      <c r="T131" s="34"/>
    </row>
    <row r="132" spans="15:20">
      <c r="O132" s="50"/>
    </row>
  </sheetData>
  <sheetProtection algorithmName="SHA-512" hashValue="xH6gy3JZzlbIiMIz+wfHUAxNo0N0x4SPxdXxN8zvNdVym5RE0IYKv1cULxHljFbm+Wzj2YzzCY7Jelajon5sYg==" saltValue="MygoePevwOaw8oMIvbvZWw==" spinCount="100000" sheet="1" objects="1" scenarios="1" formatCells="0" formatColumns="0" formatRows="0" insertColumns="0" insertRows="0"/>
  <mergeCells count="5">
    <mergeCell ref="A5:M10"/>
    <mergeCell ref="P7:Z13"/>
    <mergeCell ref="P15:Q15"/>
    <mergeCell ref="B18:C18"/>
    <mergeCell ref="A28:K34"/>
  </mergeCell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DE9DE-4779-4497-A9CE-59FD8EF04BCD}">
  <dimension ref="A1:AH162"/>
  <sheetViews>
    <sheetView topLeftCell="C1" zoomScale="77" zoomScaleNormal="70" zoomScaleSheetLayoutView="100" workbookViewId="0">
      <selection sqref="A1:XFD1048576"/>
    </sheetView>
  </sheetViews>
  <sheetFormatPr defaultColWidth="9.33203125" defaultRowHeight="15.6"/>
  <cols>
    <col min="1" max="1" width="3.6640625" style="2" customWidth="1"/>
    <col min="2" max="2" width="56.5546875" style="2" customWidth="1"/>
    <col min="3" max="3" width="24.33203125" style="2" customWidth="1"/>
    <col min="4" max="4" width="9.6640625" style="2" customWidth="1"/>
    <col min="5" max="5" width="5.33203125" style="2" customWidth="1"/>
    <col min="6" max="6" width="10" style="2" hidden="1" customWidth="1"/>
    <col min="7" max="7" width="6.6640625" style="2" hidden="1" customWidth="1"/>
    <col min="8" max="8" width="10" style="2" hidden="1" customWidth="1"/>
    <col min="9" max="9" width="6.6640625" style="2" hidden="1" customWidth="1"/>
    <col min="10" max="10" width="10" style="2" hidden="1" customWidth="1"/>
    <col min="11" max="11" width="6.6640625" style="2" hidden="1" customWidth="1"/>
    <col min="12" max="12" width="10" style="2" hidden="1" customWidth="1"/>
    <col min="13" max="13" width="2.6640625" style="2" customWidth="1"/>
    <col min="14" max="14" width="1" style="3" customWidth="1"/>
    <col min="15" max="15" width="4" style="560" customWidth="1"/>
    <col min="16" max="16" width="59.5546875" style="560" customWidth="1"/>
    <col min="17" max="17" width="18.5546875" style="560" customWidth="1"/>
    <col min="18" max="18" width="34.44140625" style="560" customWidth="1"/>
    <col min="19" max="21" width="18.6640625" style="560" customWidth="1"/>
    <col min="22" max="22" width="15.33203125" style="560" customWidth="1"/>
    <col min="23" max="23" width="14" style="560" customWidth="1"/>
    <col min="24" max="24" width="21.33203125" style="560" customWidth="1"/>
    <col min="25" max="25" width="10.33203125" style="560" customWidth="1"/>
    <col min="26" max="26" width="33" style="560" customWidth="1"/>
    <col min="27" max="27" width="1" style="561" customWidth="1"/>
    <col min="28" max="28" width="17.33203125" style="560" customWidth="1"/>
    <col min="29" max="16384" width="9.33203125" style="560"/>
  </cols>
  <sheetData>
    <row r="1" spans="1:26">
      <c r="A1" s="1" t="s">
        <v>1104</v>
      </c>
      <c r="O1" s="1" t="s">
        <v>1104</v>
      </c>
      <c r="P1" s="2"/>
      <c r="Q1" s="2"/>
      <c r="R1" s="2"/>
      <c r="S1" s="2"/>
      <c r="T1" s="2"/>
      <c r="U1" s="2"/>
      <c r="V1" s="2"/>
      <c r="W1" s="2"/>
      <c r="X1" s="2"/>
      <c r="Y1" s="2"/>
      <c r="Z1" s="2"/>
    </row>
    <row r="2" spans="1:26">
      <c r="A2" s="1" t="s">
        <v>1</v>
      </c>
      <c r="O2" s="1" t="s">
        <v>1</v>
      </c>
      <c r="P2" s="2"/>
      <c r="Q2" s="2"/>
      <c r="R2" s="2"/>
      <c r="S2" s="2"/>
      <c r="T2" s="2"/>
      <c r="U2" s="2"/>
      <c r="V2" s="2"/>
      <c r="W2" s="2"/>
      <c r="X2" s="2"/>
      <c r="Y2" s="2"/>
      <c r="Z2" s="2"/>
    </row>
    <row r="3" spans="1:26">
      <c r="A3" s="1" t="s">
        <v>259</v>
      </c>
      <c r="O3" s="1" t="s">
        <v>259</v>
      </c>
      <c r="P3" s="2"/>
      <c r="Q3" s="2"/>
      <c r="R3" s="2"/>
      <c r="S3" s="2"/>
      <c r="T3" s="2"/>
      <c r="U3" s="2"/>
      <c r="V3" s="2"/>
      <c r="W3" s="2"/>
      <c r="X3" s="2"/>
      <c r="Y3" s="2"/>
      <c r="Z3" s="2"/>
    </row>
    <row r="4" spans="1:26">
      <c r="O4" s="2"/>
      <c r="P4" s="2"/>
      <c r="Q4" s="2"/>
      <c r="R4" s="2"/>
      <c r="S4" s="2"/>
      <c r="T4" s="2"/>
      <c r="U4" s="2"/>
      <c r="V4" s="2"/>
      <c r="W4" s="2"/>
      <c r="X4" s="2"/>
      <c r="Y4" s="2"/>
      <c r="Z4" s="2"/>
    </row>
    <row r="5" spans="1:26" ht="16.2">
      <c r="A5" s="1658" t="s">
        <v>1103</v>
      </c>
      <c r="B5" s="1658"/>
      <c r="C5" s="1658"/>
      <c r="D5" s="1658"/>
      <c r="E5" s="1658"/>
      <c r="F5" s="1658"/>
      <c r="G5" s="1658"/>
      <c r="H5" s="1658"/>
      <c r="I5" s="1658"/>
      <c r="J5" s="1658"/>
      <c r="K5" s="1658"/>
      <c r="L5" s="1658"/>
      <c r="M5" s="1658"/>
      <c r="O5" s="6" t="s">
        <v>4</v>
      </c>
      <c r="P5" s="2"/>
      <c r="Q5" s="2"/>
      <c r="R5" s="2"/>
      <c r="S5" s="2"/>
      <c r="T5" s="2"/>
      <c r="U5" s="2"/>
      <c r="V5" s="2"/>
      <c r="W5" s="2"/>
      <c r="X5" s="2"/>
      <c r="Y5" s="2"/>
      <c r="Z5" s="2"/>
    </row>
    <row r="6" spans="1:26">
      <c r="A6" s="1658"/>
      <c r="B6" s="1658"/>
      <c r="C6" s="1658"/>
      <c r="D6" s="1658"/>
      <c r="E6" s="1658"/>
      <c r="F6" s="1658"/>
      <c r="G6" s="1658"/>
      <c r="H6" s="1658"/>
      <c r="I6" s="1658"/>
      <c r="J6" s="1658"/>
      <c r="K6" s="1658"/>
      <c r="L6" s="1658"/>
      <c r="M6" s="1658"/>
      <c r="O6" s="2"/>
      <c r="P6" s="2"/>
      <c r="Q6" s="2"/>
      <c r="R6" s="2"/>
      <c r="S6" s="2"/>
      <c r="T6" s="2"/>
      <c r="U6" s="2"/>
      <c r="V6" s="2"/>
      <c r="W6" s="2"/>
      <c r="X6" s="2"/>
      <c r="Y6" s="2"/>
      <c r="Z6" s="2"/>
    </row>
    <row r="7" spans="1:26" ht="15.75" customHeight="1">
      <c r="A7" s="1658"/>
      <c r="B7" s="1658"/>
      <c r="C7" s="1658"/>
      <c r="D7" s="1658"/>
      <c r="E7" s="1658"/>
      <c r="F7" s="1658"/>
      <c r="G7" s="1658"/>
      <c r="H7" s="1658"/>
      <c r="I7" s="1658"/>
      <c r="J7" s="1658"/>
      <c r="K7" s="1658"/>
      <c r="L7" s="1658"/>
      <c r="M7" s="1658"/>
      <c r="O7" s="2"/>
      <c r="P7" s="1462" t="s">
        <v>1099</v>
      </c>
      <c r="Q7" s="1462"/>
      <c r="R7" s="1462"/>
      <c r="S7" s="1462"/>
      <c r="T7" s="1462"/>
      <c r="U7" s="1462"/>
      <c r="V7" s="1462"/>
      <c r="W7" s="1462"/>
      <c r="X7" s="1462"/>
      <c r="Y7" s="1462"/>
      <c r="Z7" s="1462"/>
    </row>
    <row r="8" spans="1:26">
      <c r="A8" s="1658"/>
      <c r="B8" s="1658"/>
      <c r="C8" s="1658"/>
      <c r="D8" s="1658"/>
      <c r="E8" s="1658"/>
      <c r="F8" s="1658"/>
      <c r="G8" s="1658"/>
      <c r="H8" s="1658"/>
      <c r="I8" s="1658"/>
      <c r="J8" s="1658"/>
      <c r="K8" s="1658"/>
      <c r="L8" s="1658"/>
      <c r="M8" s="1658"/>
      <c r="O8" s="2"/>
      <c r="P8" s="1462"/>
      <c r="Q8" s="1462"/>
      <c r="R8" s="1462"/>
      <c r="S8" s="1462"/>
      <c r="T8" s="1462"/>
      <c r="U8" s="1462"/>
      <c r="V8" s="1462"/>
      <c r="W8" s="1462"/>
      <c r="X8" s="1462"/>
      <c r="Y8" s="1462"/>
      <c r="Z8" s="1462"/>
    </row>
    <row r="9" spans="1:26">
      <c r="A9" s="1658"/>
      <c r="B9" s="1658"/>
      <c r="C9" s="1658"/>
      <c r="D9" s="1658"/>
      <c r="E9" s="1658"/>
      <c r="F9" s="1658"/>
      <c r="G9" s="1658"/>
      <c r="H9" s="1658"/>
      <c r="I9" s="1658"/>
      <c r="J9" s="1658"/>
      <c r="K9" s="1658"/>
      <c r="L9" s="1658"/>
      <c r="M9" s="1658"/>
      <c r="O9" s="2"/>
      <c r="P9" s="1462"/>
      <c r="Q9" s="1462"/>
      <c r="R9" s="1462"/>
      <c r="S9" s="1462"/>
      <c r="T9" s="1462"/>
      <c r="U9" s="1462"/>
      <c r="V9" s="1462"/>
      <c r="W9" s="1462"/>
      <c r="X9" s="1462"/>
      <c r="Y9" s="1462"/>
      <c r="Z9" s="1462"/>
    </row>
    <row r="10" spans="1:26">
      <c r="A10" s="1658"/>
      <c r="B10" s="1658"/>
      <c r="C10" s="1658"/>
      <c r="D10" s="1658"/>
      <c r="E10" s="1658"/>
      <c r="F10" s="1658"/>
      <c r="G10" s="1658"/>
      <c r="H10" s="1658"/>
      <c r="I10" s="1658"/>
      <c r="J10" s="1658"/>
      <c r="K10" s="1658"/>
      <c r="L10" s="1658"/>
      <c r="M10" s="1658"/>
      <c r="O10" s="2"/>
      <c r="P10" s="1462"/>
      <c r="Q10" s="1462"/>
      <c r="R10" s="1462"/>
      <c r="S10" s="1462"/>
      <c r="T10" s="1462"/>
      <c r="U10" s="1462"/>
      <c r="V10" s="1462"/>
      <c r="W10" s="1462"/>
      <c r="X10" s="1462"/>
      <c r="Y10" s="1462"/>
      <c r="Z10" s="1462"/>
    </row>
    <row r="11" spans="1:26" ht="15.6" customHeight="1">
      <c r="O11" s="2"/>
      <c r="P11" s="1462"/>
      <c r="Q11" s="1462"/>
      <c r="R11" s="1462"/>
      <c r="S11" s="1462"/>
      <c r="T11" s="1462"/>
      <c r="U11" s="1462"/>
      <c r="V11" s="1462"/>
      <c r="W11" s="1462"/>
      <c r="X11" s="1462"/>
      <c r="Y11" s="1462"/>
      <c r="Z11" s="1462"/>
    </row>
    <row r="12" spans="1:26" ht="16.5" customHeight="1">
      <c r="B12" s="850" t="s">
        <v>1055</v>
      </c>
      <c r="C12" s="849">
        <v>19000</v>
      </c>
      <c r="O12" s="2"/>
      <c r="P12" s="1462"/>
      <c r="Q12" s="1462"/>
      <c r="R12" s="1462"/>
      <c r="S12" s="1462"/>
      <c r="T12" s="1462"/>
      <c r="U12" s="1462"/>
      <c r="V12" s="1462"/>
      <c r="W12" s="1462"/>
      <c r="X12" s="1462"/>
      <c r="Y12" s="1462"/>
      <c r="Z12" s="1462"/>
    </row>
    <row r="13" spans="1:26" ht="16.5" customHeight="1">
      <c r="B13" s="850" t="s">
        <v>1054</v>
      </c>
      <c r="C13" s="849">
        <v>21000</v>
      </c>
      <c r="O13" s="2"/>
      <c r="P13" s="1462"/>
      <c r="Q13" s="1462"/>
      <c r="R13" s="1462"/>
      <c r="S13" s="1462"/>
      <c r="T13" s="1462"/>
      <c r="U13" s="1462"/>
      <c r="V13" s="1462"/>
      <c r="W13" s="1462"/>
      <c r="X13" s="1462"/>
      <c r="Y13" s="1462"/>
      <c r="Z13" s="1462"/>
    </row>
    <row r="14" spans="1:26" ht="15.6" customHeight="1">
      <c r="B14" s="850" t="s">
        <v>1053</v>
      </c>
      <c r="C14" s="849">
        <v>21500</v>
      </c>
      <c r="O14" s="2"/>
      <c r="P14" s="5"/>
      <c r="Q14" s="5"/>
      <c r="R14" s="5"/>
      <c r="S14" s="5"/>
      <c r="T14" s="5"/>
      <c r="U14" s="5"/>
      <c r="V14" s="5"/>
      <c r="W14" s="5"/>
      <c r="X14" s="5"/>
      <c r="Y14" s="5"/>
      <c r="Z14" s="5"/>
    </row>
    <row r="15" spans="1:26" ht="15.6" customHeight="1">
      <c r="B15" s="850" t="s">
        <v>1052</v>
      </c>
      <c r="C15" s="849">
        <v>35849</v>
      </c>
      <c r="O15" s="2"/>
      <c r="P15" s="1462" t="s">
        <v>683</v>
      </c>
      <c r="Q15" s="1462"/>
      <c r="R15" s="5"/>
      <c r="S15" s="5"/>
      <c r="T15" s="5"/>
      <c r="U15" s="5"/>
      <c r="V15" s="5"/>
      <c r="W15" s="5"/>
      <c r="X15" s="5"/>
      <c r="Y15" s="5"/>
      <c r="Z15" s="5"/>
    </row>
    <row r="16" spans="1:26" ht="15.6" customHeight="1">
      <c r="B16" s="850" t="s">
        <v>1051</v>
      </c>
      <c r="C16" s="853" t="s">
        <v>59</v>
      </c>
      <c r="O16" s="2"/>
      <c r="P16" s="581"/>
      <c r="Q16" s="2"/>
      <c r="R16" s="2"/>
      <c r="S16" s="2"/>
      <c r="T16" s="2"/>
      <c r="U16" s="584"/>
      <c r="V16" s="9"/>
      <c r="W16" s="9"/>
      <c r="X16" s="9"/>
      <c r="Y16" s="9"/>
      <c r="Z16" s="9"/>
    </row>
    <row r="17" spans="1:29" ht="15.6" customHeight="1">
      <c r="B17" s="850" t="s">
        <v>1050</v>
      </c>
      <c r="C17" s="849">
        <v>0</v>
      </c>
    </row>
    <row r="18" spans="1:29" ht="15.6" customHeight="1">
      <c r="B18" s="1659" t="s">
        <v>1049</v>
      </c>
      <c r="C18" s="1659"/>
      <c r="S18" s="920" t="s">
        <v>1098</v>
      </c>
    </row>
    <row r="19" spans="1:29" ht="15.6" customHeight="1">
      <c r="B19" s="850" t="s">
        <v>1048</v>
      </c>
      <c r="C19" s="888">
        <v>0.04</v>
      </c>
      <c r="P19" s="574" t="s">
        <v>1192</v>
      </c>
    </row>
    <row r="20" spans="1:29" ht="15.6" customHeight="1">
      <c r="B20" s="850" t="s">
        <v>1047</v>
      </c>
      <c r="C20" s="849">
        <v>700000</v>
      </c>
    </row>
    <row r="21" spans="1:29" ht="47.25" customHeight="1">
      <c r="B21" s="850" t="s">
        <v>1102</v>
      </c>
      <c r="C21" s="849">
        <v>1200000</v>
      </c>
      <c r="P21" s="4" t="s">
        <v>1097</v>
      </c>
      <c r="Q21" s="865">
        <v>3.7499999999999999E-2</v>
      </c>
      <c r="R21" s="4"/>
      <c r="AC21" s="885"/>
    </row>
    <row r="22" spans="1:29" ht="30.75" customHeight="1">
      <c r="B22" s="850" t="s">
        <v>1101</v>
      </c>
      <c r="C22" s="849">
        <v>1210000</v>
      </c>
      <c r="P22" s="4" t="s">
        <v>1144</v>
      </c>
      <c r="Q22" s="865">
        <v>6.25E-2</v>
      </c>
      <c r="R22" s="4"/>
    </row>
    <row r="23" spans="1:29">
      <c r="B23" s="850" t="s">
        <v>1044</v>
      </c>
      <c r="C23" s="849">
        <v>51580</v>
      </c>
      <c r="P23" s="4"/>
      <c r="Q23" s="865"/>
      <c r="R23" s="4"/>
    </row>
    <row r="24" spans="1:29" ht="31.2">
      <c r="B24" s="850" t="s">
        <v>1100</v>
      </c>
      <c r="C24" s="887">
        <v>12</v>
      </c>
      <c r="P24" s="884"/>
      <c r="Q24" s="4"/>
      <c r="R24" s="4"/>
      <c r="S24" s="578"/>
      <c r="T24" s="578"/>
    </row>
    <row r="25" spans="1:29">
      <c r="B25" s="7"/>
      <c r="C25" s="880"/>
      <c r="D25" s="880"/>
      <c r="P25" s="864" t="s">
        <v>938</v>
      </c>
      <c r="Q25" s="861">
        <v>1164740</v>
      </c>
      <c r="R25" s="4"/>
      <c r="S25" s="578"/>
      <c r="T25" s="567"/>
    </row>
    <row r="26" spans="1:29">
      <c r="A26" s="2" t="s">
        <v>1043</v>
      </c>
      <c r="B26" s="7"/>
      <c r="C26" s="880"/>
      <c r="D26" s="880"/>
      <c r="P26" s="864" t="s">
        <v>541</v>
      </c>
      <c r="Q26" s="861">
        <v>696839</v>
      </c>
      <c r="R26" s="4"/>
      <c r="S26" s="578"/>
      <c r="T26" s="567"/>
    </row>
    <row r="27" spans="1:29">
      <c r="B27" s="7"/>
      <c r="C27" s="880"/>
      <c r="D27" s="880"/>
      <c r="P27" s="864" t="s">
        <v>1191</v>
      </c>
      <c r="Q27" s="861">
        <v>39900</v>
      </c>
      <c r="R27" s="4"/>
      <c r="S27" s="578"/>
      <c r="T27" s="567"/>
    </row>
    <row r="28" spans="1:29">
      <c r="A28" s="9"/>
      <c r="B28" s="9"/>
      <c r="C28" s="9"/>
      <c r="D28" s="9"/>
      <c r="E28" s="9"/>
      <c r="F28" s="9"/>
      <c r="G28" s="9"/>
      <c r="H28" s="9"/>
      <c r="I28" s="9"/>
      <c r="J28" s="9"/>
      <c r="K28" s="9"/>
      <c r="P28" s="864" t="s">
        <v>1190</v>
      </c>
      <c r="Q28" s="861">
        <v>35849</v>
      </c>
      <c r="R28" s="4"/>
      <c r="S28" s="578"/>
      <c r="T28" s="567"/>
    </row>
    <row r="29" spans="1:29" ht="17.399999999999999">
      <c r="A29" s="9"/>
      <c r="B29" s="9"/>
      <c r="C29" s="9"/>
      <c r="D29" s="9"/>
      <c r="E29" s="9"/>
      <c r="F29" s="9"/>
      <c r="G29" s="9"/>
      <c r="H29" s="9"/>
      <c r="I29" s="9"/>
      <c r="J29" s="9"/>
      <c r="K29" s="9"/>
      <c r="P29" s="918"/>
      <c r="Q29" s="4"/>
      <c r="R29" s="4"/>
      <c r="S29" s="578"/>
      <c r="T29" s="564"/>
    </row>
    <row r="30" spans="1:29">
      <c r="A30" s="9"/>
      <c r="B30" s="9"/>
      <c r="C30" s="9"/>
      <c r="D30" s="9"/>
      <c r="E30" s="9"/>
      <c r="F30" s="9"/>
      <c r="G30" s="9"/>
      <c r="H30" s="9"/>
      <c r="I30" s="9"/>
      <c r="J30" s="9"/>
      <c r="K30" s="9"/>
      <c r="P30" s="918"/>
      <c r="Q30" s="459" t="s">
        <v>1079</v>
      </c>
      <c r="R30" s="459" t="s">
        <v>1088</v>
      </c>
      <c r="T30" s="562"/>
    </row>
    <row r="31" spans="1:29">
      <c r="A31" s="9"/>
      <c r="B31" s="9"/>
      <c r="C31" s="9"/>
      <c r="D31" s="9"/>
      <c r="E31" s="9"/>
      <c r="F31" s="9"/>
      <c r="G31" s="9"/>
      <c r="H31" s="9"/>
      <c r="I31" s="9"/>
      <c r="J31" s="9"/>
      <c r="K31" s="9"/>
      <c r="P31" s="4"/>
      <c r="Q31" s="106"/>
      <c r="R31" s="919" t="s">
        <v>1189</v>
      </c>
      <c r="AC31" s="4"/>
    </row>
    <row r="32" spans="1:29">
      <c r="A32" s="9"/>
      <c r="B32" s="9"/>
      <c r="C32" s="9"/>
      <c r="D32" s="9"/>
      <c r="E32" s="9"/>
      <c r="F32" s="9"/>
      <c r="G32" s="9"/>
      <c r="H32" s="9"/>
      <c r="I32" s="9"/>
      <c r="J32" s="9"/>
      <c r="K32" s="9"/>
      <c r="P32" s="4" t="s">
        <v>1086</v>
      </c>
      <c r="Q32" s="863">
        <v>59347</v>
      </c>
      <c r="R32" s="863">
        <f t="shared" ref="R32:R37" si="0">+Q32/2</f>
        <v>29673.5</v>
      </c>
      <c r="AC32" s="4"/>
    </row>
    <row r="33" spans="1:20">
      <c r="A33" s="9"/>
      <c r="B33" s="9"/>
      <c r="C33" s="9"/>
      <c r="D33" s="9"/>
      <c r="E33" s="9"/>
      <c r="F33" s="9"/>
      <c r="G33" s="9"/>
      <c r="H33" s="9"/>
      <c r="I33" s="9"/>
      <c r="J33" s="9"/>
      <c r="K33" s="9"/>
      <c r="P33" s="4" t="s">
        <v>1041</v>
      </c>
      <c r="Q33" s="863">
        <f>+Q21*Q32+Q25*Q21-Q21*0.5*Q27</f>
        <v>45155.137499999997</v>
      </c>
      <c r="R33" s="863">
        <f t="shared" si="0"/>
        <v>22577.568749999999</v>
      </c>
      <c r="T33" s="562"/>
    </row>
    <row r="34" spans="1:20">
      <c r="A34" s="9"/>
      <c r="B34" s="9"/>
      <c r="C34" s="9"/>
      <c r="D34" s="9"/>
      <c r="E34" s="9"/>
      <c r="F34" s="9"/>
      <c r="G34" s="9"/>
      <c r="H34" s="9"/>
      <c r="I34" s="9"/>
      <c r="J34" s="9"/>
      <c r="K34" s="9"/>
      <c r="P34" s="4" t="s">
        <v>1144</v>
      </c>
      <c r="Q34" s="863">
        <f>-(Q22*Q26-Q22*Q27/2+Q28*Q22*0.5)</f>
        <v>-43425.84375</v>
      </c>
      <c r="R34" s="863">
        <f t="shared" si="0"/>
        <v>-21712.921875</v>
      </c>
    </row>
    <row r="35" spans="1:20" ht="16.2">
      <c r="B35" s="29"/>
      <c r="C35" s="5"/>
      <c r="D35" s="5"/>
      <c r="E35" s="5"/>
      <c r="F35" s="5"/>
      <c r="G35" s="5"/>
      <c r="H35" s="5"/>
      <c r="I35" s="5"/>
      <c r="J35" s="5"/>
      <c r="K35" s="5"/>
      <c r="P35" s="4" t="s">
        <v>1143</v>
      </c>
      <c r="Q35" s="863">
        <v>0</v>
      </c>
      <c r="R35" s="863">
        <f t="shared" si="0"/>
        <v>0</v>
      </c>
    </row>
    <row r="36" spans="1:20">
      <c r="B36" s="28"/>
      <c r="P36" s="4" t="s">
        <v>1142</v>
      </c>
      <c r="Q36" s="863">
        <v>0</v>
      </c>
      <c r="R36" s="863">
        <f t="shared" si="0"/>
        <v>0</v>
      </c>
    </row>
    <row r="37" spans="1:20" ht="16.2">
      <c r="B37" s="29"/>
      <c r="P37" s="4" t="s">
        <v>1141</v>
      </c>
      <c r="Q37" s="863">
        <v>0</v>
      </c>
      <c r="R37" s="863">
        <f t="shared" si="0"/>
        <v>0</v>
      </c>
    </row>
    <row r="38" spans="1:20">
      <c r="P38" s="4" t="s">
        <v>1140</v>
      </c>
      <c r="Q38" s="863">
        <f>+SUM(Q32:Q37)</f>
        <v>61076.293749999997</v>
      </c>
      <c r="R38" s="863">
        <f>+SUM(R32:R37)</f>
        <v>30538.146874999999</v>
      </c>
    </row>
    <row r="40" spans="1:20">
      <c r="P40" s="4"/>
      <c r="Q40" s="863"/>
      <c r="R40" s="918"/>
    </row>
    <row r="41" spans="1:20">
      <c r="P41" s="4" t="s">
        <v>1188</v>
      </c>
      <c r="Q41" s="918">
        <f>+Q25+R32+R33-Q50</f>
        <v>1197991.0687500001</v>
      </c>
      <c r="R41" s="918"/>
      <c r="S41" s="578"/>
      <c r="T41" s="578"/>
    </row>
    <row r="42" spans="1:20">
      <c r="P42" s="4"/>
      <c r="Q42" s="918"/>
      <c r="R42" s="918"/>
      <c r="S42" s="565"/>
      <c r="T42" s="567"/>
    </row>
    <row r="43" spans="1:20">
      <c r="P43" s="917" t="s">
        <v>1187</v>
      </c>
      <c r="Q43" s="4"/>
      <c r="R43" s="4"/>
      <c r="S43" s="565"/>
      <c r="T43" s="567"/>
    </row>
    <row r="44" spans="1:20">
      <c r="P44" s="4" t="s">
        <v>1074</v>
      </c>
      <c r="Q44" s="4">
        <v>12.9</v>
      </c>
      <c r="R44" s="4"/>
      <c r="S44" s="872"/>
      <c r="T44" s="567"/>
    </row>
    <row r="45" spans="1:20">
      <c r="P45" s="4" t="s">
        <v>1073</v>
      </c>
      <c r="Q45" s="4">
        <f>(C19-Q21)*100</f>
        <v>0.25000000000000022</v>
      </c>
      <c r="R45" s="4"/>
      <c r="S45" s="4"/>
      <c r="T45" s="567"/>
    </row>
    <row r="46" spans="1:20" ht="17.399999999999999">
      <c r="P46" s="4" t="s">
        <v>1186</v>
      </c>
      <c r="Q46" s="4">
        <f>+(1+Q44/100)^-Q45</f>
        <v>0.9701223598238814</v>
      </c>
      <c r="R46" s="4"/>
      <c r="S46" s="916"/>
      <c r="T46" s="564"/>
    </row>
    <row r="47" spans="1:20">
      <c r="P47" s="4" t="s">
        <v>1185</v>
      </c>
      <c r="Q47" s="863">
        <f>+Q46*Q41</f>
        <v>1162197.9226636838</v>
      </c>
      <c r="R47" s="863"/>
      <c r="S47" s="863"/>
      <c r="T47" s="562"/>
    </row>
    <row r="48" spans="1:20">
      <c r="P48" s="4" t="s">
        <v>1184</v>
      </c>
      <c r="Q48" s="863">
        <f>+Q47-Q41</f>
        <v>-35793.146086316323</v>
      </c>
      <c r="R48" s="863"/>
      <c r="S48" s="863"/>
    </row>
    <row r="49" spans="16:20">
      <c r="P49" s="4"/>
      <c r="Q49" s="863"/>
      <c r="S49" s="863"/>
      <c r="T49" s="562"/>
    </row>
    <row r="50" spans="16:20">
      <c r="P50" s="4" t="s">
        <v>1183</v>
      </c>
      <c r="Q50" s="863">
        <f>+C12</f>
        <v>19000</v>
      </c>
      <c r="R50" s="889"/>
      <c r="S50" s="872"/>
    </row>
    <row r="51" spans="16:20">
      <c r="P51" s="4" t="s">
        <v>1182</v>
      </c>
      <c r="Q51" s="863">
        <f>0.5*C15</f>
        <v>17924.5</v>
      </c>
      <c r="R51" s="889"/>
      <c r="S51" s="872"/>
    </row>
    <row r="52" spans="16:20">
      <c r="P52" s="4"/>
      <c r="Q52" s="863"/>
      <c r="S52" s="863"/>
    </row>
    <row r="53" spans="16:20">
      <c r="P53" s="4" t="s">
        <v>1181</v>
      </c>
      <c r="Q53" s="863">
        <f>+Q26-R34+Q51-Q50</f>
        <v>717476.421875</v>
      </c>
      <c r="R53" s="863"/>
      <c r="S53" s="863"/>
    </row>
    <row r="54" spans="16:20">
      <c r="P54" s="4" t="s">
        <v>1180</v>
      </c>
      <c r="Q54" s="863">
        <f>+C20</f>
        <v>700000</v>
      </c>
      <c r="R54" s="889"/>
      <c r="S54" s="872"/>
    </row>
    <row r="55" spans="16:20">
      <c r="P55" s="4" t="s">
        <v>1179</v>
      </c>
      <c r="Q55" s="863">
        <f>+Q53-Q54</f>
        <v>17476.421875</v>
      </c>
      <c r="R55" s="863"/>
      <c r="S55" s="863"/>
    </row>
    <row r="56" spans="16:20">
      <c r="P56" s="4"/>
      <c r="Q56" s="863"/>
      <c r="S56" s="863"/>
    </row>
    <row r="57" spans="16:20">
      <c r="P57" s="4" t="s">
        <v>1178</v>
      </c>
      <c r="Q57" s="863">
        <v>105508</v>
      </c>
      <c r="R57" s="863"/>
      <c r="S57" s="872"/>
    </row>
    <row r="58" spans="16:20">
      <c r="P58" s="4" t="s">
        <v>1177</v>
      </c>
      <c r="Q58" s="863">
        <f>+Q57-R36+Q48+Q55</f>
        <v>87191.275788683677</v>
      </c>
      <c r="R58" s="863"/>
      <c r="S58" s="863"/>
    </row>
    <row r="59" spans="16:20">
      <c r="P59" s="4"/>
      <c r="Q59" s="863"/>
      <c r="S59" s="863"/>
    </row>
    <row r="60" spans="16:20">
      <c r="P60" s="4"/>
      <c r="Q60" s="863"/>
      <c r="S60" s="863"/>
    </row>
    <row r="61" spans="16:20">
      <c r="P61" s="4" t="s">
        <v>1176</v>
      </c>
      <c r="Q61" s="863">
        <f>+C21</f>
        <v>1200000</v>
      </c>
      <c r="R61" s="889"/>
      <c r="S61" s="872"/>
    </row>
    <row r="62" spans="16:20">
      <c r="P62" s="4" t="s">
        <v>1175</v>
      </c>
      <c r="Q62" s="863">
        <f>+Q61-Q47</f>
        <v>37802.07733631623</v>
      </c>
      <c r="R62" s="915" t="s">
        <v>1174</v>
      </c>
    </row>
    <row r="63" spans="16:20">
      <c r="P63" s="4" t="s">
        <v>1173</v>
      </c>
      <c r="Q63" s="863">
        <f>+Q58</f>
        <v>87191.275788683677</v>
      </c>
      <c r="R63" s="915" t="s">
        <v>1172</v>
      </c>
    </row>
    <row r="64" spans="16:20">
      <c r="P64" s="4"/>
      <c r="Q64" s="4"/>
    </row>
    <row r="65" spans="16:26">
      <c r="P65" s="4" t="s">
        <v>1171</v>
      </c>
      <c r="Q65" s="863">
        <f>+C22</f>
        <v>1210000</v>
      </c>
    </row>
    <row r="66" spans="16:26">
      <c r="P66" s="4" t="s">
        <v>1170</v>
      </c>
      <c r="Q66" s="863">
        <f>+Q65-Q61</f>
        <v>10000</v>
      </c>
    </row>
    <row r="67" spans="16:26">
      <c r="P67" s="4"/>
      <c r="Q67" s="863"/>
    </row>
    <row r="68" spans="16:26">
      <c r="P68" s="4" t="s">
        <v>1169</v>
      </c>
      <c r="Q68" s="865">
        <f>+C19</f>
        <v>0.04</v>
      </c>
    </row>
    <row r="69" spans="16:26">
      <c r="P69" s="4" t="s">
        <v>1168</v>
      </c>
      <c r="Q69" s="914">
        <f>+C13</f>
        <v>21000</v>
      </c>
    </row>
    <row r="70" spans="16:26">
      <c r="P70" s="4" t="s">
        <v>1167</v>
      </c>
      <c r="Q70" s="861">
        <f>+C15*0.5</f>
        <v>17924.5</v>
      </c>
    </row>
    <row r="71" spans="16:26">
      <c r="P71" s="4"/>
      <c r="Q71" s="4"/>
    </row>
    <row r="72" spans="16:26">
      <c r="P72" s="603" t="s">
        <v>1166</v>
      </c>
    </row>
    <row r="73" spans="16:26">
      <c r="P73" s="913" t="s">
        <v>1165</v>
      </c>
      <c r="Q73" s="907"/>
    </row>
    <row r="74" spans="16:26">
      <c r="P74" s="912" t="s">
        <v>1164</v>
      </c>
      <c r="Q74" s="911">
        <f>+Q68*Q65/2</f>
        <v>24200</v>
      </c>
    </row>
    <row r="75" spans="16:26">
      <c r="P75" s="912"/>
      <c r="Q75" s="911"/>
      <c r="Z75" s="567"/>
    </row>
    <row r="76" spans="16:26">
      <c r="P76" s="912" t="s">
        <v>1163</v>
      </c>
      <c r="Q76" s="911">
        <f>+C23</f>
        <v>51580</v>
      </c>
      <c r="Z76" s="567"/>
    </row>
    <row r="77" spans="16:26">
      <c r="P77" s="912" t="s">
        <v>1162</v>
      </c>
      <c r="Q77" s="911">
        <f>+Q76*Q68</f>
        <v>2063.1999999999998</v>
      </c>
      <c r="Z77" s="567"/>
    </row>
    <row r="78" spans="16:26">
      <c r="P78" s="912" t="s">
        <v>1161</v>
      </c>
      <c r="Q78" s="911">
        <f>0.5*Q77</f>
        <v>1031.5999999999999</v>
      </c>
      <c r="Z78" s="567"/>
    </row>
    <row r="79" spans="16:26">
      <c r="P79" s="912"/>
      <c r="Q79" s="911"/>
      <c r="Z79" s="567"/>
    </row>
    <row r="80" spans="16:26">
      <c r="P80" s="912" t="s">
        <v>1160</v>
      </c>
      <c r="Q80" s="911">
        <f>+Q69</f>
        <v>21000</v>
      </c>
      <c r="Z80" s="567"/>
    </row>
    <row r="81" spans="16:34">
      <c r="P81" s="912" t="s">
        <v>1159</v>
      </c>
      <c r="Q81" s="911">
        <f>+Q68*Q80*0.5*0.5</f>
        <v>210</v>
      </c>
      <c r="Z81" s="567"/>
    </row>
    <row r="82" spans="16:34">
      <c r="P82" s="912"/>
      <c r="Q82" s="911"/>
      <c r="W82" s="732"/>
      <c r="X82" s="732"/>
      <c r="Z82" s="567"/>
      <c r="AE82" s="563"/>
      <c r="AG82" s="732"/>
      <c r="AH82" s="732"/>
    </row>
    <row r="83" spans="16:34">
      <c r="P83" s="910" t="s">
        <v>1158</v>
      </c>
      <c r="Q83" s="909">
        <f>+Q74+Q78-Q81</f>
        <v>25021.599999999999</v>
      </c>
      <c r="W83" s="732"/>
      <c r="X83" s="732"/>
      <c r="Z83" s="567"/>
      <c r="AG83" s="732"/>
      <c r="AH83" s="732"/>
    </row>
    <row r="84" spans="16:34">
      <c r="P84" s="4"/>
      <c r="Q84" s="861"/>
      <c r="U84" s="732"/>
      <c r="V84" s="732"/>
      <c r="W84" s="732"/>
      <c r="X84" s="732"/>
      <c r="Z84" s="567"/>
      <c r="AG84" s="732"/>
      <c r="AH84" s="732"/>
    </row>
    <row r="85" spans="16:34">
      <c r="P85" s="908" t="s">
        <v>1157</v>
      </c>
      <c r="Q85" s="907"/>
      <c r="U85" s="732"/>
      <c r="V85" s="732"/>
      <c r="W85" s="732"/>
      <c r="X85" s="732"/>
      <c r="Z85" s="567"/>
      <c r="AG85" s="732"/>
      <c r="AH85" s="732"/>
    </row>
    <row r="86" spans="16:34">
      <c r="P86" s="906" t="s">
        <v>1156</v>
      </c>
      <c r="Q86" s="905">
        <f>+Q22*Q54*0.5</f>
        <v>21875</v>
      </c>
      <c r="U86" s="732"/>
      <c r="V86" s="732"/>
      <c r="W86" s="732"/>
      <c r="X86" s="732"/>
      <c r="Z86" s="567"/>
      <c r="AG86" s="732"/>
      <c r="AH86" s="732"/>
    </row>
    <row r="87" spans="16:34">
      <c r="P87" s="906" t="s">
        <v>1155</v>
      </c>
      <c r="Q87" s="905">
        <f>+Q22*Q69*0.5*0.5</f>
        <v>328.125</v>
      </c>
      <c r="U87" s="732"/>
      <c r="V87" s="732"/>
      <c r="W87" s="732"/>
      <c r="X87" s="732"/>
      <c r="Z87" s="567"/>
      <c r="AG87" s="732"/>
      <c r="AH87" s="732"/>
    </row>
    <row r="88" spans="16:34">
      <c r="P88" s="906" t="s">
        <v>1154</v>
      </c>
      <c r="Q88" s="905">
        <f>+Q22*Q70*0.5*0.5</f>
        <v>280.0703125</v>
      </c>
      <c r="AG88" s="732"/>
      <c r="AH88" s="732"/>
    </row>
    <row r="89" spans="16:34">
      <c r="P89" s="904" t="s">
        <v>1153</v>
      </c>
      <c r="Q89" s="903">
        <f>+Q86+Q88-Q87</f>
        <v>21826.9453125</v>
      </c>
      <c r="AH89" s="732"/>
    </row>
    <row r="90" spans="16:34">
      <c r="P90" s="4"/>
      <c r="Q90" s="861"/>
      <c r="AG90" s="732"/>
      <c r="AH90" s="732"/>
    </row>
    <row r="91" spans="16:34">
      <c r="P91" s="4" t="s">
        <v>1152</v>
      </c>
      <c r="Q91" s="861">
        <f>+Q63</f>
        <v>87191.275788683677</v>
      </c>
      <c r="R91" s="861"/>
    </row>
    <row r="92" spans="16:34">
      <c r="P92" s="4" t="s">
        <v>1151</v>
      </c>
      <c r="Q92" s="861">
        <f>0.1*MAX(Q54,Q65)</f>
        <v>121000</v>
      </c>
      <c r="R92" s="861"/>
    </row>
    <row r="93" spans="16:34">
      <c r="P93" s="4" t="s">
        <v>1150</v>
      </c>
      <c r="Q93" s="861">
        <f>+MAX(0,ABS(Q91)-Q92)</f>
        <v>0</v>
      </c>
      <c r="R93" s="861"/>
    </row>
    <row r="94" spans="16:34">
      <c r="P94" s="4" t="s">
        <v>1149</v>
      </c>
      <c r="Q94" s="902">
        <f>+C24</f>
        <v>12</v>
      </c>
      <c r="R94" s="861"/>
    </row>
    <row r="95" spans="16:34">
      <c r="P95" s="4" t="s">
        <v>1148</v>
      </c>
      <c r="Q95" s="861">
        <f>+Q93/Q94</f>
        <v>0</v>
      </c>
      <c r="R95" s="861"/>
    </row>
    <row r="96" spans="16:34">
      <c r="P96" s="4" t="s">
        <v>1147</v>
      </c>
      <c r="Q96" s="861">
        <f>0.5*Q95</f>
        <v>0</v>
      </c>
      <c r="R96" s="861"/>
    </row>
    <row r="97" spans="16:19">
      <c r="P97" s="4"/>
      <c r="Q97" s="861"/>
      <c r="R97" s="861"/>
    </row>
    <row r="98" spans="16:19">
      <c r="P98" s="4"/>
      <c r="Q98" s="862" t="s">
        <v>1146</v>
      </c>
      <c r="R98" s="861"/>
    </row>
    <row r="99" spans="16:19">
      <c r="P99" s="4"/>
      <c r="Q99" s="862" t="s">
        <v>1128</v>
      </c>
      <c r="R99" s="861"/>
    </row>
    <row r="100" spans="16:19">
      <c r="P100" s="4" t="s">
        <v>1145</v>
      </c>
      <c r="Q100" s="861">
        <f>+C23*0.5</f>
        <v>25790</v>
      </c>
      <c r="R100" s="861"/>
    </row>
    <row r="101" spans="16:19">
      <c r="P101" s="4" t="s">
        <v>1041</v>
      </c>
      <c r="Q101" s="901">
        <f>+Q83</f>
        <v>25021.599999999999</v>
      </c>
      <c r="R101" s="861"/>
    </row>
    <row r="102" spans="16:19">
      <c r="P102" s="4" t="s">
        <v>1144</v>
      </c>
      <c r="Q102" s="866">
        <f>-Q89</f>
        <v>-21826.9453125</v>
      </c>
      <c r="R102" s="861"/>
    </row>
    <row r="103" spans="16:19">
      <c r="P103" s="4" t="s">
        <v>1143</v>
      </c>
      <c r="Q103" s="861">
        <v>0</v>
      </c>
      <c r="R103" s="861"/>
    </row>
    <row r="104" spans="16:19">
      <c r="P104" s="4" t="s">
        <v>1142</v>
      </c>
      <c r="Q104" s="861">
        <f>+Q96</f>
        <v>0</v>
      </c>
      <c r="R104" s="861"/>
    </row>
    <row r="105" spans="16:19">
      <c r="P105" s="4" t="s">
        <v>1141</v>
      </c>
      <c r="Q105" s="861">
        <v>0</v>
      </c>
      <c r="R105" s="861"/>
    </row>
    <row r="106" spans="16:19">
      <c r="P106" s="4" t="s">
        <v>1140</v>
      </c>
      <c r="Q106" s="863">
        <f>+SUM(Q100:Q105)</f>
        <v>28984.654687499999</v>
      </c>
      <c r="R106" s="861"/>
    </row>
    <row r="107" spans="16:19">
      <c r="P107" s="4"/>
      <c r="Q107" s="861"/>
      <c r="R107" s="861"/>
    </row>
    <row r="108" spans="16:19">
      <c r="P108" s="4" t="s">
        <v>1088</v>
      </c>
      <c r="Q108" s="861">
        <f>+R38</f>
        <v>30538.146874999999</v>
      </c>
      <c r="R108" s="861"/>
    </row>
    <row r="109" spans="16:19">
      <c r="P109" s="4" t="s">
        <v>1139</v>
      </c>
      <c r="Q109" s="861">
        <f>+Q66</f>
        <v>10000</v>
      </c>
      <c r="R109" s="861"/>
    </row>
    <row r="110" spans="16:19">
      <c r="P110" s="4" t="s">
        <v>1138</v>
      </c>
      <c r="Q110" s="889">
        <f>+Q62</f>
        <v>37802.07733631623</v>
      </c>
      <c r="R110" s="861"/>
      <c r="S110" s="889"/>
    </row>
    <row r="111" spans="16:19">
      <c r="P111" s="4" t="s">
        <v>1087</v>
      </c>
      <c r="Q111" s="900">
        <f>+Q106</f>
        <v>28984.654687499999</v>
      </c>
      <c r="R111" s="861"/>
    </row>
    <row r="112" spans="16:19">
      <c r="P112" s="875" t="s">
        <v>1137</v>
      </c>
      <c r="Q112" s="896">
        <f>+SUM(Q108:Q111)</f>
        <v>107324.87889881624</v>
      </c>
      <c r="R112" s="861"/>
    </row>
    <row r="113" spans="16:21">
      <c r="R113" s="861"/>
    </row>
    <row r="114" spans="16:21">
      <c r="P114" s="574" t="s">
        <v>1136</v>
      </c>
    </row>
    <row r="116" spans="16:21">
      <c r="Q116" s="862"/>
    </row>
    <row r="117" spans="16:21">
      <c r="P117" s="4" t="s">
        <v>1135</v>
      </c>
      <c r="Q117" s="899">
        <f>+Q91</f>
        <v>87191.275788683677</v>
      </c>
      <c r="S117" s="861"/>
      <c r="T117" s="861"/>
      <c r="U117" s="4"/>
    </row>
    <row r="118" spans="16:21">
      <c r="P118" s="4" t="s">
        <v>1134</v>
      </c>
      <c r="Q118" s="898">
        <f>+Q104</f>
        <v>0</v>
      </c>
      <c r="S118" s="861"/>
      <c r="T118" s="861"/>
      <c r="U118" s="4"/>
    </row>
    <row r="119" spans="16:21">
      <c r="P119" s="4" t="s">
        <v>1133</v>
      </c>
      <c r="Q119" s="897">
        <f>+Q136+Q140</f>
        <v>0</v>
      </c>
      <c r="S119" s="861"/>
      <c r="T119" s="861"/>
      <c r="U119" s="4"/>
    </row>
    <row r="120" spans="16:21">
      <c r="P120" s="4" t="s">
        <v>1132</v>
      </c>
      <c r="Q120" s="861">
        <f>+Q117-Q118+Q119</f>
        <v>87191.275788683677</v>
      </c>
      <c r="S120" s="861"/>
      <c r="T120" s="861"/>
      <c r="U120" s="4"/>
    </row>
    <row r="121" spans="16:21">
      <c r="P121" s="4"/>
      <c r="Q121" s="4"/>
      <c r="S121" s="861"/>
      <c r="T121" s="861"/>
      <c r="U121" s="4"/>
    </row>
    <row r="122" spans="16:21">
      <c r="P122" s="4" t="s">
        <v>1111</v>
      </c>
      <c r="Q122" s="861">
        <v>0</v>
      </c>
      <c r="S122" s="861"/>
      <c r="T122" s="861"/>
      <c r="U122" s="4"/>
    </row>
    <row r="123" spans="16:21">
      <c r="P123" s="4" t="s">
        <v>1109</v>
      </c>
      <c r="Q123" s="861">
        <v>0</v>
      </c>
      <c r="S123" s="861"/>
      <c r="T123" s="861"/>
      <c r="U123" s="4"/>
    </row>
    <row r="124" spans="16:21">
      <c r="P124" s="4" t="s">
        <v>1131</v>
      </c>
      <c r="Q124" s="861">
        <f>+Q120</f>
        <v>87191.275788683677</v>
      </c>
      <c r="S124" s="861"/>
      <c r="T124" s="861"/>
      <c r="U124" s="4"/>
    </row>
    <row r="125" spans="16:21">
      <c r="P125" s="875" t="s">
        <v>1130</v>
      </c>
      <c r="Q125" s="896">
        <f>+SUM(Q122:Q124)</f>
        <v>87191.275788683677</v>
      </c>
      <c r="S125" s="861"/>
      <c r="T125" s="861"/>
      <c r="U125" s="4"/>
    </row>
    <row r="126" spans="16:21">
      <c r="P126" s="4"/>
      <c r="Q126" s="861"/>
      <c r="S126" s="861"/>
      <c r="T126" s="861"/>
      <c r="U126" s="4"/>
    </row>
    <row r="128" spans="16:21">
      <c r="P128" s="574" t="s">
        <v>1129</v>
      </c>
    </row>
    <row r="130" spans="16:21">
      <c r="Q130" s="862" t="s">
        <v>1128</v>
      </c>
    </row>
    <row r="131" spans="16:21">
      <c r="P131" s="4" t="s">
        <v>1127</v>
      </c>
      <c r="Q131" s="861">
        <f>+C14</f>
        <v>21500</v>
      </c>
    </row>
    <row r="132" spans="16:21">
      <c r="P132" s="4" t="s">
        <v>1126</v>
      </c>
      <c r="Q132" s="861">
        <f>0.5*C15</f>
        <v>17924.5</v>
      </c>
    </row>
    <row r="133" spans="16:21">
      <c r="P133" s="4"/>
      <c r="Q133" s="4"/>
      <c r="R133" s="4"/>
      <c r="S133" s="872"/>
      <c r="T133" s="861"/>
      <c r="U133" s="4"/>
    </row>
    <row r="134" spans="16:21">
      <c r="P134" s="4" t="s">
        <v>1125</v>
      </c>
      <c r="Q134" s="861">
        <f>+Q54-Q102+Q132-Q131</f>
        <v>718251.4453125</v>
      </c>
      <c r="R134" s="861"/>
      <c r="S134" s="872"/>
      <c r="T134" s="861"/>
      <c r="U134" s="4"/>
    </row>
    <row r="135" spans="16:21">
      <c r="P135" s="4" t="s">
        <v>1124</v>
      </c>
      <c r="Q135" s="861">
        <f>+Q134</f>
        <v>718251.4453125</v>
      </c>
      <c r="R135" s="895" t="s">
        <v>1123</v>
      </c>
      <c r="S135" s="4"/>
      <c r="T135" s="861"/>
      <c r="U135" s="4"/>
    </row>
    <row r="136" spans="16:21">
      <c r="P136" s="4" t="s">
        <v>1122</v>
      </c>
      <c r="Q136" s="861">
        <f>+Q134-Q135</f>
        <v>0</v>
      </c>
      <c r="R136" s="861"/>
      <c r="S136" s="4"/>
      <c r="T136" s="861"/>
      <c r="U136" s="4"/>
    </row>
    <row r="137" spans="16:21">
      <c r="P137" s="4"/>
      <c r="Q137" s="861"/>
      <c r="R137" s="861"/>
      <c r="T137" s="861"/>
      <c r="U137" s="4"/>
    </row>
    <row r="138" spans="16:21">
      <c r="P138" s="4" t="s">
        <v>1121</v>
      </c>
      <c r="Q138" s="861">
        <f>+Q65+Q100+Q101-Q131</f>
        <v>1239311.6000000001</v>
      </c>
      <c r="R138" s="861"/>
      <c r="S138" s="4"/>
      <c r="T138" s="861"/>
      <c r="U138" s="4"/>
    </row>
    <row r="139" spans="16:21">
      <c r="P139" s="4" t="s">
        <v>1120</v>
      </c>
      <c r="Q139" s="861">
        <f>+Q138</f>
        <v>1239311.6000000001</v>
      </c>
      <c r="R139" s="895" t="s">
        <v>1119</v>
      </c>
      <c r="S139" s="4"/>
      <c r="T139" s="861"/>
      <c r="U139" s="4"/>
    </row>
    <row r="140" spans="16:21">
      <c r="P140" s="4" t="s">
        <v>1118</v>
      </c>
      <c r="Q140" s="861">
        <f>+Q139-Q138</f>
        <v>0</v>
      </c>
      <c r="R140" s="861"/>
      <c r="S140" s="4"/>
      <c r="T140" s="861"/>
      <c r="U140" s="4"/>
    </row>
    <row r="141" spans="16:21">
      <c r="P141" s="4"/>
      <c r="Q141" s="861"/>
      <c r="R141" s="861"/>
      <c r="T141" s="861"/>
      <c r="U141" s="4"/>
    </row>
    <row r="142" spans="16:21">
      <c r="P142" s="4" t="s">
        <v>938</v>
      </c>
      <c r="Q142" s="866">
        <f>-Q139</f>
        <v>-1239311.6000000001</v>
      </c>
      <c r="R142" s="861"/>
      <c r="S142" s="861"/>
      <c r="T142" s="861"/>
      <c r="U142" s="4"/>
    </row>
    <row r="143" spans="16:21">
      <c r="P143" s="4" t="s">
        <v>541</v>
      </c>
      <c r="Q143" s="866">
        <f>+Q135</f>
        <v>718251.4453125</v>
      </c>
      <c r="R143" s="861"/>
      <c r="S143" s="861"/>
      <c r="T143" s="861"/>
      <c r="U143" s="4"/>
    </row>
    <row r="144" spans="16:21">
      <c r="P144" s="874" t="s">
        <v>937</v>
      </c>
      <c r="Q144" s="874">
        <f>+Q142+Q143</f>
        <v>-521060.15468750009</v>
      </c>
      <c r="R144" s="861"/>
      <c r="S144" s="861"/>
      <c r="T144" s="861"/>
      <c r="U144" s="4"/>
    </row>
    <row r="145" spans="16:21">
      <c r="S145" s="861"/>
      <c r="T145" s="861"/>
      <c r="U145" s="4"/>
    </row>
    <row r="146" spans="16:21">
      <c r="S146" s="861"/>
      <c r="T146" s="861"/>
      <c r="U146" s="4"/>
    </row>
    <row r="147" spans="16:21">
      <c r="P147" s="106" t="s">
        <v>1117</v>
      </c>
      <c r="Q147" s="861"/>
      <c r="R147" s="861"/>
      <c r="S147" s="861"/>
      <c r="T147" s="861"/>
      <c r="U147" s="4"/>
    </row>
    <row r="148" spans="16:21">
      <c r="P148" s="894" t="s">
        <v>1116</v>
      </c>
      <c r="Q148" s="893" t="s">
        <v>1115</v>
      </c>
      <c r="R148" s="893" t="s">
        <v>1114</v>
      </c>
      <c r="S148" s="893" t="s">
        <v>1113</v>
      </c>
      <c r="T148" s="892" t="s">
        <v>1112</v>
      </c>
    </row>
    <row r="149" spans="16:21">
      <c r="P149" s="863" t="s">
        <v>938</v>
      </c>
      <c r="Q149" s="863">
        <f>-Q25</f>
        <v>-1164740</v>
      </c>
      <c r="R149" s="863">
        <f>-Q47</f>
        <v>-1162197.9226636838</v>
      </c>
      <c r="S149" s="863">
        <f>-Q65</f>
        <v>-1210000</v>
      </c>
      <c r="T149" s="863">
        <f>-Q139</f>
        <v>-1239311.6000000001</v>
      </c>
    </row>
    <row r="150" spans="16:21">
      <c r="P150" s="863" t="s">
        <v>541</v>
      </c>
      <c r="Q150" s="891">
        <f>+Q26</f>
        <v>696839</v>
      </c>
      <c r="R150" s="891">
        <f>+Q54</f>
        <v>700000</v>
      </c>
      <c r="S150" s="891">
        <f>+R150</f>
        <v>700000</v>
      </c>
      <c r="T150" s="891">
        <f>+Q135</f>
        <v>718251.4453125</v>
      </c>
    </row>
    <row r="151" spans="16:21">
      <c r="P151" s="863" t="s">
        <v>937</v>
      </c>
      <c r="Q151" s="863">
        <f>+Q149+Q150</f>
        <v>-467901</v>
      </c>
      <c r="R151" s="863">
        <f>+R149+R150</f>
        <v>-462197.92266368377</v>
      </c>
      <c r="S151" s="863">
        <f>+S149+S150</f>
        <v>-510000</v>
      </c>
      <c r="T151" s="863">
        <f>+T149+T150</f>
        <v>-521060.15468750009</v>
      </c>
    </row>
    <row r="152" spans="16:21">
      <c r="P152" s="863" t="s">
        <v>1111</v>
      </c>
      <c r="Q152" s="863">
        <v>0</v>
      </c>
      <c r="R152" s="863">
        <v>0</v>
      </c>
      <c r="S152" s="863">
        <f>+R152</f>
        <v>0</v>
      </c>
      <c r="T152" s="863">
        <v>0</v>
      </c>
    </row>
    <row r="153" spans="16:21">
      <c r="P153" s="863" t="s">
        <v>1110</v>
      </c>
      <c r="Q153" s="863">
        <f>+Q57</f>
        <v>105508</v>
      </c>
      <c r="R153" s="863">
        <f>+Q58</f>
        <v>87191.275788683677</v>
      </c>
      <c r="S153" s="863">
        <f>+R153</f>
        <v>87191.275788683677</v>
      </c>
      <c r="T153" s="863">
        <f>+Q120</f>
        <v>87191.275788683677</v>
      </c>
    </row>
    <row r="154" spans="16:21">
      <c r="P154" s="863" t="s">
        <v>1109</v>
      </c>
      <c r="Q154" s="891">
        <v>0</v>
      </c>
      <c r="R154" s="891">
        <v>0</v>
      </c>
      <c r="S154" s="863">
        <f>+R154</f>
        <v>0</v>
      </c>
      <c r="T154" s="863">
        <f>+S154</f>
        <v>0</v>
      </c>
    </row>
    <row r="155" spans="16:21">
      <c r="P155" s="863" t="s">
        <v>1030</v>
      </c>
      <c r="Q155" s="863">
        <f>+SUM(Q151:Q154)</f>
        <v>-362393</v>
      </c>
      <c r="R155" s="863">
        <f>+SUM(R151:R154)</f>
        <v>-375006.64687500009</v>
      </c>
      <c r="S155" s="863">
        <f>+SUM(S151:S154)</f>
        <v>-422808.72421131632</v>
      </c>
      <c r="T155" s="863">
        <f>+SUM(T151:T154)</f>
        <v>-433868.87889881642</v>
      </c>
    </row>
    <row r="156" spans="16:21">
      <c r="P156" s="863"/>
      <c r="Q156" s="863"/>
      <c r="R156" s="863"/>
      <c r="S156" s="863"/>
      <c r="T156" s="863"/>
    </row>
    <row r="157" spans="16:21">
      <c r="P157" s="4"/>
      <c r="Q157" s="4" t="s">
        <v>1108</v>
      </c>
      <c r="R157" s="863">
        <f>+Q155</f>
        <v>-362393</v>
      </c>
      <c r="S157" s="863">
        <f>+R160</f>
        <v>-375006.64687499998</v>
      </c>
      <c r="T157" s="863">
        <f>+S160</f>
        <v>-422808.72421131621</v>
      </c>
    </row>
    <row r="158" spans="16:21">
      <c r="P158" s="4"/>
      <c r="Q158" s="560" t="s">
        <v>1107</v>
      </c>
      <c r="R158" s="889">
        <f>-R38</f>
        <v>-30538.146874999999</v>
      </c>
      <c r="S158" s="732">
        <f>-Q109-Q110</f>
        <v>-47802.07733631623</v>
      </c>
      <c r="T158" s="732">
        <f>-Q111</f>
        <v>-28984.654687499999</v>
      </c>
    </row>
    <row r="159" spans="16:21">
      <c r="Q159" s="560" t="s">
        <v>1106</v>
      </c>
      <c r="R159" s="890">
        <f>+Q51</f>
        <v>17924.5</v>
      </c>
      <c r="S159" s="890">
        <v>0</v>
      </c>
      <c r="T159" s="890">
        <f>+Q132</f>
        <v>17924.5</v>
      </c>
    </row>
    <row r="160" spans="16:21">
      <c r="Q160" s="4" t="s">
        <v>1105</v>
      </c>
      <c r="R160" s="889">
        <f>+SUM(R157:R159)</f>
        <v>-375006.64687499998</v>
      </c>
      <c r="S160" s="889">
        <f>+SUM(S157:S159)</f>
        <v>-422808.72421131621</v>
      </c>
      <c r="T160" s="889">
        <f>+SUM(T157:T159)</f>
        <v>-433868.87889881618</v>
      </c>
    </row>
    <row r="162" spans="17:20">
      <c r="Q162" s="872" t="s">
        <v>112</v>
      </c>
      <c r="R162" s="863">
        <f>+R155-R160</f>
        <v>0</v>
      </c>
      <c r="S162" s="863">
        <f>+S155-S160</f>
        <v>0</v>
      </c>
      <c r="T162" s="863">
        <f>+T155-T160</f>
        <v>0</v>
      </c>
    </row>
  </sheetData>
  <sheetProtection formatCells="0" formatColumns="0" formatRows="0" insertColumns="0" insertRows="0"/>
  <mergeCells count="4">
    <mergeCell ref="A5:M10"/>
    <mergeCell ref="P7:Z13"/>
    <mergeCell ref="P15:Q15"/>
    <mergeCell ref="B18:C18"/>
  </mergeCells>
  <pageMargins left="0.7" right="0.7" top="0.75" bottom="0.75" header="0.3" footer="0.3"/>
  <pageSetup scale="68" orientation="portrait" horizontalDpi="4294967293"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0623A-3F42-40C8-9158-62B0907ED03F}">
  <dimension ref="A1:AL136"/>
  <sheetViews>
    <sheetView zoomScale="85" zoomScaleNormal="85" workbookViewId="0">
      <selection sqref="A1:XFD1048576"/>
    </sheetView>
  </sheetViews>
  <sheetFormatPr defaultRowHeight="15.6"/>
  <cols>
    <col min="1" max="1" width="3.6640625" style="2" customWidth="1"/>
    <col min="2" max="2" width="46.44140625" style="2" customWidth="1"/>
    <col min="3" max="3" width="24.33203125" style="2" customWidth="1"/>
    <col min="4" max="4" width="16.6640625" style="2" customWidth="1"/>
    <col min="5" max="5" width="6.88671875" style="2" bestFit="1" customWidth="1"/>
    <col min="6" max="6" width="10" style="2" hidden="1" customWidth="1"/>
    <col min="7" max="7" width="6.88671875" style="2" hidden="1" customWidth="1"/>
    <col min="8" max="8" width="10" style="2" hidden="1" customWidth="1"/>
    <col min="9" max="9" width="6.88671875" style="2" hidden="1" customWidth="1"/>
    <col min="10" max="10" width="10" style="2" hidden="1" customWidth="1"/>
    <col min="11" max="11" width="6.88671875" style="2" hidden="1" customWidth="1"/>
    <col min="12" max="12" width="10" style="2" hidden="1" customWidth="1"/>
    <col min="13" max="13" width="15.6640625" style="2" customWidth="1"/>
    <col min="14" max="14" width="1" style="3" customWidth="1"/>
    <col min="15" max="15" width="5.44140625" style="33" customWidth="1"/>
    <col min="16" max="16" width="12" style="33" customWidth="1"/>
    <col min="17" max="17" width="17.33203125" style="33" customWidth="1"/>
    <col min="18" max="18" width="13.44140625" style="33" customWidth="1"/>
    <col min="19" max="19" width="12.5546875" style="33" bestFit="1" customWidth="1"/>
    <col min="20" max="20" width="15" style="33" customWidth="1"/>
    <col min="21" max="21" width="8.88671875" style="33"/>
    <col min="22" max="22" width="11" style="33" customWidth="1"/>
    <col min="23" max="23" width="8.88671875" style="33"/>
    <col min="24" max="26" width="14.6640625" style="33" customWidth="1"/>
    <col min="27" max="27" width="1" style="3" customWidth="1"/>
    <col min="28" max="28" width="6.44140625" style="33" customWidth="1"/>
    <col min="29" max="30" width="14.44140625" style="921" customWidth="1"/>
    <col min="31" max="37" width="14.44140625" style="33" customWidth="1"/>
    <col min="38" max="38" width="1" style="3" customWidth="1"/>
  </cols>
  <sheetData>
    <row r="1" spans="1:37">
      <c r="A1" s="1" t="s">
        <v>1212</v>
      </c>
      <c r="O1" s="1" t="s">
        <v>1212</v>
      </c>
      <c r="P1" s="2"/>
      <c r="Q1" s="2"/>
      <c r="R1" s="2"/>
      <c r="S1" s="2"/>
      <c r="T1" s="2"/>
      <c r="U1" s="2"/>
      <c r="V1" s="2"/>
      <c r="W1" s="2"/>
      <c r="X1" s="2"/>
      <c r="Y1" s="2"/>
      <c r="Z1" s="2"/>
      <c r="AB1" s="1" t="s">
        <v>1212</v>
      </c>
      <c r="AC1" s="2"/>
      <c r="AD1" s="2"/>
      <c r="AE1" s="2"/>
      <c r="AF1" s="2"/>
      <c r="AG1" s="2"/>
      <c r="AH1" s="2"/>
      <c r="AI1" s="2"/>
      <c r="AJ1" s="2"/>
      <c r="AK1" s="2"/>
    </row>
    <row r="2" spans="1:37">
      <c r="A2" s="1" t="s">
        <v>732</v>
      </c>
      <c r="O2" s="1" t="s">
        <v>732</v>
      </c>
      <c r="P2" s="2"/>
      <c r="Q2" s="2"/>
      <c r="R2" s="2"/>
      <c r="S2" s="2"/>
      <c r="T2" s="2"/>
      <c r="U2" s="2"/>
      <c r="V2" s="2"/>
      <c r="W2" s="2"/>
      <c r="X2" s="2"/>
      <c r="Y2" s="2"/>
      <c r="Z2" s="2"/>
      <c r="AB2" s="1" t="s">
        <v>732</v>
      </c>
      <c r="AC2" s="2"/>
      <c r="AD2" s="2"/>
      <c r="AE2" s="2"/>
      <c r="AF2" s="2"/>
      <c r="AG2" s="2"/>
      <c r="AH2" s="2"/>
      <c r="AI2" s="2"/>
      <c r="AJ2" s="2"/>
      <c r="AK2" s="2"/>
    </row>
    <row r="3" spans="1:37">
      <c r="A3" s="1" t="s">
        <v>373</v>
      </c>
      <c r="O3" s="1" t="s">
        <v>373</v>
      </c>
      <c r="P3" s="2"/>
      <c r="Q3" s="2"/>
      <c r="R3" s="2"/>
      <c r="S3" s="2"/>
      <c r="T3" s="2"/>
      <c r="U3" s="2"/>
      <c r="V3" s="2"/>
      <c r="W3" s="2"/>
      <c r="X3" s="2"/>
      <c r="Y3" s="2"/>
      <c r="Z3" s="2"/>
      <c r="AB3" s="1" t="s">
        <v>373</v>
      </c>
      <c r="AC3" s="2"/>
      <c r="AD3" s="2"/>
      <c r="AE3" s="2"/>
      <c r="AF3" s="2"/>
      <c r="AG3" s="2"/>
      <c r="AH3" s="2"/>
      <c r="AI3" s="2"/>
      <c r="AJ3" s="2"/>
      <c r="AK3" s="2"/>
    </row>
    <row r="4" spans="1:37">
      <c r="O4" s="2"/>
      <c r="P4" s="2"/>
      <c r="Q4" s="2"/>
      <c r="R4" s="2"/>
      <c r="S4" s="2"/>
      <c r="T4" s="2"/>
      <c r="U4" s="2"/>
      <c r="V4" s="2"/>
      <c r="W4" s="2"/>
      <c r="X4" s="2"/>
      <c r="Y4" s="2"/>
      <c r="Z4" s="2"/>
      <c r="AB4" s="2"/>
      <c r="AC4" s="2"/>
      <c r="AD4" s="2"/>
      <c r="AE4" s="2"/>
      <c r="AF4" s="2"/>
      <c r="AG4" s="2"/>
      <c r="AH4" s="2"/>
      <c r="AI4" s="2"/>
      <c r="AJ4" s="2"/>
      <c r="AK4" s="2"/>
    </row>
    <row r="5" spans="1:37" ht="16.2" customHeight="1">
      <c r="A5" s="1639" t="s">
        <v>1211</v>
      </c>
      <c r="B5" s="1639"/>
      <c r="C5" s="1639"/>
      <c r="D5" s="1639"/>
      <c r="E5" s="7"/>
      <c r="F5" s="7"/>
      <c r="G5" s="7"/>
      <c r="H5" s="7"/>
      <c r="I5" s="7"/>
      <c r="J5" s="7"/>
      <c r="K5" s="7"/>
      <c r="L5" s="7"/>
      <c r="M5" s="7"/>
      <c r="O5" s="6" t="s">
        <v>4</v>
      </c>
      <c r="P5" s="2"/>
      <c r="Q5" s="2"/>
      <c r="R5" s="2"/>
      <c r="S5" s="2"/>
      <c r="T5" s="2"/>
      <c r="U5" s="2"/>
      <c r="V5" s="2"/>
      <c r="W5" s="2"/>
      <c r="X5" s="2"/>
      <c r="Y5" s="2"/>
      <c r="Z5" s="2"/>
      <c r="AB5" s="6" t="s">
        <v>4</v>
      </c>
      <c r="AC5" s="2"/>
      <c r="AD5" s="2"/>
      <c r="AE5" s="2"/>
      <c r="AF5" s="2"/>
      <c r="AG5" s="2"/>
      <c r="AH5" s="2"/>
      <c r="AI5" s="2"/>
      <c r="AJ5" s="2"/>
      <c r="AK5" s="2"/>
    </row>
    <row r="6" spans="1:37">
      <c r="A6" s="1639"/>
      <c r="B6" s="1639"/>
      <c r="C6" s="1639"/>
      <c r="D6" s="1639"/>
      <c r="E6" s="7"/>
      <c r="F6" s="7"/>
      <c r="G6" s="7"/>
      <c r="H6" s="7"/>
      <c r="I6" s="7"/>
      <c r="J6" s="7"/>
      <c r="K6" s="7"/>
      <c r="L6" s="7"/>
      <c r="M6" s="7"/>
      <c r="O6" s="2"/>
      <c r="P6" s="2"/>
      <c r="Q6" s="2"/>
      <c r="R6" s="2"/>
      <c r="S6" s="2"/>
      <c r="T6" s="2"/>
      <c r="U6" s="2"/>
      <c r="V6" s="2"/>
      <c r="W6" s="2"/>
      <c r="X6" s="2"/>
      <c r="Y6" s="2"/>
      <c r="Z6" s="2"/>
      <c r="AB6" s="2"/>
      <c r="AC6" s="2"/>
      <c r="AD6" s="2"/>
      <c r="AE6" s="2"/>
      <c r="AF6" s="2"/>
      <c r="AG6" s="2"/>
      <c r="AH6" s="2"/>
      <c r="AI6" s="2"/>
      <c r="AJ6" s="2"/>
      <c r="AK6" s="2"/>
    </row>
    <row r="7" spans="1:37" ht="15.6" customHeight="1">
      <c r="A7" s="776"/>
      <c r="B7" s="776"/>
      <c r="C7" s="776"/>
      <c r="D7" s="776"/>
      <c r="E7" s="7"/>
      <c r="F7" s="7"/>
      <c r="G7" s="7"/>
      <c r="H7" s="7"/>
      <c r="I7" s="7"/>
      <c r="J7" s="7"/>
      <c r="K7" s="7"/>
      <c r="L7" s="7"/>
      <c r="M7" s="7"/>
      <c r="O7" s="2" t="s">
        <v>687</v>
      </c>
      <c r="P7" s="8" t="str">
        <f>B35</f>
        <v xml:space="preserve">(3 points)  Calculate the 2023 Net Periodic Pension Cost under ASC 715 assuming no experience gains or losses.  </v>
      </c>
      <c r="Q7" s="9"/>
      <c r="R7" s="9"/>
      <c r="S7" s="9"/>
      <c r="T7" s="9"/>
      <c r="U7" s="9"/>
      <c r="V7" s="9"/>
      <c r="W7" s="9"/>
      <c r="X7" s="9"/>
      <c r="Y7" s="9"/>
      <c r="Z7" s="9"/>
      <c r="AB7" s="2" t="s">
        <v>6</v>
      </c>
      <c r="AC7" s="8" t="str">
        <f>B46</f>
        <v xml:space="preserve">(3 points)  Calculate 2023 Net Periodic Pension Cost under ASC 715 based on these new assumptions.  </v>
      </c>
      <c r="AD7" s="8"/>
      <c r="AE7" s="8"/>
      <c r="AF7" s="8"/>
      <c r="AG7" s="8"/>
      <c r="AH7" s="8"/>
      <c r="AI7" s="8"/>
      <c r="AJ7" s="8"/>
      <c r="AK7" s="8"/>
    </row>
    <row r="8" spans="1:37" ht="15.6" customHeight="1">
      <c r="A8" s="2" t="s">
        <v>1210</v>
      </c>
      <c r="B8" s="7"/>
      <c r="C8" s="7"/>
      <c r="D8" s="7"/>
      <c r="E8" s="7"/>
      <c r="F8" s="7"/>
      <c r="G8" s="7"/>
      <c r="H8" s="7"/>
      <c r="I8" s="7"/>
      <c r="J8" s="7"/>
      <c r="K8" s="7"/>
      <c r="L8" s="7"/>
      <c r="M8" s="7"/>
      <c r="O8" s="2"/>
      <c r="P8" s="9"/>
      <c r="Q8" s="9"/>
      <c r="R8" s="9"/>
      <c r="S8" s="9"/>
      <c r="T8" s="9"/>
      <c r="U8" s="9"/>
      <c r="V8" s="9"/>
      <c r="W8" s="9"/>
      <c r="X8" s="9"/>
      <c r="Y8" s="9"/>
      <c r="Z8" s="9"/>
      <c r="AB8" s="2"/>
      <c r="AC8" s="8"/>
      <c r="AD8" s="8"/>
      <c r="AE8" s="8"/>
      <c r="AF8" s="8"/>
      <c r="AG8" s="8"/>
      <c r="AH8" s="8"/>
      <c r="AI8" s="8"/>
      <c r="AJ8" s="8"/>
      <c r="AK8" s="8"/>
    </row>
    <row r="9" spans="1:37" ht="15.75" customHeight="1">
      <c r="B9" s="7"/>
      <c r="C9" s="7"/>
      <c r="D9" s="7"/>
      <c r="E9" s="7"/>
      <c r="F9" s="7"/>
      <c r="G9" s="7"/>
      <c r="H9" s="7"/>
      <c r="I9" s="7"/>
      <c r="J9" s="7"/>
      <c r="K9" s="7"/>
      <c r="L9" s="7"/>
      <c r="M9" s="7"/>
      <c r="O9" s="2"/>
      <c r="P9" s="8" t="str">
        <f>B37</f>
        <v>Show all work.</v>
      </c>
      <c r="Q9" s="9"/>
      <c r="R9" s="9"/>
      <c r="S9" s="9"/>
      <c r="T9" s="9"/>
      <c r="U9" s="9"/>
      <c r="V9" s="9"/>
      <c r="W9" s="9"/>
      <c r="X9" s="9"/>
      <c r="Y9" s="9"/>
      <c r="Z9" s="9"/>
      <c r="AB9" s="2"/>
      <c r="AC9" s="8" t="str">
        <f>B48</f>
        <v>Show all work.</v>
      </c>
      <c r="AD9" s="8"/>
      <c r="AE9" s="8"/>
      <c r="AF9" s="8"/>
      <c r="AG9" s="8"/>
      <c r="AH9" s="8"/>
      <c r="AI9" s="8"/>
      <c r="AJ9" s="8"/>
      <c r="AK9" s="8"/>
    </row>
    <row r="10" spans="1:37">
      <c r="B10" s="680"/>
      <c r="C10" s="936" t="s">
        <v>1209</v>
      </c>
      <c r="O10" s="2"/>
      <c r="P10" s="28"/>
      <c r="Q10" s="5"/>
      <c r="R10" s="5"/>
      <c r="S10" s="5"/>
      <c r="T10" s="5"/>
      <c r="U10" s="5"/>
      <c r="V10" s="5"/>
      <c r="W10" s="5"/>
      <c r="X10" s="5"/>
      <c r="Y10" s="5"/>
      <c r="Z10" s="5"/>
      <c r="AB10" s="2"/>
      <c r="AC10" s="28"/>
      <c r="AD10" s="5"/>
      <c r="AE10" s="5"/>
      <c r="AF10" s="5"/>
      <c r="AG10" s="5"/>
      <c r="AH10" s="5"/>
      <c r="AI10" s="5"/>
      <c r="AJ10" s="5"/>
      <c r="AK10" s="5"/>
    </row>
    <row r="11" spans="1:37" ht="15.75" customHeight="1">
      <c r="B11" s="680" t="s">
        <v>1208</v>
      </c>
      <c r="C11" s="935">
        <v>1164740</v>
      </c>
    </row>
    <row r="12" spans="1:37">
      <c r="B12" s="680" t="s">
        <v>768</v>
      </c>
      <c r="C12" s="935">
        <v>1264714</v>
      </c>
    </row>
    <row r="13" spans="1:37" ht="31.2">
      <c r="B13" s="703" t="s">
        <v>850</v>
      </c>
      <c r="C13" s="935">
        <v>373966.25</v>
      </c>
    </row>
    <row r="14" spans="1:37" ht="15.75" customHeight="1">
      <c r="B14" s="680" t="s">
        <v>771</v>
      </c>
      <c r="C14" s="934">
        <v>3.7499999999999999E-2</v>
      </c>
    </row>
    <row r="15" spans="1:37">
      <c r="B15" s="680" t="s">
        <v>770</v>
      </c>
      <c r="C15" s="934">
        <v>6.25E-2</v>
      </c>
    </row>
    <row r="16" spans="1:37" ht="15.75" customHeight="1"/>
    <row r="17" spans="2:31">
      <c r="R17" s="38"/>
    </row>
    <row r="18" spans="2:31">
      <c r="B18" s="680"/>
      <c r="C18" s="933">
        <v>2022</v>
      </c>
      <c r="D18" s="932">
        <v>2023</v>
      </c>
      <c r="R18" s="38"/>
    </row>
    <row r="19" spans="2:31">
      <c r="B19" s="680" t="s">
        <v>1207</v>
      </c>
      <c r="C19" s="928">
        <v>59347</v>
      </c>
      <c r="D19" s="927">
        <v>61127</v>
      </c>
      <c r="R19" s="38"/>
    </row>
    <row r="20" spans="2:31">
      <c r="B20" s="680" t="s">
        <v>1041</v>
      </c>
      <c r="C20" s="928">
        <v>45155</v>
      </c>
      <c r="D20" s="927"/>
      <c r="R20" s="38"/>
    </row>
    <row r="21" spans="2:31">
      <c r="B21" s="703" t="s">
        <v>770</v>
      </c>
      <c r="C21" s="931">
        <v>-78918</v>
      </c>
      <c r="D21" s="930"/>
      <c r="R21" s="38"/>
      <c r="S21" s="37"/>
    </row>
    <row r="22" spans="2:31">
      <c r="B22" s="680" t="s">
        <v>1206</v>
      </c>
      <c r="C22" s="928">
        <v>20798</v>
      </c>
      <c r="D22" s="927"/>
      <c r="R22" s="38"/>
    </row>
    <row r="23" spans="2:31">
      <c r="B23" s="680" t="s">
        <v>1205</v>
      </c>
      <c r="C23" s="928">
        <v>46382</v>
      </c>
      <c r="D23" s="927"/>
      <c r="G23" s="581"/>
      <c r="H23" s="581"/>
      <c r="I23" s="581"/>
      <c r="J23" s="581"/>
      <c r="K23" s="581"/>
      <c r="L23" s="581"/>
      <c r="R23" s="38"/>
      <c r="S23" s="37"/>
      <c r="AE23" s="929"/>
    </row>
    <row r="24" spans="2:31">
      <c r="B24" s="680" t="s">
        <v>114</v>
      </c>
      <c r="C24" s="928">
        <v>35849</v>
      </c>
      <c r="D24" s="927">
        <v>36207</v>
      </c>
      <c r="G24" s="581"/>
      <c r="H24" s="581"/>
      <c r="I24" s="581"/>
      <c r="J24" s="581"/>
      <c r="K24" s="581"/>
      <c r="L24" s="581"/>
      <c r="R24" s="38"/>
      <c r="S24" s="37"/>
    </row>
    <row r="25" spans="2:31">
      <c r="B25" s="680" t="s">
        <v>1204</v>
      </c>
      <c r="C25" s="928">
        <v>39900</v>
      </c>
      <c r="D25" s="927">
        <v>42294</v>
      </c>
      <c r="R25" s="38"/>
      <c r="S25" s="37"/>
    </row>
    <row r="26" spans="2:31">
      <c r="B26" s="680" t="s">
        <v>758</v>
      </c>
      <c r="C26" s="925">
        <v>11.8</v>
      </c>
      <c r="D26" s="926">
        <v>12.3</v>
      </c>
    </row>
    <row r="27" spans="2:31">
      <c r="B27" s="720"/>
      <c r="C27" s="720"/>
      <c r="D27" s="720"/>
    </row>
    <row r="28" spans="2:31">
      <c r="B28" s="680" t="s">
        <v>1203</v>
      </c>
      <c r="C28" s="925">
        <v>15</v>
      </c>
    </row>
    <row r="29" spans="2:31" ht="15.75" customHeight="1">
      <c r="B29" s="680" t="s">
        <v>1202</v>
      </c>
      <c r="C29" s="925">
        <v>20</v>
      </c>
      <c r="D29" s="5"/>
    </row>
    <row r="30" spans="2:31">
      <c r="B30" s="5"/>
      <c r="C30" s="5"/>
      <c r="D30" s="5"/>
      <c r="E30" s="5"/>
      <c r="F30" s="5"/>
      <c r="G30" s="5"/>
      <c r="H30" s="5"/>
      <c r="I30" s="5"/>
      <c r="J30" s="5"/>
      <c r="K30" s="5"/>
      <c r="L30" s="5"/>
    </row>
    <row r="31" spans="2:31">
      <c r="B31" s="703" t="s">
        <v>156</v>
      </c>
      <c r="C31" s="1660" t="s">
        <v>1201</v>
      </c>
      <c r="D31" s="1660"/>
      <c r="E31" s="5"/>
      <c r="F31" s="5"/>
      <c r="G31" s="5"/>
      <c r="H31" s="5"/>
      <c r="I31" s="5"/>
      <c r="J31" s="5"/>
      <c r="K31" s="5"/>
      <c r="L31" s="5"/>
    </row>
    <row r="32" spans="2:31">
      <c r="B32" s="703" t="s">
        <v>62</v>
      </c>
      <c r="C32" s="1660" t="s">
        <v>1200</v>
      </c>
      <c r="D32" s="1660"/>
      <c r="E32" s="5"/>
      <c r="F32" s="5"/>
      <c r="G32" s="5"/>
      <c r="H32" s="5"/>
      <c r="I32" s="5"/>
      <c r="J32" s="5"/>
      <c r="K32" s="5"/>
      <c r="L32" s="5"/>
      <c r="Q32" s="35"/>
    </row>
    <row r="33" spans="1:17" ht="33" customHeight="1">
      <c r="B33" s="924" t="s">
        <v>805</v>
      </c>
      <c r="C33" s="1660" t="s">
        <v>1199</v>
      </c>
      <c r="D33" s="1660"/>
      <c r="E33" s="5"/>
      <c r="F33" s="5"/>
      <c r="G33" s="5"/>
      <c r="H33" s="5"/>
      <c r="I33" s="5"/>
      <c r="J33" s="5"/>
      <c r="K33" s="5"/>
      <c r="L33" s="5"/>
    </row>
    <row r="34" spans="1:17">
      <c r="E34" s="5"/>
      <c r="F34" s="5"/>
      <c r="G34" s="5"/>
      <c r="H34" s="5"/>
      <c r="I34" s="5"/>
      <c r="J34" s="5"/>
      <c r="K34" s="5"/>
      <c r="L34" s="5"/>
      <c r="Q34" s="35"/>
    </row>
    <row r="35" spans="1:17">
      <c r="A35" s="2" t="s">
        <v>1198</v>
      </c>
      <c r="B35" s="2" t="s">
        <v>1197</v>
      </c>
      <c r="C35" s="776"/>
      <c r="D35" s="776"/>
      <c r="E35" s="5"/>
      <c r="F35" s="5"/>
      <c r="G35" s="5"/>
      <c r="H35" s="5"/>
      <c r="I35" s="5"/>
      <c r="J35" s="5"/>
      <c r="K35" s="5"/>
      <c r="L35" s="5"/>
      <c r="Q35" s="35"/>
    </row>
    <row r="36" spans="1:17" ht="15.75" customHeight="1">
      <c r="B36" s="776"/>
      <c r="C36" s="776"/>
      <c r="D36" s="776"/>
      <c r="Q36" s="35"/>
    </row>
    <row r="37" spans="1:17">
      <c r="B37" s="776" t="s">
        <v>683</v>
      </c>
      <c r="C37" s="776"/>
      <c r="D37" s="776"/>
      <c r="E37" s="776"/>
      <c r="F37" s="776"/>
      <c r="G37" s="776"/>
      <c r="H37" s="776"/>
      <c r="I37" s="776"/>
      <c r="J37" s="776"/>
      <c r="K37" s="776"/>
      <c r="L37" s="776"/>
      <c r="M37" s="776"/>
    </row>
    <row r="38" spans="1:17" ht="15.75" customHeight="1">
      <c r="B38" s="776"/>
      <c r="C38" s="776"/>
      <c r="D38" s="776"/>
      <c r="E38" s="776"/>
      <c r="F38" s="776"/>
      <c r="G38" s="776"/>
      <c r="H38" s="776"/>
      <c r="I38" s="776"/>
      <c r="J38" s="776"/>
      <c r="K38" s="776"/>
      <c r="L38" s="776"/>
      <c r="M38" s="776"/>
      <c r="Q38" s="35"/>
    </row>
    <row r="39" spans="1:17" ht="16.2">
      <c r="B39" s="29" t="s">
        <v>32</v>
      </c>
      <c r="E39" s="776"/>
      <c r="F39" s="776"/>
      <c r="G39" s="776"/>
      <c r="H39" s="776"/>
      <c r="I39" s="776"/>
      <c r="J39" s="776"/>
      <c r="K39" s="776"/>
      <c r="L39" s="776"/>
      <c r="M39" s="776"/>
      <c r="Q39" s="35"/>
    </row>
    <row r="40" spans="1:17">
      <c r="E40" s="776"/>
      <c r="F40" s="776"/>
      <c r="G40" s="776"/>
      <c r="H40" s="776"/>
      <c r="I40" s="776"/>
      <c r="J40" s="776"/>
      <c r="K40" s="776"/>
      <c r="L40" s="776"/>
      <c r="M40" s="776"/>
    </row>
    <row r="41" spans="1:17">
      <c r="A41" s="2" t="s">
        <v>1196</v>
      </c>
    </row>
    <row r="42" spans="1:17">
      <c r="Q42" s="35"/>
    </row>
    <row r="43" spans="1:17">
      <c r="B43" s="680" t="s">
        <v>1195</v>
      </c>
      <c r="C43" s="923">
        <v>5.0000000000000001E-3</v>
      </c>
      <c r="Q43" s="35"/>
    </row>
    <row r="44" spans="1:17">
      <c r="B44" s="680" t="s">
        <v>1194</v>
      </c>
      <c r="C44" s="922">
        <v>1364000</v>
      </c>
    </row>
    <row r="45" spans="1:17">
      <c r="Q45" s="34"/>
    </row>
    <row r="46" spans="1:17">
      <c r="A46" s="2" t="s">
        <v>6</v>
      </c>
      <c r="B46" s="2" t="s">
        <v>1193</v>
      </c>
    </row>
    <row r="48" spans="1:17">
      <c r="B48" s="2" t="s">
        <v>683</v>
      </c>
      <c r="Q48" s="35"/>
    </row>
    <row r="49" spans="2:17">
      <c r="Q49" s="35"/>
    </row>
    <row r="50" spans="2:17" ht="16.2">
      <c r="B50" s="29" t="s">
        <v>32</v>
      </c>
      <c r="Q50" s="35"/>
    </row>
    <row r="51" spans="2:17">
      <c r="Q51" s="35"/>
    </row>
    <row r="52" spans="2:17">
      <c r="Q52" s="35"/>
    </row>
    <row r="53" spans="2:17">
      <c r="Q53" s="35"/>
    </row>
    <row r="55" spans="2:17">
      <c r="Q55" s="36"/>
    </row>
    <row r="57" spans="2:17">
      <c r="P57" s="846"/>
    </row>
    <row r="60" spans="2:17">
      <c r="P60" s="845"/>
    </row>
    <row r="62" spans="2:17">
      <c r="P62" s="34"/>
    </row>
    <row r="63" spans="2:17">
      <c r="P63" s="34"/>
    </row>
    <row r="64" spans="2:17" ht="15.75" customHeight="1">
      <c r="P64" s="35"/>
    </row>
    <row r="65" spans="16:18">
      <c r="P65" s="34"/>
    </row>
    <row r="66" spans="16:18">
      <c r="P66" s="34"/>
    </row>
    <row r="67" spans="16:18">
      <c r="P67" s="34"/>
    </row>
    <row r="71" spans="16:18">
      <c r="P71" s="35"/>
    </row>
    <row r="74" spans="16:18">
      <c r="P74" s="36"/>
    </row>
    <row r="75" spans="16:18">
      <c r="P75" s="36"/>
    </row>
    <row r="76" spans="16:18">
      <c r="P76" s="35"/>
      <c r="R76" s="37"/>
    </row>
    <row r="77" spans="16:18">
      <c r="P77" s="35"/>
    </row>
    <row r="78" spans="16:18">
      <c r="P78" s="35"/>
    </row>
    <row r="79" spans="16:18">
      <c r="P79" s="36"/>
    </row>
    <row r="80" spans="16:18">
      <c r="P80" s="35"/>
    </row>
    <row r="81" spans="16:18">
      <c r="P81" s="35"/>
    </row>
    <row r="82" spans="16:18">
      <c r="P82" s="35"/>
    </row>
    <row r="83" spans="16:18">
      <c r="P83" s="36"/>
    </row>
    <row r="84" spans="16:18">
      <c r="P84" s="35"/>
    </row>
    <row r="85" spans="16:18">
      <c r="P85" s="35"/>
    </row>
    <row r="86" spans="16:18">
      <c r="P86" s="36"/>
    </row>
    <row r="87" spans="16:18">
      <c r="P87" s="36"/>
    </row>
    <row r="88" spans="16:18">
      <c r="P88" s="36"/>
    </row>
    <row r="96" spans="16:18">
      <c r="R96" s="35"/>
    </row>
    <row r="98" spans="17:20">
      <c r="R98" s="35"/>
    </row>
    <row r="99" spans="17:20">
      <c r="R99" s="35"/>
    </row>
    <row r="102" spans="17:20">
      <c r="R102" s="38"/>
    </row>
    <row r="103" spans="17:20">
      <c r="R103" s="35"/>
    </row>
    <row r="105" spans="17:20">
      <c r="R105" s="37"/>
    </row>
    <row r="106" spans="17:20">
      <c r="R106" s="39"/>
    </row>
    <row r="107" spans="17:20">
      <c r="Q107" s="35"/>
    </row>
    <row r="108" spans="17:20">
      <c r="Q108" s="35"/>
    </row>
    <row r="110" spans="17:20">
      <c r="Q110" s="40"/>
      <c r="R110" s="41"/>
      <c r="T110" s="41"/>
    </row>
    <row r="111" spans="17:20">
      <c r="Q111" s="37"/>
      <c r="R111" s="37"/>
      <c r="S111" s="38"/>
      <c r="T111" s="37"/>
    </row>
    <row r="112" spans="17:20">
      <c r="Q112" s="37"/>
      <c r="R112" s="37"/>
      <c r="S112" s="38"/>
      <c r="T112" s="37"/>
    </row>
    <row r="113" spans="16:20">
      <c r="Q113" s="37"/>
      <c r="R113" s="37"/>
      <c r="S113" s="38"/>
      <c r="T113" s="37"/>
    </row>
    <row r="114" spans="16:20">
      <c r="Q114" s="42"/>
      <c r="R114" s="42"/>
      <c r="S114" s="42"/>
      <c r="T114" s="42"/>
    </row>
    <row r="119" spans="16:20">
      <c r="P119" s="43"/>
    </row>
    <row r="121" spans="16:20">
      <c r="P121" s="34"/>
    </row>
    <row r="122" spans="16:20">
      <c r="P122" s="34"/>
    </row>
    <row r="123" spans="16:20">
      <c r="P123" s="34"/>
    </row>
    <row r="124" spans="16:20">
      <c r="P124" s="34"/>
    </row>
    <row r="125" spans="16:20">
      <c r="Q125" s="44"/>
    </row>
    <row r="128" spans="16:20">
      <c r="P128" s="38"/>
      <c r="R128" s="45"/>
      <c r="S128" s="45"/>
      <c r="T128" s="46"/>
    </row>
    <row r="129" spans="15:20">
      <c r="R129" s="34"/>
      <c r="S129" s="47"/>
      <c r="T129" s="34"/>
    </row>
    <row r="130" spans="15:20">
      <c r="R130" s="34"/>
      <c r="S130" s="47"/>
      <c r="T130" s="34"/>
    </row>
    <row r="131" spans="15:20">
      <c r="R131" s="48"/>
      <c r="S131" s="49"/>
      <c r="T131" s="34"/>
    </row>
    <row r="132" spans="15:20">
      <c r="R132" s="34"/>
      <c r="S132" s="34"/>
      <c r="T132" s="34"/>
    </row>
    <row r="136" spans="15:20">
      <c r="O136" s="50"/>
    </row>
  </sheetData>
  <sheetProtection algorithmName="SHA-512" hashValue="uGKcbLk38K6i+DmqP/RsYPfhQkza8DdlN4/CmOO/igM5PbsCNnl21INUOaVWL4DWZQU8/jZ1uNJS/QlPHORxcA==" saltValue="Df3meCE9ESJTFCo/ZVkXZw==" spinCount="100000" sheet="1" formatCells="0" formatColumns="0" formatRows="0" insertColumns="0" insertRows="0"/>
  <mergeCells count="4">
    <mergeCell ref="A5:D6"/>
    <mergeCell ref="C31:D31"/>
    <mergeCell ref="C32:D32"/>
    <mergeCell ref="C33:D33"/>
  </mergeCell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45851-E1E8-4BCD-B7B2-06F1301D915A}">
  <dimension ref="A1:AL136"/>
  <sheetViews>
    <sheetView zoomScale="85" zoomScaleNormal="85" workbookViewId="0">
      <selection sqref="A1:XFD1048576"/>
    </sheetView>
  </sheetViews>
  <sheetFormatPr defaultRowHeight="15.6"/>
  <cols>
    <col min="1" max="1" width="3.6640625" style="2" customWidth="1"/>
    <col min="2" max="2" width="46.44140625" style="2" customWidth="1"/>
    <col min="3" max="3" width="24.33203125" style="2" customWidth="1"/>
    <col min="4" max="4" width="16.6640625" style="2" customWidth="1"/>
    <col min="5" max="5" width="6.88671875" style="2" bestFit="1" customWidth="1"/>
    <col min="6" max="6" width="10" style="2" hidden="1" customWidth="1"/>
    <col min="7" max="7" width="6.88671875" style="2" hidden="1" customWidth="1"/>
    <col min="8" max="8" width="10" style="2" hidden="1" customWidth="1"/>
    <col min="9" max="9" width="6.88671875" style="2" hidden="1" customWidth="1"/>
    <col min="10" max="10" width="10" style="2" hidden="1" customWidth="1"/>
    <col min="11" max="11" width="6.88671875" style="2" hidden="1" customWidth="1"/>
    <col min="12" max="12" width="10" style="2" hidden="1" customWidth="1"/>
    <col min="13" max="13" width="15.6640625" style="2" customWidth="1"/>
    <col min="14" max="14" width="1" style="3" customWidth="1"/>
    <col min="15" max="15" width="5.44140625" style="33" customWidth="1"/>
    <col min="16" max="16" width="18.44140625" style="33" customWidth="1"/>
    <col min="17" max="17" width="17.33203125" style="33" customWidth="1"/>
    <col min="18" max="18" width="13.44140625" style="33" customWidth="1"/>
    <col min="19" max="19" width="12.5546875" style="33" bestFit="1" customWidth="1"/>
    <col min="20" max="20" width="15" style="33" customWidth="1"/>
    <col min="21" max="21" width="8.88671875" style="33"/>
    <col min="22" max="22" width="11" style="33" customWidth="1"/>
    <col min="23" max="23" width="8.88671875" style="33"/>
    <col min="24" max="26" width="14.6640625" style="33" customWidth="1"/>
    <col min="27" max="27" width="1" style="3" customWidth="1"/>
    <col min="28" max="28" width="6.44140625" style="33" customWidth="1"/>
    <col min="29" max="29" width="14.44140625" style="921" customWidth="1"/>
    <col min="30" max="30" width="14.44140625" style="673" customWidth="1"/>
    <col min="31" max="37" width="14.44140625" style="33" customWidth="1"/>
    <col min="38" max="38" width="1" style="3" customWidth="1"/>
  </cols>
  <sheetData>
    <row r="1" spans="1:37">
      <c r="A1" s="1" t="s">
        <v>1212</v>
      </c>
      <c r="O1" s="1" t="s">
        <v>1212</v>
      </c>
      <c r="P1" s="2"/>
      <c r="Q1" s="2"/>
      <c r="R1" s="2"/>
      <c r="S1" s="2"/>
      <c r="T1" s="2"/>
      <c r="U1" s="2"/>
      <c r="V1" s="2"/>
      <c r="W1" s="2"/>
      <c r="X1" s="2"/>
      <c r="Y1" s="2"/>
      <c r="Z1" s="2"/>
      <c r="AB1" s="1" t="s">
        <v>1212</v>
      </c>
      <c r="AC1" s="2"/>
      <c r="AD1" s="2"/>
      <c r="AE1" s="2"/>
      <c r="AF1" s="2"/>
      <c r="AG1" s="2"/>
      <c r="AH1" s="2"/>
      <c r="AI1" s="2"/>
      <c r="AJ1" s="2"/>
      <c r="AK1" s="2"/>
    </row>
    <row r="2" spans="1:37">
      <c r="A2" s="1" t="s">
        <v>732</v>
      </c>
      <c r="O2" s="1" t="s">
        <v>732</v>
      </c>
      <c r="P2" s="2"/>
      <c r="Q2" s="2"/>
      <c r="R2" s="2"/>
      <c r="S2" s="2"/>
      <c r="T2" s="2"/>
      <c r="U2" s="2"/>
      <c r="V2" s="2"/>
      <c r="W2" s="2"/>
      <c r="X2" s="2"/>
      <c r="Y2" s="2"/>
      <c r="Z2" s="2"/>
      <c r="AB2" s="1" t="s">
        <v>732</v>
      </c>
      <c r="AC2" s="2"/>
      <c r="AD2" s="2"/>
      <c r="AE2" s="2"/>
      <c r="AF2" s="2"/>
      <c r="AG2" s="2"/>
      <c r="AH2" s="2"/>
      <c r="AI2" s="2"/>
      <c r="AJ2" s="2"/>
      <c r="AK2" s="2"/>
    </row>
    <row r="3" spans="1:37">
      <c r="A3" s="1" t="s">
        <v>373</v>
      </c>
      <c r="O3" s="1" t="s">
        <v>373</v>
      </c>
      <c r="P3" s="2"/>
      <c r="Q3" s="2"/>
      <c r="R3" s="2"/>
      <c r="S3" s="2"/>
      <c r="T3" s="2"/>
      <c r="U3" s="2"/>
      <c r="V3" s="2"/>
      <c r="W3" s="2"/>
      <c r="X3" s="2"/>
      <c r="Y3" s="2"/>
      <c r="Z3" s="2"/>
      <c r="AB3" s="1" t="s">
        <v>373</v>
      </c>
      <c r="AC3" s="2"/>
      <c r="AD3" s="2"/>
      <c r="AE3" s="2"/>
      <c r="AF3" s="2"/>
      <c r="AG3" s="2"/>
      <c r="AH3" s="2"/>
      <c r="AI3" s="2"/>
      <c r="AJ3" s="2"/>
      <c r="AK3" s="2"/>
    </row>
    <row r="4" spans="1:37">
      <c r="O4" s="2"/>
      <c r="P4" s="2"/>
      <c r="Q4" s="2"/>
      <c r="R4" s="2"/>
      <c r="S4" s="2"/>
      <c r="T4" s="2"/>
      <c r="U4" s="2"/>
      <c r="V4" s="2"/>
      <c r="W4" s="2"/>
      <c r="X4" s="2"/>
      <c r="Y4" s="2"/>
      <c r="Z4" s="2"/>
      <c r="AB4" s="2"/>
      <c r="AC4" s="2"/>
      <c r="AD4" s="2"/>
      <c r="AE4" s="2"/>
      <c r="AF4" s="2"/>
      <c r="AG4" s="2"/>
      <c r="AH4" s="2"/>
      <c r="AI4" s="2"/>
      <c r="AJ4" s="2"/>
      <c r="AK4" s="2"/>
    </row>
    <row r="5" spans="1:37" ht="16.2" customHeight="1">
      <c r="A5" s="1639" t="s">
        <v>1211</v>
      </c>
      <c r="B5" s="1639"/>
      <c r="C5" s="1639"/>
      <c r="D5" s="1639"/>
      <c r="E5" s="7"/>
      <c r="F5" s="7"/>
      <c r="G5" s="7"/>
      <c r="H5" s="7"/>
      <c r="I5" s="7"/>
      <c r="J5" s="7"/>
      <c r="K5" s="7"/>
      <c r="L5" s="7"/>
      <c r="M5" s="7"/>
      <c r="O5" s="6" t="s">
        <v>4</v>
      </c>
      <c r="P5" s="2"/>
      <c r="Q5" s="2"/>
      <c r="R5" s="2"/>
      <c r="S5" s="2"/>
      <c r="T5" s="2"/>
      <c r="U5" s="2"/>
      <c r="V5" s="2"/>
      <c r="W5" s="2"/>
      <c r="X5" s="2"/>
      <c r="Y5" s="2"/>
      <c r="Z5" s="2"/>
      <c r="AB5" s="6" t="s">
        <v>4</v>
      </c>
      <c r="AC5" s="2"/>
      <c r="AD5" s="2"/>
      <c r="AE5" s="2"/>
      <c r="AF5" s="2"/>
      <c r="AG5" s="2"/>
      <c r="AH5" s="2"/>
      <c r="AI5" s="2"/>
      <c r="AJ5" s="2"/>
      <c r="AK5" s="2"/>
    </row>
    <row r="6" spans="1:37">
      <c r="A6" s="1639"/>
      <c r="B6" s="1639"/>
      <c r="C6" s="1639"/>
      <c r="D6" s="1639"/>
      <c r="E6" s="7"/>
      <c r="F6" s="7"/>
      <c r="G6" s="7"/>
      <c r="H6" s="7"/>
      <c r="I6" s="7"/>
      <c r="J6" s="7"/>
      <c r="K6" s="7"/>
      <c r="L6" s="7"/>
      <c r="M6" s="7"/>
      <c r="O6" s="2"/>
      <c r="P6" s="2"/>
      <c r="Q6" s="2"/>
      <c r="R6" s="2"/>
      <c r="S6" s="2"/>
      <c r="T6" s="2"/>
      <c r="U6" s="2"/>
      <c r="V6" s="2"/>
      <c r="W6" s="2"/>
      <c r="X6" s="2"/>
      <c r="Y6" s="2"/>
      <c r="Z6" s="2"/>
      <c r="AB6" s="2"/>
      <c r="AC6" s="2"/>
      <c r="AD6" s="2"/>
      <c r="AE6" s="2"/>
      <c r="AF6" s="2"/>
      <c r="AG6" s="2"/>
      <c r="AH6" s="2"/>
      <c r="AI6" s="2"/>
      <c r="AJ6" s="2"/>
      <c r="AK6" s="2"/>
    </row>
    <row r="7" spans="1:37" ht="15.6" customHeight="1">
      <c r="A7" s="776"/>
      <c r="B7" s="776"/>
      <c r="C7" s="776"/>
      <c r="D7" s="776"/>
      <c r="E7" s="7"/>
      <c r="F7" s="7"/>
      <c r="G7" s="7"/>
      <c r="H7" s="7"/>
      <c r="I7" s="7"/>
      <c r="J7" s="7"/>
      <c r="K7" s="7"/>
      <c r="L7" s="7"/>
      <c r="M7" s="7"/>
      <c r="O7" s="2" t="s">
        <v>687</v>
      </c>
      <c r="P7" s="8" t="str">
        <f>B35</f>
        <v xml:space="preserve">(3 points)  Calculate the 2023 Net Periodic Pension Cost under ASC 715 assuming no experience gains or losses.  </v>
      </c>
      <c r="Q7" s="9"/>
      <c r="R7" s="9"/>
      <c r="S7" s="9"/>
      <c r="T7" s="9"/>
      <c r="U7" s="9"/>
      <c r="V7" s="9"/>
      <c r="W7" s="9"/>
      <c r="X7" s="9"/>
      <c r="Y7" s="9"/>
      <c r="Z7" s="9"/>
      <c r="AB7" s="2" t="s">
        <v>6</v>
      </c>
      <c r="AC7" s="8" t="str">
        <f>B46</f>
        <v xml:space="preserve">(3 points)  Calculate 2023 Net Periodic Pension Cost under ASC 715 based on these new assumptions.  </v>
      </c>
      <c r="AD7" s="8"/>
      <c r="AE7" s="8"/>
      <c r="AF7" s="8"/>
      <c r="AG7" s="8"/>
      <c r="AH7" s="8"/>
      <c r="AI7" s="8"/>
      <c r="AJ7" s="8"/>
      <c r="AK7" s="8"/>
    </row>
    <row r="8" spans="1:37" ht="15.6" customHeight="1">
      <c r="A8" s="2" t="s">
        <v>1210</v>
      </c>
      <c r="B8" s="7"/>
      <c r="C8" s="7"/>
      <c r="D8" s="7"/>
      <c r="E8" s="7"/>
      <c r="F8" s="7"/>
      <c r="G8" s="7"/>
      <c r="H8" s="7"/>
      <c r="I8" s="7"/>
      <c r="J8" s="7"/>
      <c r="K8" s="7"/>
      <c r="L8" s="7"/>
      <c r="M8" s="7"/>
      <c r="O8" s="2"/>
      <c r="P8" s="9"/>
      <c r="Q8" s="9"/>
      <c r="R8" s="9"/>
      <c r="S8" s="9"/>
      <c r="T8" s="9"/>
      <c r="U8" s="9"/>
      <c r="V8" s="9"/>
      <c r="W8" s="9"/>
      <c r="X8" s="9"/>
      <c r="Y8" s="9"/>
      <c r="Z8" s="9"/>
      <c r="AB8" s="2"/>
      <c r="AC8" s="8"/>
      <c r="AD8" s="8"/>
      <c r="AE8" s="8"/>
      <c r="AF8" s="8"/>
      <c r="AG8" s="8"/>
      <c r="AH8" s="8"/>
      <c r="AI8" s="8"/>
      <c r="AJ8" s="8"/>
      <c r="AK8" s="8"/>
    </row>
    <row r="9" spans="1:37" ht="15.75" customHeight="1">
      <c r="B9" s="7"/>
      <c r="C9" s="7"/>
      <c r="D9" s="7"/>
      <c r="E9" s="7"/>
      <c r="F9" s="7"/>
      <c r="G9" s="7"/>
      <c r="H9" s="7"/>
      <c r="I9" s="7"/>
      <c r="J9" s="7"/>
      <c r="K9" s="7"/>
      <c r="L9" s="7"/>
      <c r="M9" s="7"/>
      <c r="O9" s="2"/>
      <c r="P9" s="8" t="str">
        <f>B37</f>
        <v>Show all work.</v>
      </c>
      <c r="Q9" s="9"/>
      <c r="R9" s="9"/>
      <c r="S9" s="9"/>
      <c r="T9" s="9"/>
      <c r="U9" s="9"/>
      <c r="V9" s="9"/>
      <c r="W9" s="9"/>
      <c r="X9" s="9"/>
      <c r="Y9" s="9"/>
      <c r="Z9" s="9"/>
      <c r="AB9" s="2"/>
      <c r="AC9" s="8" t="str">
        <f>B48</f>
        <v>Show all work.</v>
      </c>
      <c r="AD9" s="8"/>
      <c r="AE9" s="8"/>
      <c r="AF9" s="8"/>
      <c r="AG9" s="8"/>
      <c r="AH9" s="8"/>
      <c r="AI9" s="8"/>
      <c r="AJ9" s="8"/>
      <c r="AK9" s="8"/>
    </row>
    <row r="10" spans="1:37">
      <c r="B10" s="680"/>
      <c r="C10" s="936" t="s">
        <v>1209</v>
      </c>
      <c r="O10" s="2"/>
      <c r="P10" s="28"/>
      <c r="Q10" s="5"/>
      <c r="R10" s="5"/>
      <c r="S10" s="5"/>
      <c r="T10" s="5"/>
      <c r="U10" s="5"/>
      <c r="V10" s="5"/>
      <c r="W10" s="5"/>
      <c r="X10" s="5"/>
      <c r="Y10" s="5"/>
      <c r="Z10" s="5"/>
      <c r="AB10" s="2"/>
      <c r="AC10" s="28"/>
      <c r="AD10" s="5"/>
      <c r="AE10" s="5"/>
      <c r="AF10" s="5"/>
      <c r="AG10" s="5"/>
      <c r="AH10" s="5"/>
      <c r="AI10" s="5"/>
      <c r="AJ10" s="5"/>
      <c r="AK10" s="5"/>
    </row>
    <row r="11" spans="1:37" ht="15.75" customHeight="1">
      <c r="B11" s="680" t="s">
        <v>1208</v>
      </c>
      <c r="C11" s="935">
        <v>1164740</v>
      </c>
    </row>
    <row r="12" spans="1:37">
      <c r="B12" s="680" t="s">
        <v>768</v>
      </c>
      <c r="C12" s="935">
        <v>1264714</v>
      </c>
      <c r="P12" s="950"/>
      <c r="Q12" s="950"/>
      <c r="R12" s="950">
        <v>2022</v>
      </c>
    </row>
    <row r="13" spans="1:37" ht="31.2">
      <c r="B13" s="703" t="s">
        <v>850</v>
      </c>
      <c r="C13" s="935">
        <v>373966.25</v>
      </c>
      <c r="P13" s="560"/>
      <c r="Q13" s="560"/>
      <c r="R13" s="560"/>
      <c r="AD13" s="950">
        <v>2022</v>
      </c>
    </row>
    <row r="14" spans="1:37" ht="15.75" customHeight="1">
      <c r="B14" s="680" t="s">
        <v>771</v>
      </c>
      <c r="C14" s="934">
        <v>3.7499999999999999E-2</v>
      </c>
      <c r="P14" s="604" t="s">
        <v>144</v>
      </c>
      <c r="Q14" s="560"/>
      <c r="R14" s="560"/>
      <c r="AC14" s="604" t="s">
        <v>144</v>
      </c>
    </row>
    <row r="15" spans="1:37">
      <c r="B15" s="680" t="s">
        <v>770</v>
      </c>
      <c r="C15" s="934">
        <v>6.25E-2</v>
      </c>
      <c r="P15" s="560" t="s">
        <v>1240</v>
      </c>
      <c r="Q15" s="565"/>
      <c r="R15" s="565">
        <f>C14</f>
        <v>3.7499999999999999E-2</v>
      </c>
      <c r="AC15" s="560" t="s">
        <v>1240</v>
      </c>
      <c r="AD15" s="949">
        <f>R15</f>
        <v>3.7499999999999999E-2</v>
      </c>
    </row>
    <row r="16" spans="1:37" ht="15.75" customHeight="1">
      <c r="P16" s="560" t="s">
        <v>1239</v>
      </c>
      <c r="Q16" s="565"/>
      <c r="R16" s="565">
        <f>R15</f>
        <v>3.7499999999999999E-2</v>
      </c>
      <c r="AC16" s="560" t="s">
        <v>1239</v>
      </c>
      <c r="AD16" s="949">
        <f>AD15+C43</f>
        <v>4.2499999999999996E-2</v>
      </c>
    </row>
    <row r="17" spans="2:31">
      <c r="P17" s="560" t="s">
        <v>1238</v>
      </c>
      <c r="Q17" s="565"/>
      <c r="R17" s="565">
        <f>C15</f>
        <v>6.25E-2</v>
      </c>
      <c r="AC17" s="560" t="s">
        <v>1238</v>
      </c>
      <c r="AD17" s="949">
        <f>R17</f>
        <v>6.25E-2</v>
      </c>
    </row>
    <row r="18" spans="2:31">
      <c r="B18" s="680"/>
      <c r="C18" s="933">
        <v>2022</v>
      </c>
      <c r="D18" s="932">
        <v>2023</v>
      </c>
      <c r="P18" s="560" t="s">
        <v>1237</v>
      </c>
      <c r="Q18" s="565"/>
      <c r="R18" s="565">
        <f>R17</f>
        <v>6.25E-2</v>
      </c>
      <c r="AC18" s="560" t="s">
        <v>1237</v>
      </c>
      <c r="AD18" s="949">
        <f>R18</f>
        <v>6.25E-2</v>
      </c>
    </row>
    <row r="19" spans="2:31">
      <c r="B19" s="680" t="s">
        <v>1207</v>
      </c>
      <c r="C19" s="928">
        <v>59347</v>
      </c>
      <c r="D19" s="927">
        <v>61127</v>
      </c>
      <c r="P19" s="560" t="s">
        <v>1236</v>
      </c>
      <c r="R19" s="948">
        <f>C28/100</f>
        <v>0.15</v>
      </c>
      <c r="AC19" s="560" t="s">
        <v>1236</v>
      </c>
      <c r="AD19" s="947">
        <f>R19</f>
        <v>0.15</v>
      </c>
    </row>
    <row r="20" spans="2:31">
      <c r="B20" s="680" t="s">
        <v>1041</v>
      </c>
      <c r="C20" s="928">
        <v>45155</v>
      </c>
      <c r="D20" s="927"/>
      <c r="P20" s="560" t="s">
        <v>1235</v>
      </c>
      <c r="R20" s="948">
        <f>C29/100</f>
        <v>0.2</v>
      </c>
      <c r="AC20" s="560" t="s">
        <v>1235</v>
      </c>
      <c r="AD20" s="947">
        <f>R20</f>
        <v>0.2</v>
      </c>
    </row>
    <row r="21" spans="2:31">
      <c r="B21" s="703" t="s">
        <v>770</v>
      </c>
      <c r="C21" s="931">
        <v>-78918</v>
      </c>
      <c r="D21" s="930"/>
      <c r="P21" s="560"/>
      <c r="Q21" s="560"/>
      <c r="R21" s="560"/>
      <c r="S21" s="37"/>
      <c r="AC21" s="560"/>
    </row>
    <row r="22" spans="2:31">
      <c r="B22" s="680" t="s">
        <v>1206</v>
      </c>
      <c r="C22" s="928">
        <v>20798</v>
      </c>
      <c r="D22" s="927"/>
      <c r="P22" s="560" t="s">
        <v>938</v>
      </c>
      <c r="Q22" s="560"/>
      <c r="R22" s="560"/>
      <c r="AC22" s="560" t="s">
        <v>938</v>
      </c>
    </row>
    <row r="23" spans="2:31">
      <c r="B23" s="680" t="s">
        <v>1205</v>
      </c>
      <c r="C23" s="928">
        <v>46382</v>
      </c>
      <c r="D23" s="927"/>
      <c r="G23" s="581"/>
      <c r="H23" s="581"/>
      <c r="I23" s="581"/>
      <c r="J23" s="581"/>
      <c r="K23" s="581"/>
      <c r="L23" s="581"/>
      <c r="P23" s="560" t="s">
        <v>1234</v>
      </c>
      <c r="Q23" s="724"/>
      <c r="R23" s="889">
        <f>C11</f>
        <v>1164740</v>
      </c>
      <c r="S23" s="37"/>
      <c r="AC23" s="560" t="s">
        <v>1234</v>
      </c>
      <c r="AD23" s="941">
        <f>R23</f>
        <v>1164740</v>
      </c>
      <c r="AE23" s="929"/>
    </row>
    <row r="24" spans="2:31">
      <c r="B24" s="680" t="s">
        <v>114</v>
      </c>
      <c r="C24" s="928">
        <v>35849</v>
      </c>
      <c r="D24" s="927">
        <v>36207</v>
      </c>
      <c r="G24" s="581"/>
      <c r="H24" s="581"/>
      <c r="I24" s="581"/>
      <c r="J24" s="581"/>
      <c r="K24" s="581"/>
      <c r="L24" s="581"/>
      <c r="P24" s="560" t="s">
        <v>1218</v>
      </c>
      <c r="Q24" s="724"/>
      <c r="R24" s="889">
        <f>C19</f>
        <v>59347</v>
      </c>
      <c r="S24" s="37"/>
      <c r="AC24" s="560" t="s">
        <v>1218</v>
      </c>
      <c r="AD24" s="941">
        <f>R24</f>
        <v>59347</v>
      </c>
    </row>
    <row r="25" spans="2:31">
      <c r="B25" s="680" t="s">
        <v>1204</v>
      </c>
      <c r="C25" s="928">
        <v>39900</v>
      </c>
      <c r="D25" s="927">
        <v>42294</v>
      </c>
      <c r="P25" s="560" t="s">
        <v>1217</v>
      </c>
      <c r="Q25" s="724"/>
      <c r="R25" s="889">
        <f>C20</f>
        <v>45155</v>
      </c>
      <c r="S25" s="37"/>
      <c r="AC25" s="560" t="s">
        <v>1217</v>
      </c>
      <c r="AD25" s="941">
        <f>R25</f>
        <v>45155</v>
      </c>
    </row>
    <row r="26" spans="2:31">
      <c r="B26" s="680" t="s">
        <v>758</v>
      </c>
      <c r="C26" s="925">
        <v>11.8</v>
      </c>
      <c r="D26" s="926">
        <v>12.3</v>
      </c>
      <c r="P26" s="560" t="s">
        <v>543</v>
      </c>
      <c r="Q26" s="724"/>
      <c r="R26" s="889">
        <f>-C25</f>
        <v>-39900</v>
      </c>
      <c r="AC26" s="560" t="s">
        <v>543</v>
      </c>
      <c r="AD26" s="941">
        <f>R26</f>
        <v>-39900</v>
      </c>
    </row>
    <row r="27" spans="2:31">
      <c r="B27" s="720"/>
      <c r="C27" s="720"/>
      <c r="D27" s="720"/>
      <c r="P27" s="560" t="s">
        <v>1233</v>
      </c>
      <c r="Q27" s="724"/>
      <c r="R27" s="889">
        <v>0</v>
      </c>
      <c r="AC27" s="560" t="s">
        <v>1233</v>
      </c>
      <c r="AD27" s="941">
        <f>ROUND(SUM(AD23:AD26)*((1+AD19)^(100*(AD15-AD16))-1),0)</f>
        <v>-82975</v>
      </c>
    </row>
    <row r="28" spans="2:31">
      <c r="B28" s="680" t="s">
        <v>1203</v>
      </c>
      <c r="C28" s="925">
        <v>15</v>
      </c>
      <c r="P28" s="560" t="s">
        <v>1232</v>
      </c>
      <c r="Q28" s="724"/>
      <c r="R28" s="889">
        <f>SUM(R23:R27)</f>
        <v>1229342</v>
      </c>
      <c r="AC28" s="560" t="s">
        <v>1232</v>
      </c>
      <c r="AD28" s="941">
        <f>SUM(AD23:AD27)</f>
        <v>1146367</v>
      </c>
    </row>
    <row r="29" spans="2:31" ht="15.75" customHeight="1">
      <c r="B29" s="680" t="s">
        <v>1202</v>
      </c>
      <c r="C29" s="925">
        <v>20</v>
      </c>
      <c r="D29" s="5"/>
      <c r="P29" s="560"/>
      <c r="Q29" s="560"/>
      <c r="R29" s="889"/>
      <c r="AC29" s="560"/>
      <c r="AD29" s="941"/>
    </row>
    <row r="30" spans="2:31">
      <c r="B30" s="5"/>
      <c r="C30" s="5"/>
      <c r="D30" s="5"/>
      <c r="E30" s="5"/>
      <c r="F30" s="5"/>
      <c r="G30" s="5"/>
      <c r="H30" s="5"/>
      <c r="I30" s="5"/>
      <c r="J30" s="5"/>
      <c r="K30" s="5"/>
      <c r="L30" s="5"/>
      <c r="P30" s="604" t="s">
        <v>541</v>
      </c>
      <c r="Q30" s="560"/>
      <c r="R30" s="889"/>
      <c r="AC30" s="604" t="s">
        <v>541</v>
      </c>
      <c r="AD30" s="941"/>
    </row>
    <row r="31" spans="2:31">
      <c r="B31" s="703" t="s">
        <v>156</v>
      </c>
      <c r="C31" s="1660" t="s">
        <v>1201</v>
      </c>
      <c r="D31" s="1660"/>
      <c r="E31" s="5"/>
      <c r="F31" s="5"/>
      <c r="G31" s="5"/>
      <c r="H31" s="5"/>
      <c r="I31" s="5"/>
      <c r="J31" s="5"/>
      <c r="K31" s="5"/>
      <c r="L31" s="5"/>
      <c r="P31" s="560" t="s">
        <v>1231</v>
      </c>
      <c r="Q31" s="724"/>
      <c r="R31" s="889">
        <f>C12</f>
        <v>1264714</v>
      </c>
      <c r="AC31" s="560" t="s">
        <v>1231</v>
      </c>
      <c r="AD31" s="941">
        <f>R31</f>
        <v>1264714</v>
      </c>
    </row>
    <row r="32" spans="2:31">
      <c r="B32" s="703" t="s">
        <v>62</v>
      </c>
      <c r="C32" s="1660" t="s">
        <v>1200</v>
      </c>
      <c r="D32" s="1660"/>
      <c r="E32" s="5"/>
      <c r="F32" s="5"/>
      <c r="G32" s="5"/>
      <c r="H32" s="5"/>
      <c r="I32" s="5"/>
      <c r="J32" s="5"/>
      <c r="K32" s="5"/>
      <c r="L32" s="5"/>
      <c r="P32" s="560" t="s">
        <v>1230</v>
      </c>
      <c r="Q32" s="724"/>
      <c r="R32" s="889">
        <f>C24</f>
        <v>35849</v>
      </c>
      <c r="AC32" s="560" t="s">
        <v>1230</v>
      </c>
      <c r="AD32" s="941">
        <f>R32</f>
        <v>35849</v>
      </c>
    </row>
    <row r="33" spans="1:30" ht="33" customHeight="1">
      <c r="B33" s="924" t="s">
        <v>805</v>
      </c>
      <c r="C33" s="1660" t="s">
        <v>1199</v>
      </c>
      <c r="D33" s="1660"/>
      <c r="E33" s="5"/>
      <c r="F33" s="5"/>
      <c r="G33" s="5"/>
      <c r="H33" s="5"/>
      <c r="I33" s="5"/>
      <c r="J33" s="5"/>
      <c r="K33" s="5"/>
      <c r="L33" s="5"/>
      <c r="P33" s="560" t="s">
        <v>543</v>
      </c>
      <c r="Q33" s="724"/>
      <c r="R33" s="889">
        <f>-C25</f>
        <v>-39900</v>
      </c>
      <c r="AC33" s="560" t="s">
        <v>543</v>
      </c>
      <c r="AD33" s="941">
        <f>R33</f>
        <v>-39900</v>
      </c>
    </row>
    <row r="34" spans="1:30">
      <c r="E34" s="5"/>
      <c r="F34" s="5"/>
      <c r="G34" s="5"/>
      <c r="H34" s="5"/>
      <c r="I34" s="5"/>
      <c r="J34" s="5"/>
      <c r="K34" s="5"/>
      <c r="L34" s="5"/>
      <c r="P34" s="560" t="s">
        <v>1229</v>
      </c>
      <c r="Q34" s="724"/>
      <c r="R34" s="889">
        <f>-C21</f>
        <v>78918</v>
      </c>
      <c r="AC34" s="560" t="s">
        <v>1229</v>
      </c>
      <c r="AD34" s="941">
        <f>AD35-AD31-AD32-AD33</f>
        <v>103337</v>
      </c>
    </row>
    <row r="35" spans="1:30">
      <c r="A35" s="2" t="s">
        <v>1198</v>
      </c>
      <c r="B35" s="2" t="s">
        <v>1197</v>
      </c>
      <c r="C35" s="776"/>
      <c r="D35" s="776"/>
      <c r="E35" s="5"/>
      <c r="F35" s="5"/>
      <c r="G35" s="5"/>
      <c r="H35" s="5"/>
      <c r="I35" s="5"/>
      <c r="J35" s="5"/>
      <c r="K35" s="5"/>
      <c r="L35" s="5"/>
      <c r="P35" s="560" t="s">
        <v>1228</v>
      </c>
      <c r="Q35" s="724"/>
      <c r="R35" s="889">
        <f>SUM(R31:R34)</f>
        <v>1339581</v>
      </c>
      <c r="AC35" s="560" t="s">
        <v>1228</v>
      </c>
      <c r="AD35" s="941">
        <f>C44</f>
        <v>1364000</v>
      </c>
    </row>
    <row r="36" spans="1:30" ht="15.75" customHeight="1">
      <c r="B36" s="776"/>
      <c r="C36" s="776"/>
      <c r="D36" s="776"/>
      <c r="P36" s="560"/>
      <c r="Q36" s="946"/>
      <c r="R36" s="945"/>
      <c r="AC36" s="560"/>
      <c r="AD36" s="941"/>
    </row>
    <row r="37" spans="1:30">
      <c r="B37" s="776" t="s">
        <v>683</v>
      </c>
      <c r="C37" s="776"/>
      <c r="D37" s="776"/>
      <c r="E37" s="776"/>
      <c r="F37" s="776"/>
      <c r="G37" s="776"/>
      <c r="H37" s="776"/>
      <c r="I37" s="776"/>
      <c r="J37" s="776"/>
      <c r="K37" s="776"/>
      <c r="L37" s="776"/>
      <c r="M37" s="776"/>
      <c r="P37" s="560"/>
      <c r="Q37" s="724"/>
      <c r="R37" s="889"/>
      <c r="AC37" s="560"/>
      <c r="AD37" s="941"/>
    </row>
    <row r="38" spans="1:30" ht="15.75" customHeight="1">
      <c r="B38" s="776"/>
      <c r="C38" s="776"/>
      <c r="D38" s="776"/>
      <c r="E38" s="776"/>
      <c r="F38" s="776"/>
      <c r="G38" s="776"/>
      <c r="H38" s="776"/>
      <c r="I38" s="776"/>
      <c r="J38" s="776"/>
      <c r="K38" s="776"/>
      <c r="L38" s="776"/>
      <c r="M38" s="776"/>
      <c r="P38" s="560"/>
      <c r="Q38" s="724"/>
      <c r="R38" s="889"/>
      <c r="AC38" s="560"/>
      <c r="AD38" s="941"/>
    </row>
    <row r="39" spans="1:30" ht="16.2">
      <c r="B39" s="29" t="s">
        <v>32</v>
      </c>
      <c r="E39" s="776"/>
      <c r="F39" s="776"/>
      <c r="G39" s="776"/>
      <c r="H39" s="776"/>
      <c r="I39" s="776"/>
      <c r="J39" s="776"/>
      <c r="K39" s="776"/>
      <c r="L39" s="776"/>
      <c r="M39" s="776"/>
      <c r="P39" s="604" t="s">
        <v>1227</v>
      </c>
      <c r="Q39" s="560"/>
      <c r="R39" s="889"/>
      <c r="AC39" s="604" t="s">
        <v>1227</v>
      </c>
      <c r="AD39" s="941"/>
    </row>
    <row r="40" spans="1:30">
      <c r="E40" s="776"/>
      <c r="F40" s="776"/>
      <c r="G40" s="776"/>
      <c r="H40" s="776"/>
      <c r="I40" s="776"/>
      <c r="J40" s="776"/>
      <c r="K40" s="776"/>
      <c r="L40" s="776"/>
      <c r="M40" s="776"/>
      <c r="P40" s="560" t="s">
        <v>1226</v>
      </c>
      <c r="Q40" s="724"/>
      <c r="R40" s="889">
        <f>C13</f>
        <v>373966.25</v>
      </c>
      <c r="AC40" s="560" t="s">
        <v>1226</v>
      </c>
      <c r="AD40" s="941">
        <f>R40</f>
        <v>373966.25</v>
      </c>
    </row>
    <row r="41" spans="1:30">
      <c r="A41" s="2" t="s">
        <v>1196</v>
      </c>
      <c r="P41" s="560" t="s">
        <v>1216</v>
      </c>
      <c r="Q41" s="724"/>
      <c r="R41" s="889">
        <f>-C22</f>
        <v>-20798</v>
      </c>
      <c r="AC41" s="560" t="s">
        <v>1216</v>
      </c>
      <c r="AD41" s="941">
        <f>R41</f>
        <v>-20798</v>
      </c>
    </row>
    <row r="42" spans="1:30">
      <c r="P42" s="560" t="s">
        <v>1225</v>
      </c>
      <c r="Q42" s="724"/>
      <c r="R42" s="889">
        <v>0</v>
      </c>
      <c r="AC42" s="560" t="s">
        <v>1225</v>
      </c>
      <c r="AD42" s="941">
        <f>AD27-R27</f>
        <v>-82975</v>
      </c>
    </row>
    <row r="43" spans="1:30">
      <c r="B43" s="680" t="s">
        <v>1195</v>
      </c>
      <c r="C43" s="923">
        <v>5.0000000000000001E-3</v>
      </c>
      <c r="P43" s="560" t="s">
        <v>1224</v>
      </c>
      <c r="Q43" s="724"/>
      <c r="R43" s="889">
        <v>0</v>
      </c>
      <c r="AC43" s="560" t="s">
        <v>1224</v>
      </c>
      <c r="AD43" s="941">
        <f>-(AD34-R34)</f>
        <v>-24419</v>
      </c>
    </row>
    <row r="44" spans="1:30">
      <c r="B44" s="680" t="s">
        <v>1194</v>
      </c>
      <c r="C44" s="922">
        <v>1364000</v>
      </c>
      <c r="P44" s="560" t="s">
        <v>1223</v>
      </c>
      <c r="Q44" s="724"/>
      <c r="R44" s="889">
        <f>SUM(R40:R43)</f>
        <v>353168.25</v>
      </c>
      <c r="AC44" s="560" t="s">
        <v>1223</v>
      </c>
      <c r="AD44" s="941">
        <f>SUM(AD40:AD43)</f>
        <v>245774.25</v>
      </c>
    </row>
    <row r="45" spans="1:30">
      <c r="P45" s="560"/>
      <c r="Q45" s="560"/>
      <c r="R45" s="889"/>
      <c r="AC45" s="560"/>
      <c r="AD45" s="941"/>
    </row>
    <row r="46" spans="1:30">
      <c r="A46" s="2" t="s">
        <v>6</v>
      </c>
      <c r="B46" s="2" t="s">
        <v>1193</v>
      </c>
      <c r="P46" s="560" t="s">
        <v>1222</v>
      </c>
      <c r="Q46" s="724"/>
      <c r="R46" s="889">
        <f>0.1*MAX(R28,R35)</f>
        <v>133958.1</v>
      </c>
      <c r="AC46" s="560" t="s">
        <v>1222</v>
      </c>
      <c r="AD46" s="889">
        <f>0.1*MAX(AD28,AD35)</f>
        <v>136400</v>
      </c>
    </row>
    <row r="47" spans="1:30">
      <c r="P47" s="560" t="s">
        <v>1221</v>
      </c>
      <c r="Q47" s="724"/>
      <c r="R47" s="889">
        <f>ROUND((R44-R46)/R48,0)</f>
        <v>17822</v>
      </c>
      <c r="AC47" s="560" t="s">
        <v>1221</v>
      </c>
      <c r="AD47" s="889">
        <f>ROUND((AD44-AD46)/AD48,0)</f>
        <v>8892</v>
      </c>
    </row>
    <row r="48" spans="1:30">
      <c r="B48" s="2" t="s">
        <v>683</v>
      </c>
      <c r="P48" s="560" t="s">
        <v>1220</v>
      </c>
      <c r="Q48" s="560"/>
      <c r="R48" s="889">
        <f>D26</f>
        <v>12.3</v>
      </c>
      <c r="AC48" s="560" t="s">
        <v>1220</v>
      </c>
      <c r="AD48" s="941">
        <f>R48</f>
        <v>12.3</v>
      </c>
    </row>
    <row r="49" spans="2:30">
      <c r="P49" s="560"/>
      <c r="Q49" s="560"/>
      <c r="R49" s="889"/>
      <c r="AC49" s="560"/>
      <c r="AD49" s="941"/>
    </row>
    <row r="50" spans="2:30" ht="16.2">
      <c r="B50" s="29" t="s">
        <v>32</v>
      </c>
      <c r="P50" s="604" t="s">
        <v>1219</v>
      </c>
      <c r="Q50" s="560"/>
      <c r="R50" s="603">
        <v>2023</v>
      </c>
      <c r="AC50" s="604" t="s">
        <v>1219</v>
      </c>
      <c r="AD50" s="603">
        <v>2023</v>
      </c>
    </row>
    <row r="51" spans="2:30">
      <c r="P51" s="560" t="s">
        <v>1218</v>
      </c>
      <c r="Q51" s="724"/>
      <c r="R51" s="889">
        <f>D19</f>
        <v>61127</v>
      </c>
      <c r="AC51" s="560" t="s">
        <v>1218</v>
      </c>
      <c r="AD51" s="889">
        <f>R51*(1+AD20)^(100*(AD15-AD16))</f>
        <v>55801.06128769715</v>
      </c>
    </row>
    <row r="52" spans="2:30">
      <c r="P52" s="560" t="s">
        <v>1217</v>
      </c>
      <c r="Q52" s="724"/>
      <c r="R52" s="889">
        <f>+ROUND((R28+R51)*R16+R58*R16*0.5,0)</f>
        <v>47600</v>
      </c>
      <c r="AC52" s="560" t="s">
        <v>1217</v>
      </c>
      <c r="AD52" s="889">
        <f>+ROUND((AD28+AD51)*AD16+AD58*AD16*0.5,0)</f>
        <v>50193</v>
      </c>
    </row>
    <row r="53" spans="2:30">
      <c r="P53" s="560" t="s">
        <v>1144</v>
      </c>
      <c r="Q53" s="724"/>
      <c r="R53" s="889">
        <f>-ROUND(R35*R18+SUM(R57:R58)*R18*0.5,0)</f>
        <v>-83534</v>
      </c>
      <c r="AC53" s="560" t="s">
        <v>1144</v>
      </c>
      <c r="AD53" s="889">
        <f>-ROUND(AD35*AD18+SUM(AD57:AD58)*AD18*0.5,0)</f>
        <v>-85060</v>
      </c>
    </row>
    <row r="54" spans="2:30">
      <c r="P54" s="560" t="s">
        <v>1216</v>
      </c>
      <c r="Q54" s="724"/>
      <c r="R54" s="889">
        <f>R47</f>
        <v>17822</v>
      </c>
      <c r="AC54" s="560" t="s">
        <v>1216</v>
      </c>
      <c r="AD54" s="889">
        <f>AD47</f>
        <v>8892</v>
      </c>
    </row>
    <row r="55" spans="2:30">
      <c r="P55" s="603" t="s">
        <v>1215</v>
      </c>
      <c r="Q55" s="944"/>
      <c r="R55" s="943">
        <f>SUM(R51:R54)</f>
        <v>43015</v>
      </c>
      <c r="AC55" s="603" t="s">
        <v>1215</v>
      </c>
      <c r="AD55" s="943">
        <f>SUM(AD51:AD54)</f>
        <v>29826.061287697143</v>
      </c>
    </row>
    <row r="56" spans="2:30">
      <c r="P56" s="560"/>
      <c r="Q56" s="560"/>
      <c r="R56" s="889"/>
      <c r="AC56" s="560"/>
      <c r="AD56" s="941"/>
    </row>
    <row r="57" spans="2:30">
      <c r="P57" s="560" t="s">
        <v>1214</v>
      </c>
      <c r="Q57" s="724"/>
      <c r="R57" s="889">
        <f>D24</f>
        <v>36207</v>
      </c>
      <c r="AC57" s="560" t="s">
        <v>1214</v>
      </c>
      <c r="AD57" s="941">
        <f>R57</f>
        <v>36207</v>
      </c>
    </row>
    <row r="58" spans="2:30">
      <c r="P58" s="560" t="s">
        <v>1213</v>
      </c>
      <c r="Q58" s="724"/>
      <c r="R58" s="889">
        <f>-D25</f>
        <v>-42294</v>
      </c>
      <c r="AC58" s="560" t="s">
        <v>1213</v>
      </c>
      <c r="AD58" s="941">
        <f>R58</f>
        <v>-42294</v>
      </c>
    </row>
    <row r="59" spans="2:30">
      <c r="R59" s="942"/>
      <c r="AD59" s="941"/>
    </row>
    <row r="60" spans="2:30">
      <c r="P60" s="845"/>
      <c r="R60" s="942"/>
      <c r="AD60" s="941"/>
    </row>
    <row r="61" spans="2:30">
      <c r="AD61" s="941"/>
    </row>
    <row r="62" spans="2:30">
      <c r="P62" s="34"/>
    </row>
    <row r="63" spans="2:30">
      <c r="P63" s="34"/>
    </row>
    <row r="64" spans="2:30" ht="15.75" customHeight="1">
      <c r="P64" s="35"/>
    </row>
    <row r="65" spans="16:18">
      <c r="P65" s="34"/>
    </row>
    <row r="66" spans="16:18">
      <c r="P66" s="34"/>
    </row>
    <row r="67" spans="16:18">
      <c r="P67" s="34"/>
    </row>
    <row r="71" spans="16:18">
      <c r="P71" s="35"/>
    </row>
    <row r="74" spans="16:18">
      <c r="P74" s="36"/>
    </row>
    <row r="75" spans="16:18">
      <c r="P75" s="36"/>
    </row>
    <row r="76" spans="16:18">
      <c r="P76" s="35"/>
      <c r="R76" s="37"/>
    </row>
    <row r="77" spans="16:18">
      <c r="P77" s="35"/>
    </row>
    <row r="78" spans="16:18">
      <c r="P78" s="35"/>
    </row>
    <row r="79" spans="16:18">
      <c r="P79" s="36"/>
    </row>
    <row r="80" spans="16:18">
      <c r="P80" s="35"/>
    </row>
    <row r="81" spans="16:18">
      <c r="P81" s="35"/>
    </row>
    <row r="82" spans="16:18">
      <c r="P82" s="35"/>
    </row>
    <row r="83" spans="16:18">
      <c r="P83" s="36"/>
    </row>
    <row r="84" spans="16:18">
      <c r="P84" s="35"/>
    </row>
    <row r="85" spans="16:18">
      <c r="P85" s="35"/>
    </row>
    <row r="86" spans="16:18">
      <c r="P86" s="36"/>
    </row>
    <row r="87" spans="16:18">
      <c r="P87" s="36"/>
    </row>
    <row r="88" spans="16:18">
      <c r="P88" s="36"/>
    </row>
    <row r="96" spans="16:18">
      <c r="R96" s="939"/>
    </row>
    <row r="98" spans="17:20">
      <c r="R98" s="939"/>
    </row>
    <row r="99" spans="17:20">
      <c r="R99" s="939"/>
    </row>
    <row r="102" spans="17:20">
      <c r="R102" s="940"/>
    </row>
    <row r="103" spans="17:20">
      <c r="R103" s="939"/>
    </row>
    <row r="105" spans="17:20">
      <c r="R105" s="37"/>
    </row>
    <row r="106" spans="17:20">
      <c r="R106" s="938"/>
    </row>
    <row r="107" spans="17:20">
      <c r="Q107" s="35"/>
    </row>
    <row r="108" spans="17:20">
      <c r="Q108" s="35"/>
    </row>
    <row r="110" spans="17:20">
      <c r="Q110" s="40"/>
      <c r="R110" s="41"/>
      <c r="T110" s="41"/>
    </row>
    <row r="111" spans="17:20">
      <c r="Q111" s="37"/>
      <c r="R111" s="37"/>
      <c r="S111" s="38"/>
      <c r="T111" s="37"/>
    </row>
    <row r="112" spans="17:20">
      <c r="Q112" s="37"/>
      <c r="R112" s="37"/>
      <c r="S112" s="38"/>
      <c r="T112" s="37"/>
    </row>
    <row r="113" spans="16:20">
      <c r="Q113" s="37"/>
      <c r="R113" s="37"/>
      <c r="S113" s="38"/>
      <c r="T113" s="37"/>
    </row>
    <row r="114" spans="16:20">
      <c r="Q114" s="42"/>
      <c r="R114" s="937"/>
      <c r="S114" s="42"/>
      <c r="T114" s="42"/>
    </row>
    <row r="119" spans="16:20">
      <c r="P119" s="43"/>
    </row>
    <row r="121" spans="16:20">
      <c r="P121" s="34"/>
    </row>
    <row r="122" spans="16:20">
      <c r="P122" s="34"/>
    </row>
    <row r="123" spans="16:20">
      <c r="P123" s="34"/>
    </row>
    <row r="124" spans="16:20">
      <c r="P124" s="34"/>
    </row>
    <row r="125" spans="16:20">
      <c r="Q125" s="44"/>
    </row>
    <row r="128" spans="16:20">
      <c r="P128" s="38"/>
      <c r="R128" s="45"/>
      <c r="S128" s="45"/>
      <c r="T128" s="46"/>
    </row>
    <row r="129" spans="15:20">
      <c r="R129" s="34"/>
      <c r="S129" s="47"/>
      <c r="T129" s="34"/>
    </row>
    <row r="130" spans="15:20">
      <c r="R130" s="34"/>
      <c r="S130" s="47"/>
      <c r="T130" s="34"/>
    </row>
    <row r="131" spans="15:20">
      <c r="S131" s="49"/>
      <c r="T131" s="34"/>
    </row>
    <row r="132" spans="15:20">
      <c r="R132" s="34"/>
      <c r="S132" s="34"/>
      <c r="T132" s="34"/>
    </row>
    <row r="136" spans="15:20">
      <c r="O136" s="50"/>
    </row>
  </sheetData>
  <sheetProtection algorithmName="SHA-512" hashValue="uGKcbLk38K6i+DmqP/RsYPfhQkza8DdlN4/CmOO/igM5PbsCNnl21INUOaVWL4DWZQU8/jZ1uNJS/QlPHORxcA==" saltValue="Df3meCE9ESJTFCo/ZVkXZw==" spinCount="100000" sheet="1" formatCells="0" formatColumns="0" formatRows="0" insertColumns="0" insertRows="0"/>
  <mergeCells count="4">
    <mergeCell ref="A5:D6"/>
    <mergeCell ref="C31:D31"/>
    <mergeCell ref="C32:D32"/>
    <mergeCell ref="C33:D33"/>
  </mergeCell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5D01F-24A9-4DFC-A6BF-BE3DBC9E2D09}">
  <dimension ref="A1:AB132"/>
  <sheetViews>
    <sheetView zoomScale="70" zoomScaleNormal="70" workbookViewId="0">
      <selection sqref="A1:XFD1048576"/>
    </sheetView>
  </sheetViews>
  <sheetFormatPr defaultRowHeight="15.6"/>
  <cols>
    <col min="1" max="1" width="3.6640625" style="2" customWidth="1"/>
    <col min="2" max="2" width="51.109375" style="2" customWidth="1"/>
    <col min="3" max="6" width="14" style="2" customWidth="1"/>
    <col min="7" max="7" width="10" style="2" hidden="1" customWidth="1"/>
    <col min="8" max="8" width="6.88671875" style="2" hidden="1" customWidth="1"/>
    <col min="9" max="9" width="10" style="2" hidden="1" customWidth="1"/>
    <col min="10" max="10" width="6.88671875" style="2" hidden="1" customWidth="1"/>
    <col min="11" max="11" width="10" style="2" hidden="1" customWidth="1"/>
    <col min="12" max="12" width="6.88671875" style="2" hidden="1" customWidth="1"/>
    <col min="13" max="13" width="0.109375" style="2" hidden="1" customWidth="1"/>
    <col min="14" max="14" width="2.6640625" style="2" customWidth="1"/>
    <col min="15" max="15" width="1" style="3" customWidth="1"/>
    <col min="16" max="16" width="5" style="33" customWidth="1"/>
    <col min="17" max="17" width="12" style="33" customWidth="1"/>
    <col min="18" max="18" width="17.33203125" style="33" customWidth="1"/>
    <col min="19" max="19" width="13.44140625" style="33" customWidth="1"/>
    <col min="20" max="20" width="12.5546875" style="33" bestFit="1" customWidth="1"/>
    <col min="21" max="21" width="15" style="33" customWidth="1"/>
    <col min="22" max="22" width="8.88671875" style="33"/>
    <col min="23" max="23" width="11" style="33" customWidth="1"/>
    <col min="24" max="24" width="8.88671875" style="33"/>
    <col min="25" max="27" width="14.6640625" style="33" customWidth="1"/>
    <col min="28" max="28" width="1" style="3" customWidth="1"/>
  </cols>
  <sheetData>
    <row r="1" spans="1:27">
      <c r="A1" s="1" t="s">
        <v>1257</v>
      </c>
      <c r="P1" s="1" t="s">
        <v>1257</v>
      </c>
      <c r="Q1" s="2"/>
      <c r="R1" s="2"/>
      <c r="S1" s="2"/>
      <c r="T1" s="2"/>
      <c r="U1" s="2"/>
      <c r="V1" s="2"/>
      <c r="W1" s="2"/>
      <c r="X1" s="2"/>
      <c r="Y1" s="2"/>
      <c r="Z1" s="2"/>
      <c r="AA1" s="2"/>
    </row>
    <row r="2" spans="1:27">
      <c r="A2" s="1" t="s">
        <v>1</v>
      </c>
      <c r="P2" s="1" t="s">
        <v>1</v>
      </c>
      <c r="Q2" s="2"/>
      <c r="R2" s="2"/>
      <c r="S2" s="2"/>
      <c r="T2" s="2"/>
      <c r="U2" s="2"/>
      <c r="V2" s="2"/>
      <c r="W2" s="2"/>
      <c r="X2" s="2"/>
      <c r="Y2" s="2"/>
      <c r="Z2" s="2"/>
      <c r="AA2" s="2"/>
    </row>
    <row r="3" spans="1:27">
      <c r="A3" s="1" t="s">
        <v>464</v>
      </c>
      <c r="P3" s="1" t="s">
        <v>464</v>
      </c>
      <c r="Q3" s="2"/>
      <c r="R3" s="2"/>
      <c r="S3" s="2"/>
      <c r="T3" s="2"/>
      <c r="U3" s="2"/>
      <c r="V3" s="2"/>
      <c r="W3" s="2"/>
      <c r="X3" s="2"/>
      <c r="Y3" s="2"/>
      <c r="Z3" s="2"/>
      <c r="AA3" s="2"/>
    </row>
    <row r="4" spans="1:27">
      <c r="P4" s="2"/>
      <c r="Q4" s="2"/>
      <c r="R4" s="2"/>
      <c r="S4" s="2"/>
      <c r="T4" s="2"/>
      <c r="U4" s="2"/>
      <c r="V4" s="2"/>
      <c r="W4" s="2"/>
      <c r="X4" s="2"/>
      <c r="Y4" s="2"/>
      <c r="Z4" s="2"/>
      <c r="AA4" s="2"/>
    </row>
    <row r="5" spans="1:27" ht="16.2" customHeight="1">
      <c r="A5" s="1639" t="s">
        <v>1256</v>
      </c>
      <c r="B5" s="1639"/>
      <c r="C5" s="1639"/>
      <c r="D5" s="1639"/>
      <c r="E5" s="1639"/>
      <c r="F5" s="1639"/>
      <c r="G5" s="1639"/>
      <c r="H5" s="1639"/>
      <c r="I5" s="1639"/>
      <c r="J5" s="1639"/>
      <c r="K5" s="1639"/>
      <c r="L5" s="1639"/>
      <c r="M5" s="1639"/>
      <c r="N5" s="1639"/>
      <c r="P5" s="6" t="s">
        <v>4</v>
      </c>
      <c r="Q5" s="2"/>
      <c r="R5" s="2"/>
      <c r="S5" s="2"/>
      <c r="T5" s="2"/>
      <c r="U5" s="2"/>
      <c r="V5" s="2"/>
      <c r="W5" s="2"/>
      <c r="X5" s="2"/>
      <c r="Y5" s="2"/>
      <c r="Z5" s="2"/>
      <c r="AA5" s="2"/>
    </row>
    <row r="6" spans="1:27">
      <c r="A6" s="1639"/>
      <c r="B6" s="1639"/>
      <c r="C6" s="1639"/>
      <c r="D6" s="1639"/>
      <c r="E6" s="1639"/>
      <c r="F6" s="1639"/>
      <c r="G6" s="1639"/>
      <c r="H6" s="1639"/>
      <c r="I6" s="1639"/>
      <c r="J6" s="1639"/>
      <c r="K6" s="1639"/>
      <c r="L6" s="1639"/>
      <c r="M6" s="1639"/>
      <c r="N6" s="1639"/>
      <c r="P6" s="2"/>
      <c r="Q6" s="2"/>
      <c r="R6" s="2"/>
      <c r="S6" s="2"/>
      <c r="T6" s="2"/>
      <c r="U6" s="2"/>
      <c r="V6" s="2"/>
      <c r="W6" s="2"/>
      <c r="X6" s="2"/>
      <c r="Y6" s="2"/>
      <c r="Z6" s="2"/>
      <c r="AA6" s="2"/>
    </row>
    <row r="7" spans="1:27" ht="15.6" customHeight="1">
      <c r="A7" s="7"/>
      <c r="B7" s="7"/>
      <c r="C7" s="7"/>
      <c r="D7" s="7"/>
      <c r="E7" s="7"/>
      <c r="F7" s="7"/>
      <c r="G7" s="7"/>
      <c r="H7" s="7"/>
      <c r="I7" s="7"/>
      <c r="J7" s="7"/>
      <c r="K7" s="7"/>
      <c r="L7" s="7"/>
      <c r="M7" s="7"/>
      <c r="N7" s="7"/>
      <c r="P7" s="2" t="s">
        <v>6</v>
      </c>
      <c r="Q7" s="8" t="str">
        <f>B30</f>
        <v xml:space="preserve">(5 points)  Calculate the 2022 Net Periodic Pension Cost under U.S. Accounting Standard ASC 715 using the following asset valuation methods:  </v>
      </c>
      <c r="R7" s="9"/>
      <c r="S7" s="9"/>
      <c r="T7" s="9"/>
      <c r="U7" s="9"/>
      <c r="V7" s="9"/>
      <c r="W7" s="9"/>
      <c r="X7" s="9"/>
      <c r="Y7" s="9"/>
      <c r="Z7" s="9"/>
      <c r="AA7" s="9"/>
    </row>
    <row r="8" spans="1:27" ht="15.6" customHeight="1">
      <c r="A8" s="7"/>
      <c r="B8" s="957" t="s">
        <v>12</v>
      </c>
      <c r="C8" s="956">
        <v>2018</v>
      </c>
      <c r="D8" s="852">
        <v>2019</v>
      </c>
      <c r="E8" s="956">
        <v>2020</v>
      </c>
      <c r="F8" s="852">
        <v>2021</v>
      </c>
      <c r="G8" s="7"/>
      <c r="H8" s="7"/>
      <c r="I8" s="7"/>
      <c r="J8" s="7"/>
      <c r="K8" s="7"/>
      <c r="L8" s="7"/>
      <c r="M8" s="7"/>
      <c r="N8" s="7"/>
      <c r="P8" s="2"/>
      <c r="Q8" s="8"/>
      <c r="R8" s="9"/>
      <c r="S8" s="9"/>
      <c r="T8" s="9"/>
      <c r="U8" s="9"/>
      <c r="V8" s="9"/>
      <c r="W8" s="9"/>
      <c r="X8" s="9"/>
      <c r="Y8" s="9"/>
      <c r="Z8" s="9"/>
      <c r="AA8" s="9"/>
    </row>
    <row r="9" spans="1:27" ht="15.75" customHeight="1">
      <c r="A9" s="7"/>
      <c r="B9" s="850" t="s">
        <v>1255</v>
      </c>
      <c r="C9" s="849">
        <v>900000</v>
      </c>
      <c r="D9" s="849">
        <v>1000000</v>
      </c>
      <c r="E9" s="849">
        <v>1000000</v>
      </c>
      <c r="F9" s="849">
        <v>1000000</v>
      </c>
      <c r="G9" s="7"/>
      <c r="H9" s="7"/>
      <c r="I9" s="7"/>
      <c r="J9" s="7"/>
      <c r="K9" s="7"/>
      <c r="L9" s="7"/>
      <c r="M9" s="7"/>
      <c r="N9" s="7"/>
      <c r="P9" s="2"/>
      <c r="Q9" s="8" t="str">
        <f>B33</f>
        <v>(i)    Fair Value of Assets</v>
      </c>
      <c r="R9" s="9"/>
      <c r="S9" s="9"/>
      <c r="T9" s="9"/>
      <c r="U9" s="9"/>
      <c r="V9" s="9"/>
      <c r="W9" s="9"/>
      <c r="X9" s="9"/>
      <c r="Y9" s="9"/>
      <c r="Z9" s="9"/>
      <c r="AA9" s="9"/>
    </row>
    <row r="10" spans="1:27">
      <c r="A10" s="7"/>
      <c r="B10" s="850" t="s">
        <v>1254</v>
      </c>
      <c r="C10" s="849">
        <v>300000</v>
      </c>
      <c r="D10" s="849">
        <v>800000</v>
      </c>
      <c r="E10" s="849">
        <v>700000</v>
      </c>
      <c r="F10" s="849">
        <v>400000</v>
      </c>
      <c r="G10" s="7"/>
      <c r="H10" s="7"/>
      <c r="I10" s="7"/>
      <c r="J10" s="7"/>
      <c r="K10" s="7"/>
      <c r="L10" s="7"/>
      <c r="M10" s="7"/>
      <c r="N10" s="7"/>
      <c r="P10" s="2"/>
      <c r="Q10" s="8"/>
      <c r="R10" s="9"/>
      <c r="S10" s="9"/>
      <c r="T10" s="9"/>
      <c r="U10" s="9"/>
      <c r="V10" s="9"/>
      <c r="W10" s="9"/>
      <c r="X10" s="9"/>
      <c r="Y10" s="9"/>
      <c r="Z10" s="9"/>
      <c r="AA10" s="9"/>
    </row>
    <row r="11" spans="1:27">
      <c r="B11" s="850" t="s">
        <v>1253</v>
      </c>
      <c r="C11" s="849">
        <v>190000</v>
      </c>
      <c r="D11" s="849">
        <v>200000</v>
      </c>
      <c r="E11" s="849">
        <v>200000</v>
      </c>
      <c r="F11" s="849">
        <v>250000</v>
      </c>
      <c r="P11" s="2"/>
      <c r="Q11" s="8" t="str">
        <f>B35</f>
        <v>(ii)    Market-related Value of Assets with unrecognized gains and losses smoothed over five years.</v>
      </c>
      <c r="R11" s="9"/>
      <c r="S11" s="9"/>
      <c r="T11" s="9"/>
      <c r="U11" s="9"/>
      <c r="V11" s="9"/>
      <c r="W11" s="9"/>
      <c r="X11" s="9"/>
      <c r="Y11" s="9"/>
      <c r="Z11" s="9"/>
      <c r="AA11" s="9"/>
    </row>
    <row r="12" spans="1:27">
      <c r="B12" s="850" t="s">
        <v>770</v>
      </c>
      <c r="C12" s="888">
        <v>7.0000000000000007E-2</v>
      </c>
      <c r="D12" s="888">
        <v>7.0000000000000007E-2</v>
      </c>
      <c r="E12" s="888">
        <v>7.0000000000000007E-2</v>
      </c>
      <c r="F12" s="888">
        <v>7.0000000000000007E-2</v>
      </c>
      <c r="P12" s="2"/>
      <c r="Q12" s="8"/>
      <c r="R12" s="9"/>
      <c r="S12" s="9"/>
      <c r="T12" s="9"/>
      <c r="U12" s="9"/>
      <c r="V12" s="9"/>
      <c r="W12" s="9"/>
      <c r="X12" s="9"/>
      <c r="Y12" s="9"/>
      <c r="Z12" s="9"/>
      <c r="AA12" s="9"/>
    </row>
    <row r="13" spans="1:27">
      <c r="B13" s="850" t="s">
        <v>1252</v>
      </c>
      <c r="C13" s="849">
        <v>14100000</v>
      </c>
      <c r="D13" s="849">
        <v>14000000</v>
      </c>
      <c r="E13" s="849">
        <v>13000000</v>
      </c>
      <c r="F13" s="849">
        <v>14000000</v>
      </c>
      <c r="P13" s="2"/>
      <c r="Q13" s="8" t="str">
        <f>B37</f>
        <v>Show all work.</v>
      </c>
      <c r="R13" s="9"/>
      <c r="S13" s="9"/>
      <c r="T13" s="9"/>
      <c r="U13" s="9"/>
      <c r="V13" s="9"/>
      <c r="W13" s="9"/>
      <c r="X13" s="9"/>
      <c r="Y13" s="9"/>
      <c r="Z13" s="9"/>
      <c r="AA13" s="9"/>
    </row>
    <row r="14" spans="1:27">
      <c r="B14" s="850" t="s">
        <v>1251</v>
      </c>
      <c r="C14" s="849">
        <v>15200000</v>
      </c>
      <c r="D14" s="849">
        <v>14900000</v>
      </c>
      <c r="E14" s="849">
        <v>14700000</v>
      </c>
      <c r="F14" s="849">
        <v>15100000</v>
      </c>
      <c r="P14" s="2"/>
      <c r="Q14" s="5"/>
      <c r="R14" s="5"/>
      <c r="S14" s="5"/>
      <c r="T14" s="5"/>
      <c r="U14" s="5"/>
      <c r="V14" s="5"/>
      <c r="W14" s="5"/>
      <c r="X14" s="5"/>
      <c r="Y14" s="5"/>
      <c r="Z14" s="5"/>
      <c r="AA14" s="5"/>
    </row>
    <row r="15" spans="1:27">
      <c r="B15" s="847"/>
      <c r="C15" s="847"/>
      <c r="D15" s="847"/>
    </row>
    <row r="16" spans="1:27">
      <c r="B16" s="850"/>
      <c r="C16" s="956">
        <v>2022</v>
      </c>
      <c r="D16" s="847"/>
    </row>
    <row r="17" spans="1:18">
      <c r="B17" s="850" t="s">
        <v>1005</v>
      </c>
      <c r="C17" s="849">
        <v>0</v>
      </c>
      <c r="D17" s="951"/>
    </row>
    <row r="18" spans="1:18">
      <c r="B18" s="850" t="s">
        <v>769</v>
      </c>
      <c r="C18" s="849">
        <v>20000000</v>
      </c>
      <c r="D18" s="847"/>
    </row>
    <row r="19" spans="1:18">
      <c r="B19" s="850" t="s">
        <v>1250</v>
      </c>
      <c r="C19" s="849">
        <v>0</v>
      </c>
      <c r="D19" s="955"/>
    </row>
    <row r="20" spans="1:18">
      <c r="B20" s="850" t="s">
        <v>1031</v>
      </c>
      <c r="C20" s="849">
        <v>500000</v>
      </c>
      <c r="D20" s="848"/>
      <c r="R20" s="954"/>
    </row>
    <row r="21" spans="1:18">
      <c r="B21" s="850" t="s">
        <v>1249</v>
      </c>
      <c r="C21" s="849">
        <v>4000000</v>
      </c>
      <c r="D21" s="847"/>
    </row>
    <row r="22" spans="1:18">
      <c r="B22" s="850" t="s">
        <v>1248</v>
      </c>
      <c r="C22" s="849">
        <v>950000</v>
      </c>
      <c r="D22" s="847"/>
    </row>
    <row r="23" spans="1:18">
      <c r="B23" s="850" t="s">
        <v>1247</v>
      </c>
      <c r="C23" s="849">
        <v>400000</v>
      </c>
      <c r="D23" s="847"/>
    </row>
    <row r="24" spans="1:18">
      <c r="B24" s="850" t="s">
        <v>1246</v>
      </c>
      <c r="C24" s="953">
        <v>8</v>
      </c>
      <c r="D24" s="847"/>
    </row>
    <row r="25" spans="1:18">
      <c r="B25" s="850" t="s">
        <v>1245</v>
      </c>
      <c r="C25" s="953">
        <v>5</v>
      </c>
      <c r="D25" s="847"/>
    </row>
    <row r="26" spans="1:18" ht="15.6" customHeight="1">
      <c r="B26" s="850" t="s">
        <v>51</v>
      </c>
      <c r="C26" s="952">
        <v>0.04</v>
      </c>
      <c r="D26" s="951"/>
    </row>
    <row r="27" spans="1:18" ht="15.6" customHeight="1">
      <c r="B27" s="850" t="s">
        <v>770</v>
      </c>
      <c r="C27" s="952">
        <v>7.0000000000000007E-2</v>
      </c>
      <c r="D27" s="951"/>
    </row>
    <row r="28" spans="1:18" ht="15.6" customHeight="1">
      <c r="B28" s="850" t="s">
        <v>1244</v>
      </c>
      <c r="C28" s="849">
        <v>13500000</v>
      </c>
      <c r="D28" s="951"/>
    </row>
    <row r="29" spans="1:18" ht="15.6" customHeight="1">
      <c r="B29" s="7"/>
      <c r="C29" s="23"/>
      <c r="D29" s="23"/>
      <c r="E29" s="23"/>
      <c r="F29" s="23"/>
    </row>
    <row r="30" spans="1:18" ht="15.6" customHeight="1">
      <c r="A30" s="2" t="s">
        <v>6</v>
      </c>
      <c r="B30" s="1462" t="s">
        <v>1243</v>
      </c>
      <c r="C30" s="1462"/>
      <c r="D30" s="1462"/>
      <c r="E30" s="1462"/>
      <c r="F30" s="1462"/>
      <c r="G30" s="1462"/>
      <c r="H30" s="1462"/>
      <c r="I30" s="1462"/>
      <c r="J30" s="1462"/>
      <c r="K30" s="1462"/>
      <c r="L30" s="1462"/>
      <c r="M30" s="1462"/>
      <c r="N30" s="1462"/>
    </row>
    <row r="31" spans="1:18" ht="15.6" customHeight="1">
      <c r="B31" s="1462"/>
      <c r="C31" s="1462"/>
      <c r="D31" s="1462"/>
      <c r="E31" s="1462"/>
      <c r="F31" s="1462"/>
      <c r="G31" s="1462"/>
      <c r="H31" s="1462"/>
      <c r="I31" s="1462"/>
      <c r="J31" s="1462"/>
      <c r="K31" s="1462"/>
      <c r="L31" s="1462"/>
      <c r="M31" s="1462"/>
      <c r="N31" s="1462"/>
    </row>
    <row r="32" spans="1:18">
      <c r="B32" s="28"/>
      <c r="C32" s="28"/>
      <c r="D32" s="28"/>
      <c r="E32" s="28"/>
      <c r="F32" s="28"/>
      <c r="G32" s="28"/>
      <c r="H32" s="28"/>
      <c r="I32" s="28"/>
      <c r="J32" s="28"/>
      <c r="K32" s="28"/>
      <c r="L32" s="28"/>
      <c r="M32" s="28"/>
      <c r="N32" s="28"/>
    </row>
    <row r="33" spans="1:18">
      <c r="A33" s="9"/>
      <c r="B33" s="2" t="s">
        <v>1242</v>
      </c>
      <c r="C33" s="9"/>
      <c r="D33" s="9"/>
      <c r="E33" s="9"/>
      <c r="F33" s="9"/>
      <c r="G33" s="9"/>
      <c r="H33" s="9"/>
      <c r="I33" s="9"/>
      <c r="J33" s="9"/>
      <c r="K33" s="9"/>
      <c r="L33" s="9"/>
    </row>
    <row r="34" spans="1:18" ht="16.2" customHeight="1">
      <c r="A34" s="9"/>
      <c r="B34" s="9"/>
      <c r="C34" s="9"/>
      <c r="D34" s="9"/>
      <c r="E34" s="9"/>
      <c r="F34" s="9"/>
      <c r="G34" s="9"/>
      <c r="H34" s="9"/>
      <c r="I34" s="9"/>
      <c r="J34" s="9"/>
      <c r="K34" s="9"/>
      <c r="L34" s="9"/>
    </row>
    <row r="35" spans="1:18" ht="16.2" customHeight="1">
      <c r="A35" s="9"/>
      <c r="B35" s="2" t="s">
        <v>1241</v>
      </c>
      <c r="C35" s="9"/>
      <c r="D35" s="9"/>
      <c r="E35" s="9"/>
      <c r="F35" s="9"/>
      <c r="G35" s="9"/>
      <c r="H35" s="9"/>
      <c r="I35" s="9"/>
      <c r="J35" s="9"/>
      <c r="K35" s="9"/>
      <c r="L35" s="9"/>
    </row>
    <row r="36" spans="1:18">
      <c r="A36" s="9"/>
      <c r="B36" s="9"/>
      <c r="C36" s="9"/>
      <c r="D36" s="9"/>
      <c r="E36" s="9"/>
      <c r="F36" s="9"/>
      <c r="G36" s="9"/>
      <c r="H36" s="9"/>
      <c r="I36" s="9"/>
      <c r="J36" s="9"/>
      <c r="K36" s="9"/>
      <c r="L36" s="9"/>
    </row>
    <row r="37" spans="1:18">
      <c r="B37" s="28" t="s">
        <v>683</v>
      </c>
      <c r="R37" s="35"/>
    </row>
    <row r="38" spans="1:18">
      <c r="B38" s="28"/>
      <c r="R38" s="35"/>
    </row>
    <row r="39" spans="1:18" ht="16.2">
      <c r="B39" s="29" t="s">
        <v>32</v>
      </c>
    </row>
    <row r="41" spans="1:18">
      <c r="R41" s="35"/>
    </row>
    <row r="42" spans="1:18">
      <c r="R42" s="35"/>
    </row>
    <row r="44" spans="1:18">
      <c r="R44" s="34"/>
    </row>
    <row r="47" spans="1:18">
      <c r="R47" s="35"/>
    </row>
    <row r="48" spans="1:18">
      <c r="R48" s="35"/>
    </row>
    <row r="49" spans="17:18">
      <c r="R49" s="35"/>
    </row>
    <row r="50" spans="17:18">
      <c r="R50" s="35"/>
    </row>
    <row r="51" spans="17:18">
      <c r="R51" s="35"/>
    </row>
    <row r="52" spans="17:18">
      <c r="R52" s="35"/>
    </row>
    <row r="54" spans="17:18">
      <c r="R54" s="36"/>
    </row>
    <row r="56" spans="17:18">
      <c r="Q56" s="846"/>
    </row>
    <row r="58" spans="17:18" ht="15.75" customHeight="1"/>
    <row r="59" spans="17:18">
      <c r="Q59" s="845"/>
    </row>
    <row r="61" spans="17:18">
      <c r="Q61" s="34"/>
    </row>
    <row r="62" spans="17:18">
      <c r="Q62" s="34"/>
    </row>
    <row r="63" spans="17:18">
      <c r="Q63" s="35"/>
    </row>
    <row r="64" spans="17:18">
      <c r="Q64" s="34"/>
    </row>
    <row r="65" spans="17:19">
      <c r="Q65" s="34"/>
    </row>
    <row r="66" spans="17:19">
      <c r="Q66" s="34"/>
    </row>
    <row r="70" spans="17:19">
      <c r="Q70" s="35"/>
    </row>
    <row r="73" spans="17:19">
      <c r="Q73" s="36"/>
    </row>
    <row r="74" spans="17:19">
      <c r="Q74" s="36"/>
    </row>
    <row r="75" spans="17:19">
      <c r="Q75" s="35"/>
      <c r="S75" s="37"/>
    </row>
    <row r="76" spans="17:19">
      <c r="Q76" s="35"/>
    </row>
    <row r="77" spans="17:19">
      <c r="Q77" s="35"/>
    </row>
    <row r="78" spans="17:19">
      <c r="Q78" s="36"/>
    </row>
    <row r="79" spans="17:19">
      <c r="Q79" s="35"/>
    </row>
    <row r="80" spans="17:19">
      <c r="Q80" s="35"/>
    </row>
    <row r="81" spans="17:19">
      <c r="Q81" s="35"/>
    </row>
    <row r="82" spans="17:19">
      <c r="Q82" s="36"/>
    </row>
    <row r="83" spans="17:19">
      <c r="Q83" s="35"/>
    </row>
    <row r="84" spans="17:19">
      <c r="Q84" s="35"/>
    </row>
    <row r="85" spans="17:19">
      <c r="Q85" s="36"/>
    </row>
    <row r="86" spans="17:19">
      <c r="Q86" s="36"/>
    </row>
    <row r="87" spans="17:19">
      <c r="Q87" s="36"/>
    </row>
    <row r="95" spans="17:19">
      <c r="S95" s="35"/>
    </row>
    <row r="97" spans="18:21">
      <c r="S97" s="35"/>
    </row>
    <row r="98" spans="18:21">
      <c r="S98" s="35"/>
    </row>
    <row r="101" spans="18:21">
      <c r="S101" s="38"/>
    </row>
    <row r="102" spans="18:21">
      <c r="S102" s="35"/>
    </row>
    <row r="104" spans="18:21">
      <c r="S104" s="37"/>
    </row>
    <row r="105" spans="18:21">
      <c r="S105" s="39"/>
    </row>
    <row r="106" spans="18:21">
      <c r="R106" s="35"/>
    </row>
    <row r="107" spans="18:21">
      <c r="R107" s="35"/>
    </row>
    <row r="109" spans="18:21">
      <c r="R109" s="40"/>
      <c r="S109" s="41"/>
      <c r="U109" s="41"/>
    </row>
    <row r="110" spans="18:21">
      <c r="R110" s="37"/>
      <c r="S110" s="37"/>
      <c r="T110" s="38"/>
      <c r="U110" s="37"/>
    </row>
    <row r="111" spans="18:21">
      <c r="R111" s="37"/>
      <c r="S111" s="37"/>
      <c r="T111" s="38"/>
      <c r="U111" s="37"/>
    </row>
    <row r="112" spans="18:21">
      <c r="R112" s="37"/>
      <c r="S112" s="37"/>
      <c r="T112" s="38"/>
      <c r="U112" s="37"/>
    </row>
    <row r="113" spans="17:21">
      <c r="R113" s="42"/>
      <c r="S113" s="42"/>
      <c r="T113" s="42"/>
      <c r="U113" s="42"/>
    </row>
    <row r="118" spans="17:21">
      <c r="Q118" s="43"/>
    </row>
    <row r="120" spans="17:21">
      <c r="Q120" s="34"/>
    </row>
    <row r="121" spans="17:21">
      <c r="Q121" s="34"/>
    </row>
    <row r="122" spans="17:21">
      <c r="Q122" s="34"/>
    </row>
    <row r="123" spans="17:21">
      <c r="Q123" s="34"/>
    </row>
    <row r="124" spans="17:21">
      <c r="R124" s="44"/>
    </row>
    <row r="127" spans="17:21">
      <c r="Q127" s="38"/>
      <c r="S127" s="45"/>
      <c r="T127" s="45"/>
      <c r="U127" s="46"/>
    </row>
    <row r="128" spans="17:21">
      <c r="S128" s="34"/>
      <c r="T128" s="47"/>
      <c r="U128" s="34"/>
    </row>
    <row r="129" spans="16:21">
      <c r="S129" s="34"/>
      <c r="T129" s="47"/>
      <c r="U129" s="34"/>
    </row>
    <row r="130" spans="16:21">
      <c r="S130" s="48"/>
      <c r="T130" s="49"/>
      <c r="U130" s="34"/>
    </row>
    <row r="131" spans="16:21">
      <c r="S131" s="34"/>
      <c r="T131" s="34"/>
      <c r="U131" s="34"/>
    </row>
    <row r="132" spans="16:21">
      <c r="P132" s="50"/>
    </row>
  </sheetData>
  <sheetProtection algorithmName="SHA-512" hashValue="OcomSvcXOXY2KTc9FvRQO/08HlLjNFxOIl0EC0mHw3VsvfRG3iO9Lisjksq1fnPSRGs8eIPVSEETca1+M9wZsQ==" saltValue="GWR298ETB2/jKIX3U94MGQ==" spinCount="100000" sheet="1" formatCells="0" formatColumns="0" formatRows="0" insertColumns="0" insertRows="0"/>
  <mergeCells count="2">
    <mergeCell ref="A5:N6"/>
    <mergeCell ref="B30:N31"/>
  </mergeCell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75A84-1D43-49FC-B5E1-D7C8DCBAFD34}">
  <dimension ref="A1:AB132"/>
  <sheetViews>
    <sheetView topLeftCell="A6" zoomScale="70" zoomScaleNormal="70" workbookViewId="0">
      <selection sqref="A1:XFD1048576"/>
    </sheetView>
  </sheetViews>
  <sheetFormatPr defaultRowHeight="15.6"/>
  <cols>
    <col min="1" max="1" width="3.6640625" style="2" customWidth="1"/>
    <col min="2" max="2" width="51.109375" style="2" customWidth="1"/>
    <col min="3" max="6" width="14" style="2" customWidth="1"/>
    <col min="7" max="7" width="10" style="2" hidden="1" customWidth="1"/>
    <col min="8" max="8" width="6.88671875" style="2" hidden="1" customWidth="1"/>
    <col min="9" max="9" width="10" style="2" hidden="1" customWidth="1"/>
    <col min="10" max="10" width="6.88671875" style="2" hidden="1" customWidth="1"/>
    <col min="11" max="11" width="10" style="2" hidden="1" customWidth="1"/>
    <col min="12" max="12" width="6.88671875" style="2" hidden="1" customWidth="1"/>
    <col min="13" max="13" width="0.109375" style="2" hidden="1" customWidth="1"/>
    <col min="14" max="14" width="2.6640625" style="2" customWidth="1"/>
    <col min="15" max="15" width="1" style="3" customWidth="1"/>
    <col min="16" max="16" width="5" style="33" customWidth="1"/>
    <col min="17" max="17" width="34" style="33" customWidth="1"/>
    <col min="18" max="18" width="17.33203125" style="33" customWidth="1"/>
    <col min="19" max="19" width="13.44140625" style="33" customWidth="1"/>
    <col min="20" max="20" width="16" style="33" customWidth="1"/>
    <col min="21" max="21" width="15" style="33" customWidth="1"/>
    <col min="22" max="22" width="17.88671875" style="33" customWidth="1"/>
    <col min="23" max="23" width="11" style="33" customWidth="1"/>
    <col min="24" max="24" width="8.88671875" style="33"/>
    <col min="25" max="27" width="14.6640625" style="33" customWidth="1"/>
    <col min="28" max="28" width="1" style="3" customWidth="1"/>
  </cols>
  <sheetData>
    <row r="1" spans="1:27">
      <c r="A1" s="1" t="s">
        <v>1257</v>
      </c>
      <c r="P1" s="1" t="s">
        <v>1257</v>
      </c>
      <c r="Q1" s="2"/>
      <c r="R1" s="2"/>
      <c r="S1" s="2"/>
      <c r="T1" s="2"/>
      <c r="U1" s="2"/>
      <c r="V1" s="2"/>
      <c r="W1" s="2"/>
      <c r="X1" s="2"/>
      <c r="Y1" s="2"/>
      <c r="Z1" s="2"/>
      <c r="AA1" s="2"/>
    </row>
    <row r="2" spans="1:27">
      <c r="A2" s="1" t="s">
        <v>1</v>
      </c>
      <c r="P2" s="1" t="s">
        <v>1</v>
      </c>
      <c r="Q2" s="2"/>
      <c r="R2" s="2"/>
      <c r="S2" s="2"/>
      <c r="T2" s="2"/>
      <c r="U2" s="2"/>
      <c r="V2" s="2"/>
      <c r="W2" s="2"/>
      <c r="X2" s="2"/>
      <c r="Y2" s="2"/>
      <c r="Z2" s="2"/>
      <c r="AA2" s="2"/>
    </row>
    <row r="3" spans="1:27">
      <c r="A3" s="1" t="s">
        <v>464</v>
      </c>
      <c r="P3" s="1" t="s">
        <v>464</v>
      </c>
      <c r="Q3" s="2"/>
      <c r="R3" s="2"/>
      <c r="S3" s="2"/>
      <c r="T3" s="2"/>
      <c r="U3" s="2"/>
      <c r="V3" s="2"/>
      <c r="W3" s="2"/>
      <c r="X3" s="2"/>
      <c r="Y3" s="2"/>
      <c r="Z3" s="2"/>
      <c r="AA3" s="2"/>
    </row>
    <row r="4" spans="1:27">
      <c r="P4" s="2"/>
      <c r="Q4" s="2"/>
      <c r="R4" s="2"/>
      <c r="S4" s="2"/>
      <c r="T4" s="2"/>
      <c r="U4" s="2"/>
      <c r="V4" s="2"/>
      <c r="W4" s="2"/>
      <c r="X4" s="2"/>
      <c r="Y4" s="2"/>
      <c r="Z4" s="2"/>
      <c r="AA4" s="2"/>
    </row>
    <row r="5" spans="1:27" ht="16.2" customHeight="1">
      <c r="A5" s="1639" t="s">
        <v>1256</v>
      </c>
      <c r="B5" s="1639"/>
      <c r="C5" s="1639"/>
      <c r="D5" s="1639"/>
      <c r="E5" s="1639"/>
      <c r="F5" s="1639"/>
      <c r="G5" s="1639"/>
      <c r="H5" s="1639"/>
      <c r="I5" s="1639"/>
      <c r="J5" s="1639"/>
      <c r="K5" s="1639"/>
      <c r="L5" s="1639"/>
      <c r="M5" s="1639"/>
      <c r="N5" s="1639"/>
      <c r="P5" s="6" t="s">
        <v>4</v>
      </c>
      <c r="Q5" s="2"/>
      <c r="R5" s="2"/>
      <c r="S5" s="2"/>
      <c r="T5" s="2"/>
      <c r="U5" s="2"/>
      <c r="V5" s="2"/>
      <c r="W5" s="2"/>
      <c r="X5" s="2"/>
      <c r="Y5" s="2"/>
      <c r="Z5" s="2"/>
      <c r="AA5" s="2"/>
    </row>
    <row r="6" spans="1:27">
      <c r="A6" s="1639"/>
      <c r="B6" s="1639"/>
      <c r="C6" s="1639"/>
      <c r="D6" s="1639"/>
      <c r="E6" s="1639"/>
      <c r="F6" s="1639"/>
      <c r="G6" s="1639"/>
      <c r="H6" s="1639"/>
      <c r="I6" s="1639"/>
      <c r="J6" s="1639"/>
      <c r="K6" s="1639"/>
      <c r="L6" s="1639"/>
      <c r="M6" s="1639"/>
      <c r="N6" s="1639"/>
      <c r="P6" s="2"/>
      <c r="Q6" s="2"/>
      <c r="R6" s="2"/>
      <c r="S6" s="2"/>
      <c r="T6" s="2"/>
      <c r="U6" s="2"/>
      <c r="V6" s="2"/>
      <c r="W6" s="2"/>
      <c r="X6" s="2"/>
      <c r="Y6" s="2"/>
      <c r="Z6" s="2"/>
      <c r="AA6" s="2"/>
    </row>
    <row r="7" spans="1:27" ht="15.6" customHeight="1">
      <c r="A7" s="7"/>
      <c r="B7" s="7"/>
      <c r="C7" s="7"/>
      <c r="D7" s="7"/>
      <c r="E7" s="7"/>
      <c r="F7" s="7"/>
      <c r="G7" s="7"/>
      <c r="H7" s="7"/>
      <c r="I7" s="7"/>
      <c r="J7" s="7"/>
      <c r="K7" s="7"/>
      <c r="L7" s="7"/>
      <c r="M7" s="7"/>
      <c r="N7" s="7"/>
      <c r="P7" s="2" t="s">
        <v>6</v>
      </c>
      <c r="Q7" s="8" t="str">
        <f>B30</f>
        <v xml:space="preserve">(5 points)  Calculate the 2022 Net Periodic Pension Cost under U.S. Accounting Standard ASC 715 using the following asset valuation methods:  </v>
      </c>
      <c r="R7" s="9"/>
      <c r="S7" s="9"/>
      <c r="T7" s="9"/>
      <c r="U7" s="9"/>
      <c r="V7" s="9"/>
      <c r="W7" s="9"/>
      <c r="X7" s="9"/>
      <c r="Y7" s="9"/>
      <c r="Z7" s="9"/>
      <c r="AA7" s="9"/>
    </row>
    <row r="8" spans="1:27" ht="15.6" customHeight="1">
      <c r="A8" s="7"/>
      <c r="B8" s="957" t="s">
        <v>12</v>
      </c>
      <c r="C8" s="956">
        <v>2018</v>
      </c>
      <c r="D8" s="852">
        <v>2019</v>
      </c>
      <c r="E8" s="956">
        <v>2020</v>
      </c>
      <c r="F8" s="852">
        <v>2021</v>
      </c>
      <c r="G8" s="7"/>
      <c r="H8" s="7"/>
      <c r="I8" s="7"/>
      <c r="J8" s="7"/>
      <c r="K8" s="7"/>
      <c r="L8" s="7"/>
      <c r="M8" s="7"/>
      <c r="N8" s="7"/>
      <c r="P8" s="2"/>
      <c r="Q8" s="8"/>
      <c r="R8" s="9"/>
      <c r="S8" s="9"/>
      <c r="T8" s="9"/>
      <c r="U8" s="9"/>
      <c r="V8" s="9"/>
      <c r="W8" s="9"/>
      <c r="X8" s="9"/>
      <c r="Y8" s="9"/>
      <c r="Z8" s="9"/>
      <c r="AA8" s="9"/>
    </row>
    <row r="9" spans="1:27" ht="15.75" customHeight="1">
      <c r="A9" s="7"/>
      <c r="B9" s="850" t="s">
        <v>1255</v>
      </c>
      <c r="C9" s="849">
        <v>900000</v>
      </c>
      <c r="D9" s="849">
        <v>1000000</v>
      </c>
      <c r="E9" s="849">
        <v>1000000</v>
      </c>
      <c r="F9" s="849">
        <v>1000000</v>
      </c>
      <c r="G9" s="7"/>
      <c r="H9" s="7"/>
      <c r="I9" s="7"/>
      <c r="J9" s="7"/>
      <c r="K9" s="7"/>
      <c r="L9" s="7"/>
      <c r="M9" s="7"/>
      <c r="N9" s="7"/>
      <c r="P9" s="2"/>
      <c r="Q9" s="8" t="str">
        <f>B33</f>
        <v>(i)    Fair Value of Assets</v>
      </c>
      <c r="R9" s="9"/>
      <c r="S9" s="9"/>
      <c r="T9" s="9"/>
      <c r="U9" s="9"/>
      <c r="V9" s="9"/>
      <c r="W9" s="9"/>
      <c r="X9" s="9"/>
      <c r="Y9" s="9"/>
      <c r="Z9" s="9"/>
      <c r="AA9" s="9"/>
    </row>
    <row r="10" spans="1:27">
      <c r="A10" s="7"/>
      <c r="B10" s="850" t="s">
        <v>1254</v>
      </c>
      <c r="C10" s="849">
        <v>300000</v>
      </c>
      <c r="D10" s="849">
        <v>800000</v>
      </c>
      <c r="E10" s="849">
        <v>700000</v>
      </c>
      <c r="F10" s="849">
        <v>400000</v>
      </c>
      <c r="G10" s="7"/>
      <c r="H10" s="7"/>
      <c r="I10" s="7"/>
      <c r="J10" s="7"/>
      <c r="K10" s="7"/>
      <c r="L10" s="7"/>
      <c r="M10" s="7"/>
      <c r="N10" s="7"/>
      <c r="P10" s="2"/>
      <c r="Q10" s="8"/>
      <c r="R10" s="9"/>
      <c r="S10" s="9"/>
      <c r="T10" s="9"/>
      <c r="U10" s="9"/>
      <c r="V10" s="9"/>
      <c r="W10" s="9"/>
      <c r="X10" s="9"/>
      <c r="Y10" s="9"/>
      <c r="Z10" s="9"/>
      <c r="AA10" s="9"/>
    </row>
    <row r="11" spans="1:27">
      <c r="B11" s="850" t="s">
        <v>1253</v>
      </c>
      <c r="C11" s="849">
        <v>190000</v>
      </c>
      <c r="D11" s="849">
        <v>200000</v>
      </c>
      <c r="E11" s="849">
        <v>200000</v>
      </c>
      <c r="F11" s="849">
        <v>250000</v>
      </c>
      <c r="P11" s="2"/>
      <c r="Q11" s="8" t="str">
        <f>B35</f>
        <v>(ii)    Market-related Value of Assets with unrecognized gains and losses smoothed over five years.</v>
      </c>
      <c r="R11" s="9"/>
      <c r="S11" s="9"/>
      <c r="T11" s="9"/>
      <c r="U11" s="9"/>
      <c r="V11" s="9"/>
      <c r="W11" s="9"/>
      <c r="X11" s="9"/>
      <c r="Y11" s="9"/>
      <c r="Z11" s="9"/>
      <c r="AA11" s="9"/>
    </row>
    <row r="12" spans="1:27">
      <c r="B12" s="850" t="s">
        <v>770</v>
      </c>
      <c r="C12" s="888">
        <v>7.0000000000000007E-2</v>
      </c>
      <c r="D12" s="888">
        <v>7.0000000000000007E-2</v>
      </c>
      <c r="E12" s="888">
        <v>7.0000000000000007E-2</v>
      </c>
      <c r="F12" s="888">
        <v>7.0000000000000007E-2</v>
      </c>
      <c r="P12" s="2"/>
      <c r="Q12" s="8"/>
      <c r="R12" s="9"/>
      <c r="S12" s="9"/>
      <c r="T12" s="9"/>
      <c r="U12" s="9"/>
      <c r="V12" s="9"/>
      <c r="W12" s="9"/>
      <c r="X12" s="9"/>
      <c r="Y12" s="9"/>
      <c r="Z12" s="9"/>
      <c r="AA12" s="9"/>
    </row>
    <row r="13" spans="1:27">
      <c r="B13" s="850" t="s">
        <v>1252</v>
      </c>
      <c r="C13" s="849">
        <v>14100000</v>
      </c>
      <c r="D13" s="849">
        <v>14000000</v>
      </c>
      <c r="E13" s="849">
        <v>13000000</v>
      </c>
      <c r="F13" s="849">
        <v>14000000</v>
      </c>
      <c r="P13" s="2"/>
      <c r="Q13" s="8" t="str">
        <f>B37</f>
        <v>Show all work.</v>
      </c>
      <c r="R13" s="9"/>
      <c r="S13" s="9"/>
      <c r="T13" s="9"/>
      <c r="U13" s="9"/>
      <c r="V13" s="9"/>
      <c r="W13" s="9"/>
      <c r="X13" s="9"/>
      <c r="Y13" s="9"/>
      <c r="Z13" s="9"/>
      <c r="AA13" s="9"/>
    </row>
    <row r="14" spans="1:27">
      <c r="B14" s="850" t="s">
        <v>1251</v>
      </c>
      <c r="C14" s="849">
        <v>15200000</v>
      </c>
      <c r="D14" s="849">
        <v>14900000</v>
      </c>
      <c r="E14" s="849">
        <v>14700000</v>
      </c>
      <c r="F14" s="849">
        <v>15100000</v>
      </c>
      <c r="P14" s="2"/>
      <c r="Q14" s="5"/>
      <c r="R14" s="5"/>
      <c r="S14" s="5"/>
      <c r="T14" s="5"/>
      <c r="U14" s="5"/>
      <c r="V14" s="5"/>
      <c r="W14" s="5"/>
      <c r="X14" s="5"/>
      <c r="Y14" s="5"/>
      <c r="Z14" s="5"/>
      <c r="AA14" s="5"/>
    </row>
    <row r="15" spans="1:27">
      <c r="B15" s="847"/>
      <c r="C15" s="847"/>
      <c r="D15" s="847"/>
    </row>
    <row r="16" spans="1:27">
      <c r="B16" s="850"/>
      <c r="C16" s="956">
        <v>2022</v>
      </c>
      <c r="D16" s="847"/>
      <c r="Q16" s="560"/>
      <c r="R16" s="560"/>
      <c r="S16" s="560"/>
      <c r="T16" s="560"/>
      <c r="U16" s="560"/>
      <c r="V16" s="560"/>
      <c r="W16" s="560"/>
      <c r="X16" s="603" t="s">
        <v>1287</v>
      </c>
      <c r="Y16" s="560"/>
      <c r="Z16" s="560"/>
      <c r="AA16" s="560"/>
    </row>
    <row r="17" spans="1:27" ht="31.2">
      <c r="B17" s="850" t="s">
        <v>1005</v>
      </c>
      <c r="C17" s="849">
        <v>0</v>
      </c>
      <c r="D17" s="951"/>
      <c r="Q17" s="979" t="s">
        <v>12</v>
      </c>
      <c r="R17" s="979">
        <v>2018</v>
      </c>
      <c r="S17" s="979">
        <v>2019</v>
      </c>
      <c r="T17" s="979">
        <v>2020</v>
      </c>
      <c r="U17" s="979">
        <v>2021</v>
      </c>
      <c r="V17" s="979">
        <v>2022</v>
      </c>
      <c r="W17" s="560"/>
      <c r="X17" s="33" t="s">
        <v>12</v>
      </c>
      <c r="Y17" s="560" t="s">
        <v>1286</v>
      </c>
      <c r="Z17" s="735" t="s">
        <v>1285</v>
      </c>
      <c r="AA17" s="735" t="s">
        <v>1284</v>
      </c>
    </row>
    <row r="18" spans="1:27" ht="31.2">
      <c r="B18" s="850" t="s">
        <v>769</v>
      </c>
      <c r="C18" s="849">
        <v>20000000</v>
      </c>
      <c r="D18" s="847"/>
      <c r="Q18" s="979" t="s">
        <v>1283</v>
      </c>
      <c r="R18" s="978">
        <f t="shared" ref="R18:U20" si="0">C9</f>
        <v>900000</v>
      </c>
      <c r="S18" s="978">
        <f t="shared" si="0"/>
        <v>1000000</v>
      </c>
      <c r="T18" s="978">
        <f t="shared" si="0"/>
        <v>1000000</v>
      </c>
      <c r="U18" s="978">
        <f t="shared" si="0"/>
        <v>1000000</v>
      </c>
      <c r="V18" s="978"/>
      <c r="W18" s="560"/>
      <c r="X18" s="977">
        <v>2021</v>
      </c>
      <c r="Y18" s="981">
        <f>V24</f>
        <v>677753.1632129699</v>
      </c>
      <c r="Z18" s="948">
        <v>0.8</v>
      </c>
      <c r="AA18" s="980">
        <f>Z18*Y18</f>
        <v>542202.53057037597</v>
      </c>
    </row>
    <row r="19" spans="1:27">
      <c r="B19" s="850" t="s">
        <v>1250</v>
      </c>
      <c r="C19" s="849">
        <v>0</v>
      </c>
      <c r="D19" s="955"/>
      <c r="Q19" s="979" t="s">
        <v>1282</v>
      </c>
      <c r="R19" s="978">
        <f t="shared" si="0"/>
        <v>300000</v>
      </c>
      <c r="S19" s="978">
        <f t="shared" si="0"/>
        <v>800000</v>
      </c>
      <c r="T19" s="978">
        <f t="shared" si="0"/>
        <v>700000</v>
      </c>
      <c r="U19" s="978">
        <f t="shared" si="0"/>
        <v>400000</v>
      </c>
      <c r="V19" s="978"/>
      <c r="W19" s="560"/>
      <c r="X19" s="977">
        <v>2020</v>
      </c>
      <c r="Y19" s="34">
        <f>U24</f>
        <v>-488204.02163942903</v>
      </c>
      <c r="Z19" s="976">
        <v>0.6</v>
      </c>
      <c r="AA19" s="980">
        <f>Z19*Y19</f>
        <v>-292922.41298365738</v>
      </c>
    </row>
    <row r="20" spans="1:27">
      <c r="B20" s="850" t="s">
        <v>1031</v>
      </c>
      <c r="C20" s="849">
        <v>500000</v>
      </c>
      <c r="D20" s="848"/>
      <c r="Q20" s="979" t="s">
        <v>1281</v>
      </c>
      <c r="R20" s="978">
        <f t="shared" si="0"/>
        <v>190000</v>
      </c>
      <c r="S20" s="978">
        <f t="shared" si="0"/>
        <v>200000</v>
      </c>
      <c r="T20" s="978">
        <f t="shared" si="0"/>
        <v>200000</v>
      </c>
      <c r="U20" s="978">
        <f t="shared" si="0"/>
        <v>250000</v>
      </c>
      <c r="V20" s="978"/>
      <c r="X20" s="977">
        <v>2019</v>
      </c>
      <c r="Y20" s="34">
        <f>T24</f>
        <v>1629236.7826884557</v>
      </c>
      <c r="Z20" s="976">
        <v>0.4</v>
      </c>
      <c r="AA20" s="980">
        <f>Z20*Y20</f>
        <v>651694.71307538229</v>
      </c>
    </row>
    <row r="21" spans="1:27" ht="17.399999999999999">
      <c r="B21" s="850" t="s">
        <v>1249</v>
      </c>
      <c r="C21" s="849">
        <v>4000000</v>
      </c>
      <c r="D21" s="847"/>
      <c r="Q21" s="979" t="s">
        <v>1280</v>
      </c>
      <c r="R21" s="978">
        <f>C13</f>
        <v>14100000</v>
      </c>
      <c r="S21" s="978">
        <f>D13</f>
        <v>14000000</v>
      </c>
      <c r="T21" s="978">
        <f>E13</f>
        <v>13000000</v>
      </c>
      <c r="U21" s="978">
        <f>F13</f>
        <v>14000000</v>
      </c>
      <c r="V21" s="978">
        <f>C28</f>
        <v>13500000</v>
      </c>
      <c r="X21" s="977">
        <v>2018</v>
      </c>
      <c r="Y21" s="34">
        <f>S24</f>
        <v>346817.64580970071</v>
      </c>
      <c r="Z21" s="976">
        <v>0.2</v>
      </c>
      <c r="AA21" s="975">
        <f>Z21*Y21</f>
        <v>69363.52916194014</v>
      </c>
    </row>
    <row r="22" spans="1:27">
      <c r="B22" s="850" t="s">
        <v>1248</v>
      </c>
      <c r="C22" s="849">
        <v>950000</v>
      </c>
      <c r="D22" s="847"/>
      <c r="Q22" s="972" t="s">
        <v>1279</v>
      </c>
      <c r="R22" s="35"/>
      <c r="S22" s="35">
        <f>C12*C14-((R18+R20)*((1+C12)^0.5-1))+(R19*((1+C12)^0.5-1))</f>
        <v>1036817.6458097006</v>
      </c>
      <c r="T22" s="35">
        <f>D12*D14-((S18+S20)*((1+D12)^0.5-1))+(S19*((1+D12)^0.5-1))</f>
        <v>1029236.782688456</v>
      </c>
      <c r="U22" s="35">
        <f>E12*E14-((T18+T20)*((1+E12)^0.5-1))+(T19*((1+E12)^0.5-1))</f>
        <v>1011795.97836057</v>
      </c>
      <c r="V22" s="35">
        <f>F12*F14-((U18+U20)*((1+F12)^0.5-1))+(U19*((1+F12)^0.5-1))</f>
        <v>1027753.163212969</v>
      </c>
      <c r="W22" s="974"/>
      <c r="X22" s="560"/>
      <c r="Y22" s="560"/>
      <c r="Z22" s="560"/>
      <c r="AA22" s="973">
        <f>SUM(AA18:AA21)</f>
        <v>970338.3598240409</v>
      </c>
    </row>
    <row r="23" spans="1:27">
      <c r="B23" s="850" t="s">
        <v>1247</v>
      </c>
      <c r="C23" s="849">
        <v>400000</v>
      </c>
      <c r="D23" s="847"/>
      <c r="Q23" s="972" t="s">
        <v>1278</v>
      </c>
      <c r="R23" s="958"/>
      <c r="S23" s="958">
        <f>R21-R18+R19-R20+S22</f>
        <v>14346817.645809701</v>
      </c>
      <c r="T23" s="958">
        <f>S21-S18+S19-S20+T22</f>
        <v>14629236.782688456</v>
      </c>
      <c r="U23" s="958">
        <f>T21-T18+T19-T20+U22</f>
        <v>13511795.978360571</v>
      </c>
      <c r="V23" s="958">
        <f>U21-U18+U19-U20+V22</f>
        <v>14177753.16321297</v>
      </c>
      <c r="W23" s="958"/>
    </row>
    <row r="24" spans="1:27">
      <c r="B24" s="850" t="s">
        <v>1246</v>
      </c>
      <c r="C24" s="953">
        <v>8</v>
      </c>
      <c r="D24" s="847"/>
      <c r="Q24" s="972" t="s">
        <v>1277</v>
      </c>
      <c r="R24" s="958"/>
      <c r="S24" s="958">
        <f>S23-S21</f>
        <v>346817.64580970071</v>
      </c>
      <c r="T24" s="958">
        <f>T23-T21</f>
        <v>1629236.7826884557</v>
      </c>
      <c r="U24" s="958">
        <f>U23-U21</f>
        <v>-488204.02163942903</v>
      </c>
      <c r="V24" s="958">
        <f>V23-V21</f>
        <v>677753.1632129699</v>
      </c>
      <c r="W24" s="958"/>
      <c r="Z24" s="560"/>
      <c r="AA24" s="560"/>
    </row>
    <row r="25" spans="1:27">
      <c r="B25" s="850" t="s">
        <v>1245</v>
      </c>
      <c r="C25" s="953">
        <v>5</v>
      </c>
      <c r="D25" s="847"/>
      <c r="X25" s="560"/>
      <c r="Y25" s="560"/>
      <c r="Z25" s="33" t="s">
        <v>1265</v>
      </c>
      <c r="AA25" s="929">
        <f>C28</f>
        <v>13500000</v>
      </c>
    </row>
    <row r="26" spans="1:27" ht="15.6" customHeight="1" thickBot="1">
      <c r="B26" s="850" t="s">
        <v>51</v>
      </c>
      <c r="C26" s="952">
        <v>0.04</v>
      </c>
      <c r="D26" s="951"/>
      <c r="Q26" s="560"/>
      <c r="R26" s="603" t="s">
        <v>1276</v>
      </c>
      <c r="S26" s="603" t="s">
        <v>1275</v>
      </c>
      <c r="Y26" s="971"/>
      <c r="Z26" s="33" t="s">
        <v>1274</v>
      </c>
      <c r="AA26" s="970">
        <f>AA25+AA22</f>
        <v>14470338.359824041</v>
      </c>
    </row>
    <row r="27" spans="1:27" ht="15.6" customHeight="1">
      <c r="B27" s="850" t="s">
        <v>770</v>
      </c>
      <c r="C27" s="952">
        <v>7.0000000000000007E-2</v>
      </c>
      <c r="D27" s="951"/>
      <c r="Q27" s="969" t="s">
        <v>1140</v>
      </c>
      <c r="R27" s="968" t="s">
        <v>1273</v>
      </c>
      <c r="S27" s="967" t="s">
        <v>1272</v>
      </c>
      <c r="U27" s="560"/>
      <c r="X27" s="560"/>
      <c r="Y27" s="560"/>
      <c r="Z27" s="560"/>
    </row>
    <row r="28" spans="1:27" ht="15.6" customHeight="1">
      <c r="B28" s="850" t="s">
        <v>1244</v>
      </c>
      <c r="C28" s="849">
        <v>13500000</v>
      </c>
      <c r="D28" s="951"/>
      <c r="Q28" s="966" t="s">
        <v>1005</v>
      </c>
      <c r="R28" s="965">
        <v>0</v>
      </c>
      <c r="S28" s="964">
        <v>0</v>
      </c>
      <c r="U28" s="560"/>
      <c r="X28" s="560"/>
      <c r="Y28" s="560"/>
      <c r="Z28" s="560"/>
    </row>
    <row r="29" spans="1:27" ht="15.6" customHeight="1">
      <c r="B29" s="7"/>
      <c r="C29" s="23"/>
      <c r="D29" s="23"/>
      <c r="E29" s="23"/>
      <c r="F29" s="23"/>
      <c r="Q29" s="966" t="s">
        <v>1041</v>
      </c>
      <c r="R29" s="965">
        <f>S29</f>
        <v>781186.29241737083</v>
      </c>
      <c r="S29" s="964">
        <f>(C18*C26)-(C22*(((1+C26)^0.5)-1))</f>
        <v>781186.29241737083</v>
      </c>
      <c r="T29" s="33" t="s">
        <v>1271</v>
      </c>
      <c r="U29" s="560"/>
      <c r="X29" s="560"/>
      <c r="Y29" s="560"/>
      <c r="Z29" s="560"/>
    </row>
    <row r="30" spans="1:27" ht="15.6" customHeight="1">
      <c r="A30" s="2" t="s">
        <v>6</v>
      </c>
      <c r="B30" s="1462" t="s">
        <v>1243</v>
      </c>
      <c r="C30" s="1462"/>
      <c r="D30" s="1462"/>
      <c r="E30" s="1462"/>
      <c r="F30" s="1462"/>
      <c r="G30" s="1462"/>
      <c r="H30" s="1462"/>
      <c r="I30" s="1462"/>
      <c r="J30" s="1462"/>
      <c r="K30" s="1462"/>
      <c r="L30" s="1462"/>
      <c r="M30" s="1462"/>
      <c r="N30" s="1462"/>
      <c r="Q30" s="966" t="s">
        <v>770</v>
      </c>
      <c r="R30" s="965">
        <f>(AA25*C27)-(C22*(((1+C27)^0.5)-1))+(C23*(((1+C27)^0.5)-1))</f>
        <v>926075.57619662711</v>
      </c>
      <c r="S30" s="964">
        <f>(AA26*C27)-(C22*(((1+C27)^0.5)-1))+(C23*(((1+C27)^0.5)-1))</f>
        <v>993999.26138430997</v>
      </c>
      <c r="U30" s="560"/>
      <c r="X30" s="560"/>
      <c r="Y30" s="560"/>
      <c r="Z30" s="560"/>
    </row>
    <row r="31" spans="1:27" ht="15.6" customHeight="1">
      <c r="B31" s="1462"/>
      <c r="C31" s="1462"/>
      <c r="D31" s="1462"/>
      <c r="E31" s="1462"/>
      <c r="F31" s="1462"/>
      <c r="G31" s="1462"/>
      <c r="H31" s="1462"/>
      <c r="I31" s="1462"/>
      <c r="J31" s="1462"/>
      <c r="K31" s="1462"/>
      <c r="L31" s="1462"/>
      <c r="M31" s="1462"/>
      <c r="N31" s="1462"/>
      <c r="Q31" s="966" t="s">
        <v>1270</v>
      </c>
      <c r="R31" s="965">
        <v>0</v>
      </c>
      <c r="S31" s="964">
        <v>0</v>
      </c>
      <c r="U31" s="560"/>
      <c r="W31" s="44"/>
      <c r="X31" s="560"/>
      <c r="Y31" s="560"/>
      <c r="Z31" s="560"/>
    </row>
    <row r="32" spans="1:27">
      <c r="B32" s="28"/>
      <c r="C32" s="28"/>
      <c r="D32" s="28"/>
      <c r="E32" s="28"/>
      <c r="F32" s="28"/>
      <c r="G32" s="28"/>
      <c r="H32" s="28"/>
      <c r="I32" s="28"/>
      <c r="J32" s="28"/>
      <c r="K32" s="28"/>
      <c r="L32" s="28"/>
      <c r="M32" s="28"/>
      <c r="N32" s="28"/>
      <c r="Q32" s="966" t="s">
        <v>1269</v>
      </c>
      <c r="R32" s="965">
        <f>C20/C25</f>
        <v>100000</v>
      </c>
      <c r="S32" s="964">
        <f>R32</f>
        <v>100000</v>
      </c>
      <c r="U32" s="560"/>
      <c r="X32" s="560"/>
      <c r="Y32" s="560"/>
      <c r="Z32" s="560"/>
    </row>
    <row r="33" spans="1:27">
      <c r="A33" s="9"/>
      <c r="B33" s="2" t="s">
        <v>1242</v>
      </c>
      <c r="C33" s="9"/>
      <c r="D33" s="9"/>
      <c r="E33" s="9"/>
      <c r="F33" s="9"/>
      <c r="G33" s="9"/>
      <c r="H33" s="9"/>
      <c r="I33" s="9"/>
      <c r="J33" s="9"/>
      <c r="K33" s="9"/>
      <c r="L33" s="9"/>
      <c r="Q33" s="966" t="s">
        <v>1268</v>
      </c>
      <c r="R33" s="965">
        <f>S51</f>
        <v>250000</v>
      </c>
      <c r="S33" s="964">
        <f>R51</f>
        <v>128707.70502199489</v>
      </c>
      <c r="U33" s="560"/>
      <c r="X33" s="560"/>
      <c r="Y33" s="560"/>
      <c r="Z33" s="560"/>
    </row>
    <row r="34" spans="1:27" ht="16.2" customHeight="1" thickBot="1">
      <c r="A34" s="9"/>
      <c r="B34" s="9"/>
      <c r="C34" s="9"/>
      <c r="D34" s="9"/>
      <c r="E34" s="9"/>
      <c r="F34" s="9"/>
      <c r="G34" s="9"/>
      <c r="H34" s="9"/>
      <c r="I34" s="9"/>
      <c r="J34" s="9"/>
      <c r="K34" s="9"/>
      <c r="L34" s="9"/>
      <c r="Q34" s="963" t="s">
        <v>1215</v>
      </c>
      <c r="R34" s="962">
        <f>R28+R29-R30+R31+R32+R33</f>
        <v>205110.71622074372</v>
      </c>
      <c r="S34" s="961">
        <f>S28+S29-S30+S31+S32+S33</f>
        <v>15894.73605505575</v>
      </c>
      <c r="U34" s="560"/>
      <c r="X34" s="560"/>
      <c r="Y34" s="560"/>
      <c r="Z34" s="560"/>
    </row>
    <row r="35" spans="1:27" ht="16.2" customHeight="1">
      <c r="A35" s="9"/>
      <c r="B35" s="2" t="s">
        <v>1241</v>
      </c>
      <c r="C35" s="9"/>
      <c r="D35" s="9"/>
      <c r="E35" s="9"/>
      <c r="F35" s="9"/>
      <c r="G35" s="9"/>
      <c r="H35" s="9"/>
      <c r="I35" s="9"/>
      <c r="J35" s="9"/>
      <c r="K35" s="9"/>
      <c r="L35" s="9"/>
      <c r="Q35" s="560"/>
      <c r="R35" s="560"/>
      <c r="S35" s="560"/>
      <c r="Y35" s="35"/>
    </row>
    <row r="36" spans="1:27">
      <c r="A36" s="9"/>
      <c r="B36" s="9"/>
      <c r="C36" s="9"/>
      <c r="D36" s="9"/>
      <c r="E36" s="9"/>
      <c r="F36" s="9"/>
      <c r="G36" s="9"/>
      <c r="H36" s="9"/>
      <c r="I36" s="9"/>
      <c r="J36" s="9"/>
      <c r="K36" s="9"/>
      <c r="L36" s="9"/>
      <c r="Q36" s="560"/>
      <c r="R36" s="560"/>
      <c r="S36" s="560"/>
    </row>
    <row r="37" spans="1:27">
      <c r="B37" s="28" t="s">
        <v>683</v>
      </c>
      <c r="Q37" s="560"/>
      <c r="R37" s="560"/>
      <c r="S37" s="560"/>
    </row>
    <row r="38" spans="1:27">
      <c r="B38" s="28"/>
    </row>
    <row r="39" spans="1:27" ht="16.2">
      <c r="B39" s="29" t="s">
        <v>32</v>
      </c>
      <c r="Q39" s="560"/>
      <c r="R39" s="560"/>
      <c r="S39" s="566"/>
      <c r="T39" s="565"/>
      <c r="U39" s="567"/>
      <c r="V39" s="560"/>
      <c r="W39" s="560"/>
      <c r="X39" s="560"/>
      <c r="Y39" s="560"/>
      <c r="Z39" s="560"/>
      <c r="AA39" s="560"/>
    </row>
    <row r="40" spans="1:27">
      <c r="Q40" s="959" t="s">
        <v>1267</v>
      </c>
      <c r="R40" s="33" t="s">
        <v>1262</v>
      </c>
      <c r="S40" s="33" t="s">
        <v>1265</v>
      </c>
      <c r="T40" s="565"/>
      <c r="U40" s="567"/>
      <c r="V40" s="560"/>
      <c r="W40" s="560"/>
      <c r="X40" s="560"/>
      <c r="Y40" s="560"/>
      <c r="Z40" s="560"/>
      <c r="AA40" s="560"/>
    </row>
    <row r="41" spans="1:27">
      <c r="Q41" s="959" t="s">
        <v>1266</v>
      </c>
      <c r="R41" s="34">
        <f>C21</f>
        <v>4000000</v>
      </c>
      <c r="S41" s="34">
        <f>R41</f>
        <v>4000000</v>
      </c>
      <c r="T41" s="565"/>
      <c r="U41" s="567"/>
      <c r="V41" s="560"/>
      <c r="W41" s="560"/>
      <c r="X41" s="560"/>
      <c r="Y41" s="560"/>
      <c r="Z41" s="560"/>
      <c r="AA41" s="560"/>
    </row>
    <row r="42" spans="1:27">
      <c r="Q42" s="959" t="s">
        <v>1265</v>
      </c>
      <c r="R42" s="929">
        <f>V21</f>
        <v>13500000</v>
      </c>
      <c r="S42" s="929">
        <f>R42</f>
        <v>13500000</v>
      </c>
      <c r="T42" s="565"/>
      <c r="U42" s="567"/>
      <c r="V42" s="560"/>
      <c r="W42" s="560"/>
      <c r="X42" s="560"/>
      <c r="Y42" s="560"/>
      <c r="Z42" s="560"/>
      <c r="AA42" s="560"/>
    </row>
    <row r="43" spans="1:27" ht="17.399999999999999">
      <c r="Q43" s="959" t="s">
        <v>1262</v>
      </c>
      <c r="R43" s="929">
        <f>AA26</f>
        <v>14470338.359824041</v>
      </c>
      <c r="T43" s="565"/>
      <c r="U43" s="564"/>
      <c r="V43" s="560"/>
      <c r="W43" s="560"/>
      <c r="X43" s="560"/>
      <c r="Y43" s="560"/>
      <c r="Z43" s="560"/>
      <c r="AA43" s="560"/>
    </row>
    <row r="44" spans="1:27">
      <c r="Q44" s="959" t="s">
        <v>1264</v>
      </c>
      <c r="R44" s="929">
        <f>R42-R43</f>
        <v>-970338.3598240409</v>
      </c>
      <c r="S44" s="33">
        <v>0</v>
      </c>
      <c r="T44" s="560"/>
      <c r="U44" s="562"/>
      <c r="V44" s="560"/>
      <c r="W44" s="560"/>
      <c r="X44" s="560"/>
      <c r="Y44" s="560"/>
      <c r="Z44" s="560"/>
      <c r="AA44" s="560"/>
    </row>
    <row r="45" spans="1:27">
      <c r="Q45" s="959" t="s">
        <v>1263</v>
      </c>
      <c r="R45" s="929">
        <f>R44+R41</f>
        <v>3029661.6401759591</v>
      </c>
      <c r="S45" s="34">
        <f>S41</f>
        <v>4000000</v>
      </c>
      <c r="T45" s="560"/>
      <c r="U45" s="560"/>
      <c r="V45" s="560"/>
      <c r="W45" s="560"/>
      <c r="X45" s="560"/>
      <c r="Y45" s="560"/>
      <c r="Z45" s="560"/>
      <c r="AA45" s="560"/>
    </row>
    <row r="46" spans="1:27">
      <c r="Q46" s="959" t="s">
        <v>938</v>
      </c>
      <c r="R46" s="34">
        <f>C18</f>
        <v>20000000</v>
      </c>
      <c r="S46" s="34">
        <f>R46</f>
        <v>20000000</v>
      </c>
      <c r="T46" s="560"/>
      <c r="U46" s="562"/>
      <c r="V46" s="560"/>
      <c r="W46" s="560"/>
      <c r="X46" s="560"/>
      <c r="Y46" s="560"/>
      <c r="Z46" s="560"/>
      <c r="AA46" s="560"/>
    </row>
    <row r="47" spans="1:27">
      <c r="Q47" s="959" t="s">
        <v>1262</v>
      </c>
      <c r="R47" s="929">
        <f>AA26</f>
        <v>14470338.359824041</v>
      </c>
      <c r="S47" s="929">
        <f>S42</f>
        <v>13500000</v>
      </c>
      <c r="T47" s="560"/>
      <c r="U47" s="560"/>
      <c r="V47" s="560"/>
      <c r="W47" s="560"/>
      <c r="X47" s="560"/>
      <c r="Y47" s="560"/>
      <c r="Z47" s="560"/>
      <c r="AA47" s="560"/>
    </row>
    <row r="48" spans="1:27">
      <c r="Q48" s="959" t="s">
        <v>1261</v>
      </c>
      <c r="R48" s="960">
        <f>0.1*R46</f>
        <v>2000000</v>
      </c>
      <c r="S48" s="960">
        <f>0.1*S46</f>
        <v>2000000</v>
      </c>
      <c r="T48" s="560"/>
      <c r="U48" s="560"/>
      <c r="V48" s="560"/>
      <c r="W48" s="560"/>
      <c r="X48" s="560"/>
      <c r="Y48" s="560"/>
      <c r="Z48" s="560"/>
      <c r="AA48" s="560"/>
    </row>
    <row r="49" spans="17:27">
      <c r="Q49" s="959" t="s">
        <v>1260</v>
      </c>
      <c r="R49" s="929">
        <f>R45-R48</f>
        <v>1029661.6401759591</v>
      </c>
      <c r="S49" s="929">
        <f>S45-S48</f>
        <v>2000000</v>
      </c>
      <c r="T49" s="560"/>
      <c r="U49" s="560"/>
      <c r="V49" s="560"/>
      <c r="W49" s="560"/>
      <c r="X49" s="560"/>
      <c r="Y49" s="560"/>
      <c r="Z49" s="560"/>
      <c r="AA49" s="560"/>
    </row>
    <row r="50" spans="17:27">
      <c r="Q50" s="959" t="s">
        <v>1259</v>
      </c>
      <c r="R50" s="34">
        <f>C24</f>
        <v>8</v>
      </c>
      <c r="S50" s="34">
        <f>R50</f>
        <v>8</v>
      </c>
      <c r="T50" s="560"/>
      <c r="U50" s="560"/>
      <c r="V50" s="560"/>
      <c r="W50" s="560"/>
      <c r="X50" s="560"/>
      <c r="Y50" s="560"/>
      <c r="Z50" s="560"/>
      <c r="AA50" s="560"/>
    </row>
    <row r="51" spans="17:27">
      <c r="Q51" s="959" t="s">
        <v>1258</v>
      </c>
      <c r="R51" s="958">
        <f>R49/R50</f>
        <v>128707.70502199489</v>
      </c>
      <c r="S51" s="958">
        <f>S49/S50</f>
        <v>250000</v>
      </c>
      <c r="T51" s="560"/>
      <c r="U51" s="560"/>
      <c r="V51" s="560"/>
      <c r="W51" s="560"/>
      <c r="X51" s="560"/>
      <c r="Y51" s="560"/>
      <c r="Z51" s="560"/>
      <c r="AA51" s="560"/>
    </row>
    <row r="52" spans="17:27">
      <c r="Q52" s="560"/>
      <c r="R52" s="560"/>
      <c r="S52" s="560"/>
      <c r="T52" s="560"/>
      <c r="U52" s="560"/>
      <c r="V52" s="560"/>
      <c r="W52" s="560"/>
      <c r="X52" s="560"/>
      <c r="Y52" s="560"/>
      <c r="Z52" s="560"/>
      <c r="AA52" s="560"/>
    </row>
    <row r="54" spans="17:27">
      <c r="R54" s="36"/>
    </row>
    <row r="56" spans="17:27">
      <c r="Q56" s="846"/>
    </row>
    <row r="58" spans="17:27" ht="15.75" customHeight="1"/>
    <row r="59" spans="17:27">
      <c r="Q59" s="845"/>
    </row>
    <row r="61" spans="17:27">
      <c r="Q61" s="34"/>
    </row>
    <row r="62" spans="17:27">
      <c r="Q62" s="34"/>
    </row>
    <row r="63" spans="17:27">
      <c r="Q63" s="35"/>
    </row>
    <row r="64" spans="17:27">
      <c r="Q64" s="34"/>
    </row>
    <row r="65" spans="17:19">
      <c r="Q65" s="34"/>
    </row>
    <row r="66" spans="17:19">
      <c r="Q66" s="34"/>
    </row>
    <row r="70" spans="17:19">
      <c r="Q70" s="35"/>
    </row>
    <row r="73" spans="17:19">
      <c r="Q73" s="36"/>
    </row>
    <row r="74" spans="17:19">
      <c r="Q74" s="36"/>
    </row>
    <row r="75" spans="17:19">
      <c r="Q75" s="35"/>
      <c r="S75" s="37"/>
    </row>
    <row r="76" spans="17:19">
      <c r="Q76" s="35"/>
    </row>
    <row r="77" spans="17:19">
      <c r="Q77" s="35"/>
    </row>
    <row r="78" spans="17:19">
      <c r="Q78" s="36"/>
    </row>
    <row r="79" spans="17:19">
      <c r="Q79" s="35"/>
    </row>
    <row r="80" spans="17:19">
      <c r="Q80" s="35"/>
    </row>
    <row r="81" spans="17:19">
      <c r="Q81" s="35"/>
    </row>
    <row r="82" spans="17:19">
      <c r="Q82" s="36"/>
    </row>
    <row r="83" spans="17:19">
      <c r="Q83" s="35"/>
    </row>
    <row r="84" spans="17:19">
      <c r="Q84" s="35"/>
    </row>
    <row r="85" spans="17:19">
      <c r="Q85" s="36"/>
    </row>
    <row r="86" spans="17:19">
      <c r="Q86" s="36"/>
    </row>
    <row r="87" spans="17:19">
      <c r="Q87" s="36"/>
    </row>
    <row r="95" spans="17:19">
      <c r="S95" s="35"/>
    </row>
    <row r="97" spans="18:21">
      <c r="S97" s="35"/>
    </row>
    <row r="98" spans="18:21">
      <c r="S98" s="35"/>
    </row>
    <row r="101" spans="18:21">
      <c r="S101" s="38"/>
    </row>
    <row r="102" spans="18:21">
      <c r="S102" s="35"/>
    </row>
    <row r="104" spans="18:21">
      <c r="S104" s="37"/>
    </row>
    <row r="105" spans="18:21">
      <c r="S105" s="39"/>
    </row>
    <row r="106" spans="18:21">
      <c r="R106" s="35"/>
    </row>
    <row r="107" spans="18:21">
      <c r="R107" s="35"/>
    </row>
    <row r="109" spans="18:21">
      <c r="R109" s="40"/>
      <c r="S109" s="41"/>
      <c r="U109" s="41"/>
    </row>
    <row r="110" spans="18:21">
      <c r="R110" s="37"/>
      <c r="S110" s="37"/>
      <c r="T110" s="38"/>
      <c r="U110" s="37"/>
    </row>
    <row r="111" spans="18:21">
      <c r="R111" s="37"/>
      <c r="S111" s="37"/>
      <c r="T111" s="38"/>
      <c r="U111" s="37"/>
    </row>
    <row r="112" spans="18:21">
      <c r="R112" s="37"/>
      <c r="S112" s="37"/>
      <c r="T112" s="38"/>
      <c r="U112" s="37"/>
    </row>
    <row r="113" spans="17:21">
      <c r="R113" s="42"/>
      <c r="S113" s="42"/>
      <c r="T113" s="42"/>
      <c r="U113" s="42"/>
    </row>
    <row r="118" spans="17:21">
      <c r="Q118" s="43"/>
    </row>
    <row r="120" spans="17:21">
      <c r="Q120" s="34"/>
    </row>
    <row r="121" spans="17:21">
      <c r="Q121" s="34"/>
    </row>
    <row r="122" spans="17:21">
      <c r="Q122" s="34"/>
    </row>
    <row r="123" spans="17:21">
      <c r="Q123" s="34"/>
    </row>
    <row r="124" spans="17:21">
      <c r="R124" s="44"/>
    </row>
    <row r="127" spans="17:21">
      <c r="Q127" s="38"/>
      <c r="S127" s="45"/>
      <c r="T127" s="45"/>
      <c r="U127" s="46"/>
    </row>
    <row r="128" spans="17:21">
      <c r="S128" s="34"/>
      <c r="T128" s="47"/>
      <c r="U128" s="34"/>
    </row>
    <row r="129" spans="16:21">
      <c r="S129" s="34"/>
      <c r="T129" s="47"/>
      <c r="U129" s="34"/>
    </row>
    <row r="130" spans="16:21">
      <c r="S130" s="48"/>
      <c r="T130" s="49"/>
      <c r="U130" s="34"/>
    </row>
    <row r="131" spans="16:21">
      <c r="S131" s="34"/>
      <c r="T131" s="34"/>
      <c r="U131" s="34"/>
    </row>
    <row r="132" spans="16:21">
      <c r="P132" s="50"/>
    </row>
  </sheetData>
  <sheetProtection algorithmName="SHA-512" hashValue="OcomSvcXOXY2KTc9FvRQO/08HlLjNFxOIl0EC0mHw3VsvfRG3iO9Lisjksq1fnPSRGs8eIPVSEETca1+M9wZsQ==" saltValue="GWR298ETB2/jKIX3U94MGQ==" spinCount="100000" sheet="1" formatCells="0" formatColumns="0" formatRows="0" insertColumns="0" insertRows="0"/>
  <mergeCells count="2">
    <mergeCell ref="A5:N6"/>
    <mergeCell ref="B30:N31"/>
  </mergeCell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F11E-57AB-4F2D-A5A4-318A83C198F2}">
  <dimension ref="A1:L82"/>
  <sheetViews>
    <sheetView zoomScale="90" zoomScaleNormal="90" workbookViewId="0">
      <selection sqref="A1:XFD1048576"/>
    </sheetView>
  </sheetViews>
  <sheetFormatPr defaultColWidth="8.88671875" defaultRowHeight="15.6"/>
  <cols>
    <col min="1" max="1" width="3.5546875" style="52" customWidth="1"/>
    <col min="2" max="2" width="11.109375" style="52" customWidth="1"/>
    <col min="3" max="3" width="14" style="52" customWidth="1"/>
    <col min="4" max="4" width="13.5546875" style="52" customWidth="1"/>
    <col min="5" max="11" width="10.5546875" style="52" customWidth="1"/>
    <col min="12" max="13" width="8.88671875" style="4"/>
    <col min="14" max="14" width="14.109375" style="4" bestFit="1" customWidth="1"/>
    <col min="15" max="16384" width="8.88671875" style="4"/>
  </cols>
  <sheetData>
    <row r="1" spans="1:12">
      <c r="A1" s="52" t="s">
        <v>1305</v>
      </c>
      <c r="L1" s="4" t="s">
        <v>1305</v>
      </c>
    </row>
    <row r="2" spans="1:12">
      <c r="A2" s="52" t="s">
        <v>464</v>
      </c>
      <c r="L2" s="4" t="s">
        <v>464</v>
      </c>
    </row>
    <row r="3" spans="1:12" ht="18.600000000000001" customHeight="1">
      <c r="A3" s="53"/>
    </row>
    <row r="4" spans="1:12" ht="18.600000000000001" customHeight="1">
      <c r="A4" s="51"/>
      <c r="L4" s="4" t="s">
        <v>1304</v>
      </c>
    </row>
    <row r="5" spans="1:12">
      <c r="A5" s="51"/>
      <c r="B5" s="55" t="s">
        <v>302</v>
      </c>
      <c r="C5" s="52" t="s">
        <v>1303</v>
      </c>
    </row>
    <row r="6" spans="1:12">
      <c r="A6" s="51"/>
      <c r="B6" s="55"/>
    </row>
    <row r="7" spans="1:12" ht="31.5" customHeight="1">
      <c r="A7" s="51"/>
      <c r="B7" s="55"/>
      <c r="C7" s="95" t="s">
        <v>1302</v>
      </c>
      <c r="D7" s="1661" t="s">
        <v>1301</v>
      </c>
      <c r="E7" s="1661"/>
      <c r="F7" s="1661"/>
      <c r="G7" s="1661"/>
      <c r="H7" s="1661" t="s">
        <v>1300</v>
      </c>
      <c r="I7" s="1661"/>
    </row>
    <row r="8" spans="1:12" ht="46.8">
      <c r="A8" s="51"/>
      <c r="B8" s="55"/>
      <c r="C8" s="74"/>
      <c r="D8" s="983" t="s">
        <v>541</v>
      </c>
      <c r="E8" s="983" t="s">
        <v>540</v>
      </c>
      <c r="F8" s="983" t="s">
        <v>645</v>
      </c>
      <c r="G8" s="983" t="s">
        <v>1299</v>
      </c>
      <c r="H8" s="983" t="s">
        <v>541</v>
      </c>
      <c r="I8" s="983" t="s">
        <v>540</v>
      </c>
    </row>
    <row r="9" spans="1:12">
      <c r="A9" s="51"/>
      <c r="B9" s="55"/>
      <c r="C9" s="74" t="s">
        <v>1298</v>
      </c>
      <c r="D9" s="982">
        <v>47162</v>
      </c>
      <c r="E9" s="982">
        <v>34453</v>
      </c>
      <c r="F9" s="982">
        <v>12709</v>
      </c>
      <c r="G9" s="982">
        <v>20994</v>
      </c>
      <c r="H9" s="982">
        <v>11663</v>
      </c>
      <c r="I9" s="982">
        <v>12983</v>
      </c>
    </row>
    <row r="10" spans="1:12">
      <c r="A10" s="51"/>
      <c r="B10" s="55"/>
      <c r="C10" s="74" t="s">
        <v>1297</v>
      </c>
      <c r="D10" s="982">
        <v>70659</v>
      </c>
      <c r="E10" s="982">
        <v>52267</v>
      </c>
      <c r="F10" s="982">
        <v>18392</v>
      </c>
      <c r="G10" s="982">
        <v>24437</v>
      </c>
      <c r="H10" s="982">
        <v>3764</v>
      </c>
      <c r="I10" s="982">
        <v>2298</v>
      </c>
    </row>
    <row r="11" spans="1:12">
      <c r="A11" s="51"/>
      <c r="B11" s="55"/>
    </row>
    <row r="12" spans="1:12">
      <c r="A12" s="51"/>
      <c r="B12" s="52" t="s">
        <v>246</v>
      </c>
      <c r="C12" s="55" t="s">
        <v>680</v>
      </c>
      <c r="D12" s="52" t="s">
        <v>1296</v>
      </c>
    </row>
    <row r="13" spans="1:12">
      <c r="A13" s="51"/>
    </row>
    <row r="14" spans="1:12">
      <c r="A14" s="51"/>
      <c r="D14" s="107" t="s">
        <v>1293</v>
      </c>
    </row>
    <row r="15" spans="1:12">
      <c r="A15" s="51"/>
      <c r="D15" s="107" t="s">
        <v>1292</v>
      </c>
    </row>
    <row r="16" spans="1:12">
      <c r="A16" s="51"/>
      <c r="D16" s="107" t="s">
        <v>1291</v>
      </c>
    </row>
    <row r="17" spans="1:10">
      <c r="A17" s="51"/>
    </row>
    <row r="18" spans="1:10">
      <c r="A18" s="51"/>
      <c r="D18" s="1662" t="s">
        <v>249</v>
      </c>
      <c r="E18" s="1662"/>
      <c r="F18" s="1662"/>
      <c r="G18" s="1662"/>
      <c r="H18" s="1662"/>
      <c r="I18" s="1662"/>
      <c r="J18" s="1662"/>
    </row>
    <row r="19" spans="1:10">
      <c r="A19" s="51"/>
    </row>
    <row r="20" spans="1:10">
      <c r="A20" s="51"/>
      <c r="B20" s="52" t="s">
        <v>6</v>
      </c>
      <c r="C20" s="55" t="s">
        <v>331</v>
      </c>
      <c r="D20" s="52" t="s">
        <v>1295</v>
      </c>
    </row>
    <row r="21" spans="1:10">
      <c r="A21" s="51"/>
      <c r="D21" s="52" t="s">
        <v>1294</v>
      </c>
    </row>
    <row r="22" spans="1:10">
      <c r="A22" s="51"/>
    </row>
    <row r="23" spans="1:10">
      <c r="A23" s="51"/>
      <c r="D23" s="107" t="s">
        <v>1293</v>
      </c>
    </row>
    <row r="24" spans="1:10">
      <c r="A24" s="51"/>
      <c r="B24" s="55"/>
      <c r="D24" s="107" t="s">
        <v>1292</v>
      </c>
    </row>
    <row r="25" spans="1:10">
      <c r="A25" s="51"/>
      <c r="B25" s="55"/>
      <c r="D25" s="107" t="s">
        <v>1291</v>
      </c>
    </row>
    <row r="26" spans="1:10">
      <c r="A26" s="51"/>
      <c r="B26" s="55"/>
    </row>
    <row r="27" spans="1:10">
      <c r="A27" s="51"/>
      <c r="B27" s="55"/>
      <c r="D27" s="1662" t="s">
        <v>249</v>
      </c>
      <c r="E27" s="1662"/>
      <c r="F27" s="1662"/>
      <c r="G27" s="1662"/>
      <c r="H27" s="1662"/>
      <c r="I27" s="1662"/>
      <c r="J27" s="1662"/>
    </row>
    <row r="28" spans="1:10">
      <c r="A28" s="51"/>
      <c r="B28" s="55"/>
    </row>
    <row r="29" spans="1:10">
      <c r="A29" s="51"/>
      <c r="B29" s="52" t="s">
        <v>256</v>
      </c>
      <c r="C29" s="55" t="s">
        <v>247</v>
      </c>
      <c r="D29" s="52" t="s">
        <v>1290</v>
      </c>
    </row>
    <row r="30" spans="1:10">
      <c r="A30" s="51"/>
      <c r="B30" s="55"/>
      <c r="D30" s="52" t="s">
        <v>1289</v>
      </c>
    </row>
    <row r="31" spans="1:10">
      <c r="A31" s="51"/>
      <c r="B31" s="55"/>
    </row>
    <row r="32" spans="1:10">
      <c r="A32" s="51"/>
      <c r="B32" s="55"/>
      <c r="D32" s="1662" t="s">
        <v>1288</v>
      </c>
      <c r="E32" s="1662"/>
      <c r="F32" s="1662"/>
      <c r="G32" s="1662"/>
      <c r="H32" s="1662"/>
      <c r="I32" s="1662"/>
      <c r="J32" s="1662"/>
    </row>
    <row r="33" spans="1:2">
      <c r="A33" s="51"/>
      <c r="B33" s="55"/>
    </row>
    <row r="34" spans="1:2">
      <c r="A34" s="51"/>
      <c r="B34" s="55"/>
    </row>
    <row r="35" spans="1:2">
      <c r="A35" s="51"/>
      <c r="B35" s="55"/>
    </row>
    <row r="36" spans="1:2">
      <c r="A36" s="51"/>
      <c r="B36" s="55"/>
    </row>
    <row r="37" spans="1:2">
      <c r="A37" s="51"/>
      <c r="B37" s="55"/>
    </row>
    <row r="38" spans="1:2">
      <c r="A38" s="51"/>
      <c r="B38" s="55"/>
    </row>
    <row r="39" spans="1:2">
      <c r="A39" s="51"/>
      <c r="B39" s="55"/>
    </row>
    <row r="40" spans="1:2">
      <c r="A40" s="51"/>
      <c r="B40" s="55"/>
    </row>
    <row r="41" spans="1:2">
      <c r="A41" s="51"/>
      <c r="B41" s="55"/>
    </row>
    <row r="42" spans="1:2">
      <c r="A42" s="51"/>
      <c r="B42" s="55"/>
    </row>
    <row r="43" spans="1:2">
      <c r="A43" s="51"/>
      <c r="B43" s="55"/>
    </row>
    <row r="44" spans="1:2">
      <c r="A44" s="51"/>
      <c r="B44" s="55"/>
    </row>
    <row r="45" spans="1:2">
      <c r="A45" s="51"/>
      <c r="B45" s="55"/>
    </row>
    <row r="46" spans="1:2">
      <c r="A46" s="51"/>
      <c r="B46" s="55"/>
    </row>
    <row r="47" spans="1:2">
      <c r="A47" s="51"/>
      <c r="B47" s="55"/>
    </row>
    <row r="48" spans="1:2">
      <c r="A48" s="51"/>
      <c r="B48" s="55"/>
    </row>
    <row r="49" spans="1:2">
      <c r="A49" s="51"/>
      <c r="B49" s="55"/>
    </row>
    <row r="50" spans="1:2">
      <c r="A50" s="51"/>
      <c r="B50" s="55"/>
    </row>
    <row r="51" spans="1:2">
      <c r="A51" s="51"/>
      <c r="B51" s="55"/>
    </row>
    <row r="52" spans="1:2">
      <c r="A52" s="51"/>
      <c r="B52" s="55"/>
    </row>
    <row r="53" spans="1:2">
      <c r="A53" s="51"/>
      <c r="B53" s="55"/>
    </row>
    <row r="54" spans="1:2">
      <c r="A54" s="51"/>
      <c r="B54" s="55"/>
    </row>
    <row r="55" spans="1:2">
      <c r="A55" s="51"/>
      <c r="B55" s="55"/>
    </row>
    <row r="56" spans="1:2">
      <c r="A56" s="51"/>
      <c r="B56" s="55"/>
    </row>
    <row r="57" spans="1:2">
      <c r="A57" s="51"/>
      <c r="B57" s="55"/>
    </row>
    <row r="58" spans="1:2">
      <c r="A58" s="51"/>
      <c r="B58" s="55"/>
    </row>
    <row r="59" spans="1:2">
      <c r="A59" s="51"/>
      <c r="B59" s="55"/>
    </row>
    <row r="60" spans="1:2">
      <c r="A60" s="51"/>
      <c r="B60" s="55"/>
    </row>
    <row r="61" spans="1:2">
      <c r="A61" s="51"/>
      <c r="B61" s="55"/>
    </row>
    <row r="62" spans="1:2">
      <c r="A62" s="51"/>
      <c r="B62" s="55"/>
    </row>
    <row r="63" spans="1:2">
      <c r="A63" s="51"/>
      <c r="B63" s="55"/>
    </row>
    <row r="64" spans="1:2">
      <c r="A64" s="51"/>
      <c r="B64" s="55"/>
    </row>
    <row r="65" spans="1:2">
      <c r="A65" s="51"/>
      <c r="B65" s="55"/>
    </row>
    <row r="66" spans="1:2">
      <c r="A66" s="51"/>
      <c r="B66" s="55"/>
    </row>
    <row r="67" spans="1:2">
      <c r="A67" s="51"/>
      <c r="B67" s="55"/>
    </row>
    <row r="68" spans="1:2">
      <c r="A68" s="51"/>
      <c r="B68" s="55"/>
    </row>
    <row r="69" spans="1:2">
      <c r="A69" s="51"/>
      <c r="B69" s="55"/>
    </row>
    <row r="70" spans="1:2">
      <c r="A70" s="51"/>
      <c r="B70" s="55"/>
    </row>
    <row r="71" spans="1:2">
      <c r="A71" s="51"/>
      <c r="B71" s="55"/>
    </row>
    <row r="72" spans="1:2">
      <c r="A72" s="51"/>
      <c r="B72" s="55"/>
    </row>
    <row r="73" spans="1:2">
      <c r="A73" s="51"/>
      <c r="B73" s="55"/>
    </row>
    <row r="74" spans="1:2">
      <c r="A74" s="51"/>
      <c r="B74" s="55"/>
    </row>
    <row r="75" spans="1:2">
      <c r="A75" s="51"/>
      <c r="B75" s="55"/>
    </row>
    <row r="76" spans="1:2">
      <c r="A76" s="51"/>
      <c r="B76" s="55"/>
    </row>
    <row r="77" spans="1:2">
      <c r="A77" s="51"/>
      <c r="B77" s="55"/>
    </row>
    <row r="78" spans="1:2">
      <c r="A78" s="51"/>
      <c r="B78" s="55"/>
    </row>
    <row r="79" spans="1:2">
      <c r="A79" s="51"/>
      <c r="B79" s="55"/>
    </row>
    <row r="80" spans="1:2">
      <c r="A80" s="51"/>
      <c r="B80" s="55"/>
    </row>
    <row r="81" spans="1:2">
      <c r="A81" s="51"/>
      <c r="B81" s="55"/>
    </row>
    <row r="82" spans="1:2">
      <c r="A82" s="51"/>
      <c r="B82" s="55"/>
    </row>
  </sheetData>
  <mergeCells count="5">
    <mergeCell ref="D7:G7"/>
    <mergeCell ref="H7:I7"/>
    <mergeCell ref="D18:J18"/>
    <mergeCell ref="D27:J27"/>
    <mergeCell ref="D32:J3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A95AA-308D-4D22-A2D4-2980E1295F59}">
  <dimension ref="A1:K69"/>
  <sheetViews>
    <sheetView zoomScale="90" zoomScaleNormal="90" workbookViewId="0"/>
  </sheetViews>
  <sheetFormatPr defaultColWidth="8.88671875" defaultRowHeight="15.6"/>
  <cols>
    <col min="1" max="1" width="3.5546875" style="172" customWidth="1"/>
    <col min="2" max="2" width="24.44140625" style="172" customWidth="1"/>
    <col min="3" max="3" width="19.44140625" style="172" customWidth="1"/>
    <col min="4" max="5" width="17" style="172" customWidth="1"/>
    <col min="6" max="8" width="8.88671875" style="172"/>
    <col min="9" max="9" width="2.5546875" style="173" customWidth="1"/>
    <col min="10" max="16384" width="8.88671875" style="4"/>
  </cols>
  <sheetData>
    <row r="1" spans="1:10" ht="18.899999999999999" customHeight="1">
      <c r="A1" s="172" t="s">
        <v>279</v>
      </c>
      <c r="J1" s="4" t="s">
        <v>279</v>
      </c>
    </row>
    <row r="2" spans="1:10" ht="27.45" customHeight="1">
      <c r="A2" s="172" t="s">
        <v>218</v>
      </c>
      <c r="J2" s="4" t="s">
        <v>218</v>
      </c>
    </row>
    <row r="3" spans="1:10" ht="18.45" customHeight="1">
      <c r="A3" s="174"/>
    </row>
    <row r="4" spans="1:10" ht="18.45" customHeight="1">
      <c r="A4" s="175"/>
      <c r="J4" s="4" t="s">
        <v>260</v>
      </c>
    </row>
    <row r="5" spans="1:10">
      <c r="A5" s="175"/>
      <c r="B5" s="176" t="s">
        <v>280</v>
      </c>
      <c r="C5" s="172" t="s">
        <v>281</v>
      </c>
    </row>
    <row r="6" spans="1:10">
      <c r="A6" s="177"/>
    </row>
    <row r="7" spans="1:10">
      <c r="A7" s="178"/>
      <c r="B7" s="179" t="s">
        <v>177</v>
      </c>
      <c r="C7" s="180"/>
    </row>
    <row r="8" spans="1:10" ht="32.25" customHeight="1">
      <c r="A8" s="178"/>
      <c r="B8" s="181" t="s">
        <v>222</v>
      </c>
      <c r="C8" s="1373" t="s">
        <v>223</v>
      </c>
      <c r="D8" s="1373"/>
    </row>
    <row r="9" spans="1:10">
      <c r="A9" s="182"/>
      <c r="B9" s="181" t="s">
        <v>224</v>
      </c>
      <c r="C9" s="1373" t="s">
        <v>42</v>
      </c>
      <c r="D9" s="1373"/>
      <c r="E9" s="183"/>
      <c r="F9" s="183"/>
    </row>
    <row r="10" spans="1:10" ht="31.2">
      <c r="A10" s="182"/>
      <c r="B10" s="181" t="s">
        <v>282</v>
      </c>
      <c r="C10" s="1394" t="s">
        <v>283</v>
      </c>
      <c r="D10" s="1396"/>
      <c r="E10" s="183"/>
      <c r="F10" s="183"/>
    </row>
    <row r="11" spans="1:10">
      <c r="A11" s="182"/>
      <c r="B11" s="181" t="s">
        <v>225</v>
      </c>
      <c r="C11" s="1373" t="s">
        <v>181</v>
      </c>
      <c r="D11" s="1373"/>
      <c r="E11" s="183"/>
      <c r="F11" s="183"/>
    </row>
    <row r="12" spans="1:10" ht="30.75" customHeight="1">
      <c r="A12" s="184"/>
      <c r="B12" s="181" t="s">
        <v>226</v>
      </c>
      <c r="C12" s="1373" t="s">
        <v>227</v>
      </c>
      <c r="D12" s="1373"/>
    </row>
    <row r="13" spans="1:10" ht="101.7" customHeight="1">
      <c r="A13" s="184"/>
      <c r="B13" s="181" t="s">
        <v>228</v>
      </c>
      <c r="C13" s="1373" t="s">
        <v>284</v>
      </c>
      <c r="D13" s="1373"/>
    </row>
    <row r="14" spans="1:10">
      <c r="B14" s="185"/>
    </row>
    <row r="15" spans="1:10">
      <c r="A15" s="186"/>
      <c r="B15" s="179" t="s">
        <v>230</v>
      </c>
    </row>
    <row r="16" spans="1:10">
      <c r="B16" s="187" t="s">
        <v>231</v>
      </c>
      <c r="C16" s="210">
        <v>0.05</v>
      </c>
      <c r="D16" s="211" t="s">
        <v>52</v>
      </c>
    </row>
    <row r="17" spans="1:5" ht="16.2">
      <c r="A17" s="188"/>
      <c r="B17" s="187" t="s">
        <v>233</v>
      </c>
      <c r="C17" s="210">
        <v>0.03</v>
      </c>
      <c r="D17" s="211" t="s">
        <v>52</v>
      </c>
      <c r="E17" s="180"/>
    </row>
    <row r="18" spans="1:5">
      <c r="B18" s="187" t="s">
        <v>285</v>
      </c>
      <c r="C18" s="212" t="s">
        <v>55</v>
      </c>
      <c r="D18" s="213" t="s">
        <v>56</v>
      </c>
      <c r="E18" s="180"/>
    </row>
    <row r="19" spans="1:5">
      <c r="B19" s="187"/>
      <c r="C19" s="214">
        <v>60</v>
      </c>
      <c r="D19" s="215">
        <v>0.25</v>
      </c>
      <c r="E19" s="180"/>
    </row>
    <row r="20" spans="1:5">
      <c r="B20" s="187"/>
      <c r="C20" s="214">
        <v>63</v>
      </c>
      <c r="D20" s="215">
        <v>0.5</v>
      </c>
      <c r="E20" s="180"/>
    </row>
    <row r="21" spans="1:5">
      <c r="B21" s="187"/>
      <c r="C21" s="214">
        <v>65</v>
      </c>
      <c r="D21" s="215">
        <v>1</v>
      </c>
      <c r="E21" s="180"/>
    </row>
    <row r="22" spans="1:5">
      <c r="B22" s="187"/>
      <c r="C22" s="214" t="s">
        <v>286</v>
      </c>
      <c r="D22" s="215">
        <v>0</v>
      </c>
      <c r="E22" s="180"/>
    </row>
    <row r="23" spans="1:5">
      <c r="B23" s="187" t="s">
        <v>287</v>
      </c>
      <c r="C23" s="216" t="s">
        <v>55</v>
      </c>
      <c r="D23" s="217" t="s">
        <v>56</v>
      </c>
      <c r="E23" s="180"/>
    </row>
    <row r="24" spans="1:5">
      <c r="B24" s="187"/>
      <c r="C24" s="214">
        <v>40</v>
      </c>
      <c r="D24" s="215">
        <v>0.03</v>
      </c>
      <c r="E24" s="180"/>
    </row>
    <row r="25" spans="1:5">
      <c r="B25" s="187"/>
      <c r="C25" s="214">
        <v>45</v>
      </c>
      <c r="D25" s="215">
        <v>0.02</v>
      </c>
      <c r="E25" s="180"/>
    </row>
    <row r="26" spans="1:5">
      <c r="B26" s="187"/>
      <c r="C26" s="214" t="s">
        <v>286</v>
      </c>
      <c r="D26" s="215">
        <v>0</v>
      </c>
      <c r="E26" s="180"/>
    </row>
    <row r="27" spans="1:5">
      <c r="B27" s="187" t="s">
        <v>288</v>
      </c>
      <c r="C27" s="1400" t="s">
        <v>59</v>
      </c>
      <c r="D27" s="1401"/>
      <c r="E27" s="180"/>
    </row>
    <row r="28" spans="1:5">
      <c r="B28" s="187" t="s">
        <v>289</v>
      </c>
      <c r="C28" s="1400" t="s">
        <v>61</v>
      </c>
      <c r="D28" s="1401"/>
      <c r="E28" s="180"/>
    </row>
    <row r="29" spans="1:5">
      <c r="B29" s="187" t="s">
        <v>237</v>
      </c>
      <c r="C29" s="1400" t="s">
        <v>290</v>
      </c>
      <c r="D29" s="1401"/>
      <c r="E29" s="180"/>
    </row>
    <row r="30" spans="1:5">
      <c r="B30" s="187" t="s">
        <v>291</v>
      </c>
      <c r="C30" s="1402" t="s">
        <v>292</v>
      </c>
      <c r="D30" s="1401"/>
      <c r="E30" s="180"/>
    </row>
    <row r="31" spans="1:5">
      <c r="B31" s="178"/>
      <c r="C31" s="218"/>
      <c r="D31" s="218"/>
      <c r="E31" s="180"/>
    </row>
    <row r="33" spans="2:5">
      <c r="B33" s="179" t="s">
        <v>293</v>
      </c>
      <c r="C33" s="180"/>
      <c r="D33" s="180"/>
      <c r="E33" s="180"/>
    </row>
    <row r="34" spans="2:5">
      <c r="B34" s="189"/>
      <c r="C34" s="190" t="s">
        <v>67</v>
      </c>
      <c r="D34" s="190" t="s">
        <v>68</v>
      </c>
      <c r="E34" s="190" t="s">
        <v>240</v>
      </c>
    </row>
    <row r="35" spans="2:5">
      <c r="B35" s="181" t="s">
        <v>55</v>
      </c>
      <c r="C35" s="191">
        <v>40</v>
      </c>
      <c r="D35" s="191">
        <v>55</v>
      </c>
      <c r="E35" s="191">
        <v>64</v>
      </c>
    </row>
    <row r="36" spans="2:5">
      <c r="B36" s="181" t="s">
        <v>241</v>
      </c>
      <c r="C36" s="192">
        <v>55000</v>
      </c>
      <c r="D36" s="192">
        <v>65000</v>
      </c>
      <c r="E36" s="192">
        <v>80000</v>
      </c>
    </row>
    <row r="37" spans="2:5">
      <c r="B37" s="181" t="s">
        <v>242</v>
      </c>
      <c r="C37" s="191">
        <v>10</v>
      </c>
      <c r="D37" s="191">
        <v>10</v>
      </c>
      <c r="E37" s="191">
        <v>13</v>
      </c>
    </row>
    <row r="39" spans="2:5">
      <c r="B39" s="179" t="s">
        <v>243</v>
      </c>
    </row>
    <row r="40" spans="2:5" ht="15.75" customHeight="1">
      <c r="B40" s="219"/>
      <c r="C40" s="1371">
        <v>15.6</v>
      </c>
    </row>
    <row r="41" spans="2:5">
      <c r="B41" s="194"/>
      <c r="C41" s="1372"/>
    </row>
    <row r="42" spans="2:5">
      <c r="B42" s="219"/>
      <c r="C42" s="1371">
        <v>14.8</v>
      </c>
    </row>
    <row r="43" spans="2:5">
      <c r="B43" s="194"/>
      <c r="C43" s="1372"/>
    </row>
    <row r="44" spans="2:5">
      <c r="B44" s="219"/>
      <c r="C44" s="1406">
        <v>14.1</v>
      </c>
    </row>
    <row r="45" spans="2:5">
      <c r="B45" s="194"/>
      <c r="C45" s="1406"/>
    </row>
    <row r="46" spans="2:5">
      <c r="B46" s="219"/>
      <c r="C46" s="1406">
        <v>13.6</v>
      </c>
    </row>
    <row r="47" spans="2:5">
      <c r="B47" s="194"/>
      <c r="C47" s="1406"/>
    </row>
    <row r="48" spans="2:5">
      <c r="B48" s="219"/>
      <c r="C48" s="1406">
        <v>13.3</v>
      </c>
    </row>
    <row r="49" spans="1:11">
      <c r="B49" s="194"/>
      <c r="C49" s="1406"/>
    </row>
    <row r="50" spans="1:11" s="56" customFormat="1">
      <c r="A50" s="175"/>
      <c r="B50" s="175"/>
      <c r="C50" s="175"/>
      <c r="D50" s="175"/>
      <c r="E50" s="175"/>
      <c r="F50" s="175"/>
      <c r="G50" s="175"/>
      <c r="H50" s="175"/>
      <c r="I50" s="220"/>
    </row>
    <row r="51" spans="1:11">
      <c r="B51" s="179" t="s">
        <v>244</v>
      </c>
    </row>
    <row r="52" spans="1:11" ht="31.2">
      <c r="B52" s="181" t="s">
        <v>294</v>
      </c>
      <c r="C52" s="195">
        <v>450000</v>
      </c>
    </row>
    <row r="54" spans="1:11">
      <c r="A54" s="172" t="s">
        <v>246</v>
      </c>
      <c r="B54" s="176" t="s">
        <v>276</v>
      </c>
      <c r="C54" s="172" t="s">
        <v>295</v>
      </c>
    </row>
    <row r="55" spans="1:11">
      <c r="B55" s="176"/>
      <c r="C55" s="172" t="s">
        <v>296</v>
      </c>
    </row>
    <row r="56" spans="1:11">
      <c r="B56" s="176"/>
    </row>
    <row r="57" spans="1:11">
      <c r="B57" s="176"/>
      <c r="C57" s="1375" t="s">
        <v>249</v>
      </c>
      <c r="D57" s="1375"/>
      <c r="E57" s="1375"/>
      <c r="F57" s="1375"/>
      <c r="G57" s="1375"/>
      <c r="H57" s="1375"/>
      <c r="I57" s="1375"/>
      <c r="J57" s="196"/>
      <c r="K57" s="196"/>
    </row>
    <row r="58" spans="1:11">
      <c r="B58" s="176"/>
    </row>
    <row r="60" spans="1:11">
      <c r="B60" s="197" t="s">
        <v>78</v>
      </c>
    </row>
    <row r="61" spans="1:11">
      <c r="B61" s="1374" t="s">
        <v>297</v>
      </c>
      <c r="C61" s="1374"/>
      <c r="D61" s="1374"/>
      <c r="E61" s="198">
        <v>0.1</v>
      </c>
    </row>
    <row r="62" spans="1:11">
      <c r="B62" s="1376" t="s">
        <v>298</v>
      </c>
      <c r="C62" s="1376"/>
      <c r="D62" s="1376"/>
      <c r="E62" s="199">
        <v>50000</v>
      </c>
    </row>
    <row r="63" spans="1:11">
      <c r="B63" s="221" t="s">
        <v>299</v>
      </c>
      <c r="C63" s="222"/>
      <c r="D63" s="223"/>
      <c r="E63" s="199">
        <v>56000</v>
      </c>
    </row>
    <row r="64" spans="1:11">
      <c r="B64" s="1403" t="s">
        <v>300</v>
      </c>
      <c r="C64" s="1404"/>
      <c r="D64" s="1405"/>
      <c r="E64" s="199">
        <v>79000</v>
      </c>
    </row>
    <row r="65" spans="1:9" ht="30" customHeight="1">
      <c r="B65" s="1377" t="s">
        <v>301</v>
      </c>
      <c r="C65" s="1377"/>
      <c r="D65" s="1377"/>
      <c r="E65" s="1377"/>
    </row>
    <row r="67" spans="1:9">
      <c r="A67" s="172" t="s">
        <v>6</v>
      </c>
      <c r="B67" s="176" t="s">
        <v>302</v>
      </c>
      <c r="C67" s="172" t="s">
        <v>303</v>
      </c>
    </row>
    <row r="68" spans="1:9">
      <c r="B68" s="176"/>
    </row>
    <row r="69" spans="1:9">
      <c r="B69" s="176"/>
      <c r="C69" s="1375" t="s">
        <v>249</v>
      </c>
      <c r="D69" s="1375"/>
      <c r="E69" s="1375"/>
      <c r="F69" s="1375"/>
      <c r="G69" s="1375"/>
      <c r="H69" s="1375"/>
      <c r="I69" s="1375"/>
    </row>
  </sheetData>
  <mergeCells count="21">
    <mergeCell ref="B64:D64"/>
    <mergeCell ref="B65:E65"/>
    <mergeCell ref="C69:I69"/>
    <mergeCell ref="C44:C45"/>
    <mergeCell ref="C46:C47"/>
    <mergeCell ref="C48:C49"/>
    <mergeCell ref="C57:I57"/>
    <mergeCell ref="B61:D61"/>
    <mergeCell ref="B62:D62"/>
    <mergeCell ref="C42:C43"/>
    <mergeCell ref="C8:D8"/>
    <mergeCell ref="C9:D9"/>
    <mergeCell ref="C10:D10"/>
    <mergeCell ref="C11:D11"/>
    <mergeCell ref="C12:D12"/>
    <mergeCell ref="C13:D13"/>
    <mergeCell ref="C27:D27"/>
    <mergeCell ref="C28:D28"/>
    <mergeCell ref="C29:D29"/>
    <mergeCell ref="C30:D30"/>
    <mergeCell ref="C40:C41"/>
  </mergeCells>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F95B9-2D7A-4018-8AE0-CC9CD5F2770E}">
  <dimension ref="A1:W49"/>
  <sheetViews>
    <sheetView zoomScale="75" zoomScaleNormal="75" workbookViewId="0">
      <selection sqref="A1:XFD1048576"/>
    </sheetView>
  </sheetViews>
  <sheetFormatPr defaultColWidth="9.109375" defaultRowHeight="15.6"/>
  <cols>
    <col min="1" max="1" width="3.88671875" style="2" customWidth="1"/>
    <col min="2" max="2" width="20.109375" style="2" customWidth="1"/>
    <col min="3" max="7" width="17.109375" style="2" bestFit="1" customWidth="1"/>
    <col min="8" max="8" width="9" style="2" customWidth="1"/>
    <col min="9" max="9" width="1" style="3" customWidth="1"/>
    <col min="10" max="10" width="4" style="560" customWidth="1"/>
    <col min="11" max="12" width="9.109375" style="560"/>
    <col min="13" max="13" width="14.88671875" style="560" customWidth="1"/>
    <col min="14" max="14" width="11.88671875" style="560" bestFit="1" customWidth="1"/>
    <col min="15" max="15" width="13.109375" style="560" bestFit="1" customWidth="1"/>
    <col min="16" max="16" width="18.5546875" style="560" customWidth="1"/>
    <col min="17" max="17" width="11" style="560" bestFit="1" customWidth="1"/>
    <col min="18" max="20" width="9.109375" style="560"/>
    <col min="21" max="21" width="9.88671875" style="560" bestFit="1" customWidth="1"/>
    <col min="22" max="22" width="1" style="3" customWidth="1"/>
    <col min="23" max="23" width="9.109375" style="4"/>
  </cols>
  <sheetData>
    <row r="1" spans="1:21">
      <c r="A1" s="1" t="str">
        <f>'[5]Question 8'!A1</f>
        <v>Exam RETDAC:  Fall 2022</v>
      </c>
      <c r="J1" s="1" t="str">
        <f>A1</f>
        <v>Exam RETDAC:  Fall 2022</v>
      </c>
      <c r="K1" s="2"/>
      <c r="L1" s="2"/>
      <c r="M1" s="2"/>
      <c r="N1" s="2"/>
      <c r="O1" s="2"/>
      <c r="P1" s="2"/>
      <c r="Q1" s="2"/>
      <c r="R1" s="2"/>
      <c r="S1" s="2"/>
      <c r="T1" s="2"/>
      <c r="U1" s="2"/>
    </row>
    <row r="2" spans="1:21">
      <c r="A2" s="1" t="s">
        <v>732</v>
      </c>
      <c r="J2" s="1" t="str">
        <f>A2</f>
        <v>Design and Accounting Exam – Canada</v>
      </c>
      <c r="K2" s="2"/>
      <c r="L2" s="2"/>
      <c r="M2" s="2"/>
      <c r="N2" s="2"/>
      <c r="O2" s="2"/>
      <c r="P2" s="2"/>
      <c r="Q2" s="2"/>
      <c r="R2" s="2"/>
      <c r="S2" s="2"/>
      <c r="T2" s="2"/>
      <c r="U2" s="2"/>
    </row>
    <row r="3" spans="1:21">
      <c r="A3" s="1" t="s">
        <v>464</v>
      </c>
      <c r="J3" s="1" t="str">
        <f>A3</f>
        <v>Question 5</v>
      </c>
      <c r="K3" s="2"/>
      <c r="L3" s="2"/>
      <c r="M3" s="2"/>
      <c r="N3" s="2"/>
      <c r="O3" s="2"/>
      <c r="P3" s="2"/>
      <c r="Q3" s="2"/>
      <c r="R3" s="2"/>
      <c r="S3" s="2"/>
      <c r="T3" s="2"/>
      <c r="U3" s="2"/>
    </row>
    <row r="4" spans="1:21">
      <c r="J4" s="2"/>
      <c r="K4" s="2"/>
      <c r="L4" s="2"/>
      <c r="M4" s="2"/>
      <c r="N4" s="2"/>
      <c r="O4" s="2"/>
      <c r="P4" s="2"/>
      <c r="Q4" s="2"/>
      <c r="R4" s="2"/>
      <c r="S4" s="2"/>
      <c r="T4" s="2"/>
      <c r="U4" s="2"/>
    </row>
    <row r="5" spans="1:21" ht="16.2">
      <c r="A5" s="2" t="s">
        <v>1313</v>
      </c>
      <c r="C5" s="7"/>
      <c r="D5" s="7"/>
      <c r="E5" s="7"/>
      <c r="F5" s="7"/>
      <c r="G5" s="7"/>
      <c r="J5" s="6" t="s">
        <v>4</v>
      </c>
      <c r="K5" s="2"/>
      <c r="L5" s="2"/>
      <c r="M5" s="2"/>
      <c r="N5" s="2"/>
      <c r="O5" s="2"/>
      <c r="P5" s="2"/>
      <c r="Q5" s="2"/>
      <c r="R5" s="2"/>
      <c r="S5" s="2"/>
      <c r="T5" s="2"/>
      <c r="U5" s="2"/>
    </row>
    <row r="6" spans="1:21">
      <c r="J6" s="2"/>
      <c r="K6" s="2"/>
      <c r="L6" s="2"/>
      <c r="M6" s="2"/>
      <c r="N6" s="2"/>
      <c r="O6" s="2"/>
      <c r="P6" s="2"/>
      <c r="Q6" s="2"/>
      <c r="R6" s="2"/>
      <c r="S6" s="2"/>
      <c r="T6" s="2"/>
      <c r="U6" s="2"/>
    </row>
    <row r="7" spans="1:21" ht="15.6" customHeight="1">
      <c r="B7" s="592" t="s">
        <v>12</v>
      </c>
      <c r="C7" s="590" t="s">
        <v>1312</v>
      </c>
      <c r="D7" s="590" t="s">
        <v>1311</v>
      </c>
      <c r="E7" s="581"/>
      <c r="F7" s="581"/>
      <c r="G7" s="581"/>
      <c r="J7" s="2" t="s">
        <v>6</v>
      </c>
      <c r="K7" s="2" t="s">
        <v>1310</v>
      </c>
      <c r="L7" s="2"/>
      <c r="M7" s="2"/>
      <c r="N7" s="2"/>
      <c r="O7" s="2"/>
      <c r="P7" s="2"/>
      <c r="Q7" s="8"/>
      <c r="R7" s="8"/>
      <c r="S7" s="8"/>
      <c r="T7" s="8"/>
      <c r="U7" s="8"/>
    </row>
    <row r="8" spans="1:21">
      <c r="B8" s="592">
        <v>1</v>
      </c>
      <c r="C8" s="693">
        <v>100000</v>
      </c>
      <c r="D8" s="988">
        <v>5.0000000000000001E-3</v>
      </c>
      <c r="J8" s="2"/>
      <c r="K8" s="2"/>
      <c r="L8" s="2"/>
      <c r="M8" s="2"/>
      <c r="N8" s="2"/>
      <c r="O8" s="2"/>
      <c r="P8" s="2"/>
      <c r="Q8" s="9"/>
      <c r="R8" s="9"/>
      <c r="S8" s="9"/>
      <c r="T8" s="9"/>
      <c r="U8" s="9"/>
    </row>
    <row r="9" spans="1:21" ht="18.600000000000001" customHeight="1">
      <c r="B9" s="592">
        <v>2</v>
      </c>
      <c r="C9" s="693">
        <v>97000</v>
      </c>
      <c r="D9" s="988">
        <v>7.0000000000000001E-3</v>
      </c>
      <c r="J9" s="2"/>
      <c r="K9" s="2" t="str">
        <f>B26</f>
        <v>(i)    Projected Benefit Obligation under ASC 715</v>
      </c>
      <c r="L9" s="7"/>
      <c r="M9" s="7"/>
      <c r="N9" s="7"/>
      <c r="O9" s="7"/>
      <c r="P9" s="7"/>
      <c r="Q9" s="7"/>
      <c r="R9" s="7"/>
      <c r="S9" s="7"/>
      <c r="T9" s="7"/>
      <c r="U9" s="7"/>
    </row>
    <row r="10" spans="1:21">
      <c r="B10" s="592">
        <v>3</v>
      </c>
      <c r="C10" s="693">
        <v>94000</v>
      </c>
      <c r="D10" s="988">
        <v>9.0000000000000011E-3</v>
      </c>
      <c r="J10" s="2"/>
      <c r="K10" s="987"/>
      <c r="L10" s="7"/>
      <c r="M10" s="7"/>
      <c r="N10" s="7"/>
      <c r="O10" s="7"/>
      <c r="P10" s="7"/>
      <c r="Q10" s="7"/>
      <c r="R10" s="7"/>
      <c r="S10" s="7"/>
      <c r="T10" s="7"/>
      <c r="U10" s="7"/>
    </row>
    <row r="11" spans="1:21">
      <c r="B11" s="592">
        <v>4</v>
      </c>
      <c r="C11" s="693">
        <v>91000</v>
      </c>
      <c r="D11" s="988">
        <v>1.1000000000000001E-2</v>
      </c>
      <c r="J11" s="2"/>
      <c r="K11" s="2" t="str">
        <f>B28</f>
        <v>(ii)  Interest Cost under ASC 715</v>
      </c>
      <c r="L11" s="2"/>
      <c r="M11" s="2"/>
      <c r="N11" s="2"/>
      <c r="O11" s="2"/>
      <c r="P11" s="584"/>
      <c r="Q11" s="9"/>
      <c r="R11" s="9"/>
      <c r="S11" s="9"/>
      <c r="T11" s="9"/>
      <c r="U11" s="9"/>
    </row>
    <row r="12" spans="1:21">
      <c r="B12" s="592">
        <v>5</v>
      </c>
      <c r="C12" s="693">
        <v>88000</v>
      </c>
      <c r="D12" s="988">
        <v>1.3000000000000001E-2</v>
      </c>
      <c r="J12" s="2"/>
      <c r="K12" s="591"/>
      <c r="L12" s="2"/>
      <c r="M12" s="2"/>
      <c r="N12" s="2"/>
      <c r="O12" s="2"/>
      <c r="P12" s="584"/>
      <c r="Q12" s="9"/>
      <c r="R12" s="9"/>
      <c r="S12" s="9"/>
      <c r="T12" s="9"/>
      <c r="U12" s="9"/>
    </row>
    <row r="13" spans="1:21">
      <c r="B13" s="592">
        <v>6</v>
      </c>
      <c r="C13" s="693">
        <v>85000</v>
      </c>
      <c r="D13" s="988">
        <v>1.5000000000000001E-2</v>
      </c>
      <c r="J13" s="2"/>
      <c r="K13" s="2" t="str">
        <f>B30</f>
        <v>(iii) Equivalent discount rates that would be disclosed in the ASC 715 report</v>
      </c>
      <c r="L13" s="5"/>
      <c r="M13" s="5"/>
      <c r="N13" s="5"/>
      <c r="O13" s="5"/>
      <c r="P13" s="5"/>
      <c r="Q13" s="5"/>
      <c r="R13" s="5"/>
      <c r="S13" s="5"/>
      <c r="T13" s="5"/>
      <c r="U13" s="5"/>
    </row>
    <row r="14" spans="1:21">
      <c r="B14" s="592">
        <v>7</v>
      </c>
      <c r="C14" s="693">
        <v>82000</v>
      </c>
      <c r="D14" s="988">
        <v>1.7000000000000001E-2</v>
      </c>
      <c r="J14" s="2"/>
      <c r="K14" s="591"/>
      <c r="L14" s="5"/>
      <c r="M14" s="5"/>
      <c r="N14" s="5"/>
      <c r="O14" s="5"/>
      <c r="P14" s="5"/>
      <c r="Q14" s="5"/>
      <c r="R14" s="5"/>
      <c r="S14" s="5"/>
      <c r="T14" s="5"/>
      <c r="U14" s="5"/>
    </row>
    <row r="15" spans="1:21">
      <c r="B15" s="592">
        <v>8</v>
      </c>
      <c r="C15" s="693">
        <v>79000</v>
      </c>
      <c r="D15" s="988">
        <v>1.9000000000000003E-2</v>
      </c>
      <c r="J15" s="2"/>
      <c r="K15" s="2" t="str">
        <f>B32</f>
        <v>Show all work.</v>
      </c>
      <c r="L15" s="2"/>
      <c r="M15" s="2"/>
      <c r="N15" s="2"/>
      <c r="O15" s="2"/>
      <c r="P15" s="584"/>
      <c r="Q15" s="9"/>
      <c r="R15" s="9"/>
      <c r="S15" s="9"/>
      <c r="T15" s="9"/>
      <c r="U15" s="9"/>
    </row>
    <row r="16" spans="1:21">
      <c r="B16" s="592">
        <v>9</v>
      </c>
      <c r="C16" s="693">
        <v>76000</v>
      </c>
      <c r="D16" s="988">
        <v>2.1000000000000005E-2</v>
      </c>
      <c r="J16" s="2"/>
      <c r="K16" s="591"/>
      <c r="L16" s="2"/>
      <c r="M16" s="2"/>
      <c r="N16" s="2"/>
      <c r="O16" s="2"/>
      <c r="P16" s="2"/>
      <c r="Q16" s="2"/>
      <c r="R16" s="2"/>
      <c r="S16" s="2"/>
      <c r="T16" s="2"/>
      <c r="U16" s="2"/>
    </row>
    <row r="17" spans="1:22">
      <c r="B17" s="592">
        <v>10</v>
      </c>
      <c r="C17" s="693">
        <v>73000</v>
      </c>
      <c r="D17" s="988">
        <v>2.3000000000000007E-2</v>
      </c>
      <c r="K17" s="989"/>
    </row>
    <row r="18" spans="1:22">
      <c r="B18" s="592">
        <v>11</v>
      </c>
      <c r="C18" s="693">
        <v>70000</v>
      </c>
      <c r="D18" s="988">
        <v>2.5000000000000008E-2</v>
      </c>
      <c r="K18" s="989"/>
    </row>
    <row r="19" spans="1:22">
      <c r="B19" s="592">
        <v>12</v>
      </c>
      <c r="C19" s="693">
        <v>67000</v>
      </c>
      <c r="D19" s="988">
        <v>2.700000000000001E-2</v>
      </c>
    </row>
    <row r="20" spans="1:22" s="4" customFormat="1">
      <c r="A20" s="2"/>
      <c r="B20" s="592">
        <v>13</v>
      </c>
      <c r="C20" s="693">
        <v>64000</v>
      </c>
      <c r="D20" s="988">
        <v>2.9000000000000012E-2</v>
      </c>
      <c r="E20" s="2"/>
      <c r="F20" s="2"/>
      <c r="G20" s="2"/>
      <c r="H20" s="2"/>
      <c r="I20" s="3"/>
      <c r="J20" s="560"/>
      <c r="K20" s="33"/>
      <c r="L20" s="984"/>
      <c r="M20" s="985"/>
      <c r="N20" s="984"/>
      <c r="O20" s="984"/>
      <c r="P20" s="984"/>
      <c r="Q20" s="984"/>
      <c r="R20" s="984"/>
      <c r="S20" s="560"/>
      <c r="T20" s="560"/>
      <c r="U20" s="560"/>
      <c r="V20" s="3"/>
    </row>
    <row r="21" spans="1:22" s="4" customFormat="1">
      <c r="A21" s="2"/>
      <c r="B21" s="592">
        <v>14</v>
      </c>
      <c r="C21" s="693">
        <v>61000</v>
      </c>
      <c r="D21" s="988">
        <v>3.1000000000000014E-2</v>
      </c>
      <c r="E21" s="2"/>
      <c r="F21" s="2"/>
      <c r="G21" s="2"/>
      <c r="H21" s="2"/>
      <c r="I21" s="3"/>
      <c r="J21" s="560"/>
      <c r="K21" s="33"/>
      <c r="L21" s="984"/>
      <c r="M21" s="985"/>
      <c r="N21" s="984"/>
      <c r="O21" s="984"/>
      <c r="P21" s="984"/>
      <c r="Q21" s="984"/>
      <c r="R21" s="984"/>
      <c r="S21" s="560"/>
      <c r="T21" s="560"/>
      <c r="U21" s="560"/>
      <c r="V21" s="3"/>
    </row>
    <row r="22" spans="1:22" s="4" customFormat="1">
      <c r="A22" s="2"/>
      <c r="B22" s="592">
        <v>15</v>
      </c>
      <c r="C22" s="693">
        <v>58000</v>
      </c>
      <c r="D22" s="988">
        <v>3.3000000000000015E-2</v>
      </c>
      <c r="E22" s="2"/>
      <c r="F22" s="2"/>
      <c r="G22" s="2"/>
      <c r="H22" s="2"/>
      <c r="I22" s="3"/>
      <c r="J22" s="560"/>
      <c r="K22" s="33"/>
      <c r="L22" s="984"/>
      <c r="M22" s="985"/>
      <c r="N22" s="984"/>
      <c r="O22" s="984"/>
      <c r="P22" s="984"/>
      <c r="Q22" s="984"/>
      <c r="R22" s="984"/>
      <c r="S22" s="560"/>
      <c r="T22" s="560"/>
      <c r="U22" s="560"/>
      <c r="V22" s="3"/>
    </row>
    <row r="23" spans="1:22" s="4" customFormat="1">
      <c r="A23" s="2"/>
      <c r="B23" s="2"/>
      <c r="C23" s="2"/>
      <c r="D23" s="2"/>
      <c r="E23" s="2"/>
      <c r="F23" s="2"/>
      <c r="G23" s="2"/>
      <c r="H23" s="2"/>
      <c r="I23" s="3"/>
      <c r="J23" s="560"/>
      <c r="K23" s="33"/>
      <c r="L23" s="984"/>
      <c r="M23" s="985"/>
      <c r="N23" s="984"/>
      <c r="O23" s="984"/>
      <c r="P23" s="984"/>
      <c r="Q23" s="984"/>
      <c r="R23" s="984"/>
      <c r="S23" s="560"/>
      <c r="T23" s="560"/>
      <c r="U23" s="560"/>
      <c r="V23" s="3"/>
    </row>
    <row r="24" spans="1:22" s="4" customFormat="1">
      <c r="A24" s="2" t="s">
        <v>6</v>
      </c>
      <c r="B24" s="2" t="s">
        <v>1309</v>
      </c>
      <c r="C24" s="2"/>
      <c r="D24" s="2"/>
      <c r="E24" s="7"/>
      <c r="F24" s="2"/>
      <c r="G24" s="2"/>
      <c r="H24" s="2"/>
      <c r="I24" s="3"/>
      <c r="J24" s="560"/>
      <c r="K24" s="33"/>
      <c r="L24" s="984"/>
      <c r="M24" s="985"/>
      <c r="N24" s="984"/>
      <c r="O24" s="984"/>
      <c r="P24" s="984"/>
      <c r="Q24" s="984"/>
      <c r="R24" s="984"/>
      <c r="S24" s="560"/>
      <c r="T24" s="560"/>
      <c r="U24" s="560"/>
      <c r="V24" s="3"/>
    </row>
    <row r="25" spans="1:22" s="4" customFormat="1">
      <c r="A25" s="2"/>
      <c r="B25" s="987"/>
      <c r="C25" s="2"/>
      <c r="D25" s="2"/>
      <c r="E25" s="591"/>
      <c r="F25" s="2"/>
      <c r="G25" s="2"/>
      <c r="H25" s="2"/>
      <c r="I25" s="3"/>
      <c r="J25" s="560"/>
      <c r="K25" s="33"/>
      <c r="L25" s="984"/>
      <c r="M25" s="985"/>
      <c r="N25" s="984"/>
      <c r="O25" s="984"/>
      <c r="P25" s="984"/>
      <c r="Q25" s="984"/>
      <c r="R25" s="984"/>
      <c r="S25" s="560"/>
      <c r="T25" s="560"/>
      <c r="U25" s="560"/>
      <c r="V25" s="3"/>
    </row>
    <row r="26" spans="1:22" s="4" customFormat="1">
      <c r="A26" s="2"/>
      <c r="B26" s="2" t="s">
        <v>1308</v>
      </c>
      <c r="C26" s="2"/>
      <c r="D26" s="2"/>
      <c r="E26" s="2"/>
      <c r="F26" s="2"/>
      <c r="G26" s="2"/>
      <c r="H26" s="2"/>
      <c r="I26" s="3"/>
      <c r="J26" s="560"/>
      <c r="K26" s="33"/>
      <c r="L26" s="984"/>
      <c r="M26" s="985"/>
      <c r="N26" s="984"/>
      <c r="O26" s="984"/>
      <c r="P26" s="984"/>
      <c r="Q26" s="984"/>
      <c r="R26" s="984"/>
      <c r="S26" s="560"/>
      <c r="T26" s="560"/>
      <c r="U26" s="560"/>
      <c r="V26" s="3"/>
    </row>
    <row r="27" spans="1:22" s="4" customFormat="1">
      <c r="A27" s="2"/>
      <c r="B27" s="591"/>
      <c r="C27" s="2"/>
      <c r="D27" s="2"/>
      <c r="E27" s="2"/>
      <c r="F27" s="2"/>
      <c r="G27" s="2"/>
      <c r="H27" s="2"/>
      <c r="I27" s="3"/>
      <c r="J27" s="560"/>
      <c r="K27" s="33"/>
      <c r="L27" s="984"/>
      <c r="M27" s="985"/>
      <c r="N27" s="984"/>
      <c r="O27" s="984"/>
      <c r="P27" s="984"/>
      <c r="Q27" s="984"/>
      <c r="R27" s="984"/>
      <c r="S27" s="560"/>
      <c r="T27" s="560"/>
      <c r="U27" s="560"/>
      <c r="V27" s="3"/>
    </row>
    <row r="28" spans="1:22" s="4" customFormat="1">
      <c r="A28" s="2"/>
      <c r="B28" s="2" t="s">
        <v>1307</v>
      </c>
      <c r="C28" s="2"/>
      <c r="D28" s="2"/>
      <c r="E28" s="2"/>
      <c r="F28" s="2"/>
      <c r="G28" s="2"/>
      <c r="H28" s="2"/>
      <c r="I28" s="3"/>
      <c r="J28" s="560"/>
      <c r="K28" s="33"/>
      <c r="L28" s="984"/>
      <c r="M28" s="985"/>
      <c r="N28" s="984"/>
      <c r="O28" s="984"/>
      <c r="P28" s="984"/>
      <c r="Q28" s="984"/>
      <c r="R28" s="984"/>
      <c r="S28" s="560"/>
      <c r="T28" s="560"/>
      <c r="U28" s="560"/>
      <c r="V28" s="3"/>
    </row>
    <row r="29" spans="1:22" s="4" customFormat="1">
      <c r="A29" s="2"/>
      <c r="B29" s="986"/>
      <c r="C29" s="2"/>
      <c r="D29" s="2"/>
      <c r="E29" s="2"/>
      <c r="F29" s="2"/>
      <c r="G29" s="2"/>
      <c r="H29" s="2"/>
      <c r="I29" s="3"/>
      <c r="J29" s="560"/>
      <c r="K29" s="33"/>
      <c r="L29" s="984"/>
      <c r="M29" s="985"/>
      <c r="N29" s="984"/>
      <c r="O29" s="984"/>
      <c r="P29" s="984"/>
      <c r="Q29" s="984"/>
      <c r="R29" s="984"/>
      <c r="S29" s="560"/>
      <c r="T29" s="560"/>
      <c r="U29" s="560"/>
      <c r="V29" s="3"/>
    </row>
    <row r="30" spans="1:22" s="4" customFormat="1">
      <c r="A30" s="2"/>
      <c r="B30" s="2" t="s">
        <v>1306</v>
      </c>
      <c r="C30" s="2"/>
      <c r="D30" s="2"/>
      <c r="E30" s="2"/>
      <c r="F30" s="2"/>
      <c r="G30" s="2"/>
      <c r="H30" s="2"/>
      <c r="I30" s="3"/>
      <c r="J30" s="560"/>
      <c r="K30" s="33"/>
      <c r="L30" s="984"/>
      <c r="M30" s="985"/>
      <c r="N30" s="984"/>
      <c r="O30" s="984"/>
      <c r="P30" s="984"/>
      <c r="Q30" s="984"/>
      <c r="R30" s="984"/>
      <c r="S30" s="560"/>
      <c r="T30" s="560"/>
      <c r="U30" s="560"/>
      <c r="V30" s="3"/>
    </row>
    <row r="31" spans="1:22" s="4" customFormat="1">
      <c r="A31" s="2"/>
      <c r="B31" s="986"/>
      <c r="C31" s="2"/>
      <c r="D31" s="2"/>
      <c r="E31" s="2"/>
      <c r="F31" s="2"/>
      <c r="G31" s="2"/>
      <c r="H31" s="2"/>
      <c r="I31" s="3"/>
      <c r="J31" s="560"/>
      <c r="K31" s="33"/>
      <c r="L31" s="984"/>
      <c r="M31" s="985"/>
      <c r="N31" s="984"/>
      <c r="O31" s="984"/>
      <c r="P31" s="984"/>
      <c r="Q31" s="984"/>
      <c r="R31" s="984"/>
      <c r="S31" s="560"/>
      <c r="T31" s="560"/>
      <c r="U31" s="560"/>
      <c r="V31" s="3"/>
    </row>
    <row r="32" spans="1:22" s="4" customFormat="1">
      <c r="A32" s="2"/>
      <c r="B32" s="986" t="s">
        <v>683</v>
      </c>
      <c r="C32" s="2"/>
      <c r="D32" s="2"/>
      <c r="E32" s="2"/>
      <c r="F32" s="2"/>
      <c r="G32" s="2"/>
      <c r="H32" s="2"/>
      <c r="I32" s="3"/>
      <c r="J32" s="560"/>
      <c r="K32" s="33"/>
      <c r="L32" s="984"/>
      <c r="M32" s="985"/>
      <c r="N32" s="984"/>
      <c r="O32" s="984"/>
      <c r="P32" s="984"/>
      <c r="Q32" s="984"/>
      <c r="R32" s="984"/>
      <c r="S32" s="560"/>
      <c r="T32" s="560"/>
      <c r="U32" s="560"/>
      <c r="V32" s="3"/>
    </row>
    <row r="33" spans="1:22" s="4" customFormat="1">
      <c r="A33" s="2"/>
      <c r="B33" s="2"/>
      <c r="C33" s="2"/>
      <c r="D33" s="2"/>
      <c r="E33" s="2"/>
      <c r="F33" s="2"/>
      <c r="G33" s="2"/>
      <c r="H33" s="2"/>
      <c r="I33" s="3"/>
      <c r="J33" s="560"/>
      <c r="K33" s="33"/>
      <c r="L33" s="984"/>
      <c r="M33" s="985"/>
      <c r="N33" s="984"/>
      <c r="O33" s="984"/>
      <c r="P33" s="984"/>
      <c r="Q33" s="984"/>
      <c r="R33" s="984"/>
      <c r="S33" s="560"/>
      <c r="T33" s="560"/>
      <c r="U33" s="560"/>
      <c r="V33" s="3"/>
    </row>
    <row r="34" spans="1:22" s="4" customFormat="1">
      <c r="A34" s="2"/>
      <c r="B34" s="2"/>
      <c r="C34" s="2"/>
      <c r="D34" s="2"/>
      <c r="E34" s="2"/>
      <c r="F34" s="2"/>
      <c r="G34" s="2"/>
      <c r="H34" s="2"/>
      <c r="I34" s="3"/>
      <c r="J34" s="560"/>
      <c r="K34" s="33"/>
      <c r="L34" s="984"/>
      <c r="M34" s="985"/>
      <c r="N34" s="984"/>
      <c r="O34" s="984"/>
      <c r="P34" s="984"/>
      <c r="Q34" s="984"/>
      <c r="R34" s="984"/>
      <c r="S34" s="560"/>
      <c r="T34" s="560"/>
      <c r="U34" s="560"/>
      <c r="V34" s="3"/>
    </row>
    <row r="35" spans="1:22" s="4" customFormat="1">
      <c r="A35" s="2"/>
      <c r="B35" s="2"/>
      <c r="C35" s="2"/>
      <c r="D35" s="2"/>
      <c r="E35" s="2"/>
      <c r="F35" s="2"/>
      <c r="G35" s="2"/>
      <c r="H35" s="2"/>
      <c r="I35" s="3"/>
      <c r="J35" s="560"/>
      <c r="K35" s="33"/>
      <c r="L35" s="984"/>
      <c r="M35" s="985"/>
      <c r="N35" s="984"/>
      <c r="O35" s="984"/>
      <c r="P35" s="984"/>
      <c r="Q35" s="984"/>
      <c r="R35" s="560"/>
      <c r="S35" s="560"/>
      <c r="T35" s="560"/>
      <c r="U35" s="560"/>
      <c r="V35" s="3"/>
    </row>
    <row r="36" spans="1:22" s="4" customFormat="1">
      <c r="A36" s="2"/>
      <c r="B36" s="2"/>
      <c r="C36" s="2"/>
      <c r="D36" s="2"/>
      <c r="E36" s="2"/>
      <c r="F36" s="2"/>
      <c r="G36" s="2"/>
      <c r="H36" s="2"/>
      <c r="I36" s="3"/>
      <c r="J36" s="560"/>
      <c r="K36" s="33"/>
      <c r="L36" s="984"/>
      <c r="M36" s="985"/>
      <c r="N36" s="984"/>
      <c r="O36" s="984"/>
      <c r="P36" s="984"/>
      <c r="Q36" s="984"/>
      <c r="R36" s="560"/>
      <c r="S36" s="560"/>
      <c r="T36" s="560"/>
      <c r="U36" s="560"/>
      <c r="V36" s="3"/>
    </row>
    <row r="37" spans="1:22" s="4" customFormat="1">
      <c r="A37" s="2"/>
      <c r="B37" s="2"/>
      <c r="C37" s="2"/>
      <c r="D37" s="2"/>
      <c r="E37" s="2"/>
      <c r="F37" s="2"/>
      <c r="G37" s="2"/>
      <c r="H37" s="2"/>
      <c r="I37" s="3"/>
      <c r="J37" s="560"/>
      <c r="K37" s="33"/>
      <c r="L37" s="984"/>
      <c r="M37" s="985"/>
      <c r="N37" s="984"/>
      <c r="O37" s="984"/>
      <c r="P37" s="984"/>
      <c r="Q37" s="984"/>
      <c r="R37" s="560"/>
      <c r="S37" s="560"/>
      <c r="T37" s="560"/>
      <c r="U37" s="560"/>
      <c r="V37" s="3"/>
    </row>
    <row r="38" spans="1:22" s="4" customFormat="1">
      <c r="A38" s="2"/>
      <c r="B38" s="2"/>
      <c r="C38" s="2"/>
      <c r="D38" s="2"/>
      <c r="E38" s="2"/>
      <c r="F38" s="2"/>
      <c r="G38" s="2"/>
      <c r="H38" s="2"/>
      <c r="I38" s="3"/>
      <c r="J38" s="560"/>
      <c r="K38" s="33"/>
      <c r="L38" s="984"/>
      <c r="M38" s="985"/>
      <c r="N38" s="984"/>
      <c r="O38" s="984"/>
      <c r="P38" s="984"/>
      <c r="Q38" s="984"/>
      <c r="R38" s="560"/>
      <c r="S38" s="560"/>
      <c r="T38" s="560"/>
      <c r="U38" s="560"/>
      <c r="V38" s="3"/>
    </row>
    <row r="39" spans="1:22" s="4" customFormat="1">
      <c r="A39" s="2"/>
      <c r="B39" s="2"/>
      <c r="C39" s="2"/>
      <c r="D39" s="2"/>
      <c r="E39" s="2"/>
      <c r="F39" s="2"/>
      <c r="G39" s="2"/>
      <c r="H39" s="2"/>
      <c r="I39" s="3"/>
      <c r="J39" s="560"/>
      <c r="K39" s="33"/>
      <c r="L39" s="984"/>
      <c r="M39" s="560"/>
      <c r="N39" s="560"/>
      <c r="O39" s="560"/>
      <c r="P39" s="724"/>
      <c r="Q39" s="984"/>
      <c r="R39" s="560"/>
      <c r="S39" s="560"/>
      <c r="T39" s="560"/>
      <c r="U39" s="560"/>
      <c r="V39" s="3"/>
    </row>
    <row r="40" spans="1:22" s="4" customFormat="1">
      <c r="A40" s="2"/>
      <c r="B40" s="2"/>
      <c r="C40" s="2"/>
      <c r="D40" s="2"/>
      <c r="E40" s="2"/>
      <c r="F40" s="2"/>
      <c r="G40" s="2"/>
      <c r="H40" s="2"/>
      <c r="I40" s="3"/>
      <c r="J40" s="560"/>
      <c r="K40" s="33"/>
      <c r="L40" s="984"/>
      <c r="M40" s="560"/>
      <c r="N40" s="560"/>
      <c r="O40" s="560"/>
      <c r="P40" s="724"/>
      <c r="Q40" s="984"/>
      <c r="R40" s="560"/>
      <c r="S40" s="560"/>
      <c r="T40" s="560"/>
      <c r="U40" s="560"/>
      <c r="V40" s="3"/>
    </row>
    <row r="41" spans="1:22" s="4" customFormat="1">
      <c r="A41" s="2"/>
      <c r="B41" s="2"/>
      <c r="C41" s="2"/>
      <c r="D41" s="2"/>
      <c r="E41" s="2"/>
      <c r="F41" s="2"/>
      <c r="G41" s="2"/>
      <c r="H41" s="2"/>
      <c r="I41" s="3"/>
      <c r="J41" s="560"/>
      <c r="K41" s="33"/>
      <c r="L41" s="984"/>
      <c r="M41" s="560"/>
      <c r="N41" s="560"/>
      <c r="O41" s="560"/>
      <c r="P41" s="724"/>
      <c r="Q41" s="984"/>
      <c r="R41" s="560"/>
      <c r="S41" s="560"/>
      <c r="T41" s="560"/>
      <c r="U41" s="560"/>
      <c r="V41" s="3"/>
    </row>
    <row r="42" spans="1:22" s="4" customFormat="1">
      <c r="A42" s="2"/>
      <c r="B42" s="2"/>
      <c r="C42" s="2"/>
      <c r="D42" s="2"/>
      <c r="E42" s="2"/>
      <c r="F42" s="2"/>
      <c r="G42" s="2"/>
      <c r="H42" s="2"/>
      <c r="I42" s="3"/>
      <c r="J42" s="560"/>
      <c r="K42" s="33"/>
      <c r="L42" s="984"/>
      <c r="M42" s="560"/>
      <c r="N42" s="560"/>
      <c r="O42" s="560"/>
      <c r="P42" s="560"/>
      <c r="Q42" s="984"/>
      <c r="R42" s="560"/>
      <c r="S42" s="560"/>
      <c r="T42" s="560"/>
      <c r="U42" s="560"/>
      <c r="V42" s="3"/>
    </row>
    <row r="43" spans="1:22" s="4" customFormat="1">
      <c r="A43" s="2"/>
      <c r="B43" s="2"/>
      <c r="C43" s="2"/>
      <c r="D43" s="2"/>
      <c r="E43" s="2"/>
      <c r="F43" s="2"/>
      <c r="G43" s="2"/>
      <c r="H43" s="2"/>
      <c r="I43" s="3"/>
      <c r="J43" s="560"/>
      <c r="K43" s="33"/>
      <c r="L43" s="984"/>
      <c r="M43" s="560"/>
      <c r="N43" s="560"/>
      <c r="O43" s="560"/>
      <c r="P43" s="724"/>
      <c r="Q43" s="984"/>
      <c r="R43" s="560"/>
      <c r="S43" s="560"/>
      <c r="T43" s="560"/>
      <c r="U43" s="560"/>
      <c r="V43" s="3"/>
    </row>
    <row r="44" spans="1:22" s="4" customFormat="1">
      <c r="A44" s="2"/>
      <c r="B44" s="2"/>
      <c r="C44" s="2"/>
      <c r="D44" s="2"/>
      <c r="E44" s="2"/>
      <c r="F44" s="2"/>
      <c r="G44" s="2"/>
      <c r="H44" s="2"/>
      <c r="I44" s="3"/>
      <c r="J44" s="560"/>
      <c r="K44" s="33"/>
      <c r="L44" s="984"/>
      <c r="M44" s="560"/>
      <c r="N44" s="560"/>
      <c r="O44" s="560"/>
      <c r="P44" s="724"/>
      <c r="Q44" s="984"/>
      <c r="R44" s="560"/>
      <c r="S44" s="560"/>
      <c r="T44" s="560"/>
      <c r="U44" s="560"/>
      <c r="V44" s="3"/>
    </row>
    <row r="46" spans="1:22" s="4" customFormat="1">
      <c r="A46" s="2"/>
      <c r="B46" s="2"/>
      <c r="C46" s="2"/>
      <c r="D46" s="2"/>
      <c r="E46" s="2"/>
      <c r="F46" s="2"/>
      <c r="G46" s="2"/>
      <c r="H46" s="2"/>
      <c r="I46" s="3"/>
      <c r="J46" s="560"/>
      <c r="K46" s="560"/>
      <c r="L46" s="560"/>
      <c r="M46" s="560"/>
      <c r="N46" s="560"/>
      <c r="O46" s="560"/>
      <c r="P46" s="576"/>
      <c r="Q46" s="560"/>
      <c r="R46" s="560"/>
      <c r="S46" s="560"/>
      <c r="T46" s="560"/>
      <c r="U46" s="560"/>
      <c r="V46" s="3"/>
    </row>
    <row r="47" spans="1:22" s="4" customFormat="1">
      <c r="A47" s="2"/>
      <c r="B47" s="2"/>
      <c r="C47" s="2"/>
      <c r="D47" s="2"/>
      <c r="E47" s="2"/>
      <c r="F47" s="2"/>
      <c r="G47" s="2"/>
      <c r="H47" s="2"/>
      <c r="I47" s="3"/>
      <c r="J47" s="560"/>
      <c r="K47" s="560"/>
      <c r="L47" s="560"/>
      <c r="M47" s="560"/>
      <c r="N47" s="560"/>
      <c r="O47" s="560"/>
      <c r="P47" s="576"/>
      <c r="Q47" s="560"/>
      <c r="R47" s="560"/>
      <c r="S47" s="560"/>
      <c r="T47" s="560"/>
      <c r="U47" s="560"/>
      <c r="V47" s="3"/>
    </row>
    <row r="49" spans="1:22" s="4" customFormat="1">
      <c r="A49" s="2"/>
      <c r="B49" s="2"/>
      <c r="C49" s="2"/>
      <c r="D49" s="2"/>
      <c r="E49" s="2"/>
      <c r="F49" s="2"/>
      <c r="G49" s="2"/>
      <c r="H49" s="2"/>
      <c r="I49" s="3"/>
      <c r="J49" s="560"/>
      <c r="K49" s="560"/>
      <c r="L49" s="560"/>
      <c r="M49" s="560"/>
      <c r="N49" s="560"/>
      <c r="O49" s="560"/>
      <c r="P49" s="576"/>
      <c r="Q49" s="560"/>
      <c r="R49" s="560"/>
      <c r="S49" s="560"/>
      <c r="T49" s="560"/>
      <c r="U49" s="560"/>
      <c r="V49" s="3"/>
    </row>
  </sheetData>
  <sheetProtection algorithmName="SHA-512" hashValue="bdUIMz5YF6IudXopk4RdpBqI5vMj7OqtNEuJbNbHuof4UdAOt3OP6weq1cazkjWcqDutLw8vOHjJX3VL4McnMw==" saltValue="NHf3CFuzZfCvhmsCIA9I/Q==" spinCount="100000" sheet="1" objects="1" scenarios="1"/>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00E2D-9FBF-4902-BAA0-7F6A060041B3}">
  <dimension ref="A1:W50"/>
  <sheetViews>
    <sheetView zoomScale="75" zoomScaleNormal="75" workbookViewId="0">
      <selection sqref="A1:XFD1048576"/>
    </sheetView>
  </sheetViews>
  <sheetFormatPr defaultColWidth="9.109375" defaultRowHeight="15.6"/>
  <cols>
    <col min="1" max="1" width="3.88671875" style="2" customWidth="1"/>
    <col min="2" max="2" width="20.109375" style="2" customWidth="1"/>
    <col min="3" max="7" width="17.109375" style="2" bestFit="1" customWidth="1"/>
    <col min="8" max="8" width="9" style="2" customWidth="1"/>
    <col min="9" max="9" width="1" style="3" customWidth="1"/>
    <col min="10" max="10" width="4" style="560" customWidth="1"/>
    <col min="11" max="11" width="9.109375" style="560"/>
    <col min="12" max="12" width="48.109375" style="560" customWidth="1"/>
    <col min="13" max="13" width="14.88671875" style="560" customWidth="1"/>
    <col min="14" max="14" width="15.44140625" style="560" customWidth="1"/>
    <col min="15" max="15" width="16.5546875" style="560" customWidth="1"/>
    <col min="16" max="16" width="18.5546875" style="560" customWidth="1"/>
    <col min="17" max="17" width="11" style="560" bestFit="1" customWidth="1"/>
    <col min="18" max="20" width="9.109375" style="560"/>
    <col min="21" max="21" width="9.88671875" style="560" bestFit="1" customWidth="1"/>
    <col min="22" max="22" width="1" style="3" customWidth="1"/>
    <col min="23" max="23" width="9.109375" style="4"/>
  </cols>
  <sheetData>
    <row r="1" spans="1:21">
      <c r="A1" s="1" t="str">
        <f>'[6]Question 8'!A1</f>
        <v>Exam RETDAC:  Fall 2022</v>
      </c>
      <c r="J1" s="1" t="str">
        <f>A1</f>
        <v>Exam RETDAC:  Fall 2022</v>
      </c>
      <c r="K1" s="2"/>
      <c r="L1" s="2"/>
      <c r="M1" s="2"/>
      <c r="N1" s="2"/>
      <c r="O1" s="2"/>
      <c r="P1" s="2"/>
      <c r="Q1" s="2"/>
      <c r="R1" s="2"/>
      <c r="S1" s="2"/>
      <c r="T1" s="2"/>
      <c r="U1" s="2"/>
    </row>
    <row r="2" spans="1:21">
      <c r="A2" s="1" t="s">
        <v>732</v>
      </c>
      <c r="J2" s="1" t="str">
        <f>A2</f>
        <v>Design and Accounting Exam – Canada</v>
      </c>
      <c r="K2" s="2"/>
      <c r="L2" s="2"/>
      <c r="M2" s="2"/>
      <c r="N2" s="2"/>
      <c r="O2" s="2"/>
      <c r="P2" s="2"/>
      <c r="Q2" s="2"/>
      <c r="R2" s="2"/>
      <c r="S2" s="2"/>
      <c r="T2" s="2"/>
      <c r="U2" s="2"/>
    </row>
    <row r="3" spans="1:21">
      <c r="A3" s="1" t="s">
        <v>464</v>
      </c>
      <c r="J3" s="1" t="str">
        <f>A3</f>
        <v>Question 5</v>
      </c>
      <c r="K3" s="2"/>
      <c r="L3" s="2"/>
      <c r="M3" s="2"/>
      <c r="N3" s="2"/>
      <c r="O3" s="2"/>
      <c r="P3" s="2"/>
      <c r="Q3" s="2"/>
      <c r="R3" s="2"/>
      <c r="S3" s="2"/>
      <c r="T3" s="2"/>
      <c r="U3" s="2"/>
    </row>
    <row r="4" spans="1:21">
      <c r="J4" s="2"/>
      <c r="K4" s="2"/>
      <c r="L4" s="2"/>
      <c r="M4" s="2"/>
      <c r="N4" s="2"/>
      <c r="O4" s="2"/>
      <c r="P4" s="2"/>
      <c r="Q4" s="2"/>
      <c r="R4" s="2"/>
      <c r="S4" s="2"/>
      <c r="T4" s="2"/>
      <c r="U4" s="2"/>
    </row>
    <row r="5" spans="1:21" ht="16.2">
      <c r="A5" s="2" t="s">
        <v>1313</v>
      </c>
      <c r="C5" s="7"/>
      <c r="D5" s="7"/>
      <c r="E5" s="7"/>
      <c r="F5" s="7"/>
      <c r="G5" s="7"/>
      <c r="J5" s="6" t="s">
        <v>4</v>
      </c>
      <c r="K5" s="2"/>
      <c r="L5" s="2"/>
      <c r="M5" s="2"/>
      <c r="N5" s="2"/>
      <c r="O5" s="2"/>
      <c r="P5" s="2"/>
      <c r="Q5" s="2"/>
      <c r="R5" s="2"/>
      <c r="S5" s="2"/>
      <c r="T5" s="2"/>
      <c r="U5" s="2"/>
    </row>
    <row r="6" spans="1:21">
      <c r="J6" s="2"/>
      <c r="K6" s="2"/>
      <c r="L6" s="2"/>
      <c r="M6" s="2"/>
      <c r="N6" s="2"/>
      <c r="O6" s="2"/>
      <c r="P6" s="2"/>
      <c r="Q6" s="2"/>
      <c r="R6" s="2"/>
      <c r="S6" s="2"/>
      <c r="T6" s="2"/>
      <c r="U6" s="2"/>
    </row>
    <row r="7" spans="1:21" ht="15.6" customHeight="1">
      <c r="B7" s="592" t="s">
        <v>12</v>
      </c>
      <c r="C7" s="590" t="s">
        <v>1312</v>
      </c>
      <c r="D7" s="590" t="s">
        <v>1311</v>
      </c>
      <c r="E7" s="581"/>
      <c r="F7" s="581"/>
      <c r="G7" s="581"/>
      <c r="J7" s="2" t="s">
        <v>6</v>
      </c>
      <c r="K7" s="2" t="s">
        <v>1310</v>
      </c>
      <c r="L7" s="2"/>
      <c r="M7" s="2"/>
      <c r="N7" s="2"/>
      <c r="O7" s="2"/>
      <c r="P7" s="2"/>
      <c r="Q7" s="8"/>
      <c r="R7" s="8"/>
      <c r="S7" s="8"/>
      <c r="T7" s="8"/>
      <c r="U7" s="8"/>
    </row>
    <row r="8" spans="1:21">
      <c r="B8" s="592">
        <v>1</v>
      </c>
      <c r="C8" s="693">
        <v>100000</v>
      </c>
      <c r="D8" s="988">
        <v>5.0000000000000001E-3</v>
      </c>
      <c r="J8" s="2"/>
      <c r="K8" s="2"/>
      <c r="L8" s="2"/>
      <c r="M8" s="2"/>
      <c r="N8" s="2"/>
      <c r="O8" s="2"/>
      <c r="P8" s="2"/>
      <c r="Q8" s="9"/>
      <c r="R8" s="9"/>
      <c r="S8" s="9"/>
      <c r="T8" s="9"/>
      <c r="U8" s="9"/>
    </row>
    <row r="9" spans="1:21" ht="18.600000000000001" customHeight="1">
      <c r="B9" s="592">
        <v>2</v>
      </c>
      <c r="C9" s="693">
        <v>97000</v>
      </c>
      <c r="D9" s="988">
        <v>7.0000000000000001E-3</v>
      </c>
      <c r="J9" s="2"/>
      <c r="K9" s="2" t="str">
        <f>B26</f>
        <v>(i)    Projected Benefit Obligation under ASC 715</v>
      </c>
      <c r="L9" s="7"/>
      <c r="M9" s="7"/>
      <c r="N9" s="7"/>
      <c r="O9" s="7"/>
      <c r="P9" s="7"/>
      <c r="Q9" s="7"/>
      <c r="R9" s="7"/>
      <c r="S9" s="7"/>
      <c r="T9" s="7"/>
      <c r="U9" s="7"/>
    </row>
    <row r="10" spans="1:21">
      <c r="B10" s="592">
        <v>3</v>
      </c>
      <c r="C10" s="693">
        <v>94000</v>
      </c>
      <c r="D10" s="988">
        <v>9.0000000000000011E-3</v>
      </c>
      <c r="J10" s="2"/>
      <c r="K10" s="987"/>
      <c r="L10" s="7"/>
      <c r="M10" s="7"/>
      <c r="N10" s="7"/>
      <c r="O10" s="7"/>
      <c r="P10" s="7"/>
      <c r="Q10" s="7"/>
      <c r="R10" s="7"/>
      <c r="S10" s="7"/>
      <c r="T10" s="7"/>
      <c r="U10" s="7"/>
    </row>
    <row r="11" spans="1:21">
      <c r="B11" s="592">
        <v>4</v>
      </c>
      <c r="C11" s="693">
        <v>91000</v>
      </c>
      <c r="D11" s="988">
        <v>1.1000000000000001E-2</v>
      </c>
      <c r="J11" s="2"/>
      <c r="K11" s="2" t="str">
        <f>B28</f>
        <v>(ii)  Interest Cost under ASC 715</v>
      </c>
      <c r="L11" s="2"/>
      <c r="M11" s="2"/>
      <c r="N11" s="2"/>
      <c r="O11" s="2"/>
      <c r="P11" s="584"/>
      <c r="Q11" s="9"/>
      <c r="R11" s="9"/>
      <c r="S11" s="9"/>
      <c r="T11" s="9"/>
      <c r="U11" s="9"/>
    </row>
    <row r="12" spans="1:21">
      <c r="B12" s="592">
        <v>5</v>
      </c>
      <c r="C12" s="693">
        <v>88000</v>
      </c>
      <c r="D12" s="988">
        <v>1.3000000000000001E-2</v>
      </c>
      <c r="J12" s="2"/>
      <c r="K12" s="591"/>
      <c r="L12" s="2"/>
      <c r="M12" s="2"/>
      <c r="N12" s="2"/>
      <c r="O12" s="2"/>
      <c r="P12" s="584"/>
      <c r="Q12" s="9"/>
      <c r="R12" s="9"/>
      <c r="S12" s="9"/>
      <c r="T12" s="9"/>
      <c r="U12" s="9"/>
    </row>
    <row r="13" spans="1:21">
      <c r="B13" s="592">
        <v>6</v>
      </c>
      <c r="C13" s="693">
        <v>85000</v>
      </c>
      <c r="D13" s="988">
        <v>1.5000000000000001E-2</v>
      </c>
      <c r="J13" s="2"/>
      <c r="K13" s="2" t="str">
        <f>B30</f>
        <v>(iii) Equivalent discount rates that would be disclosed in the ASC 715 report</v>
      </c>
      <c r="L13" s="5"/>
      <c r="M13" s="5"/>
      <c r="N13" s="5"/>
      <c r="O13" s="5"/>
      <c r="P13" s="5"/>
      <c r="Q13" s="5"/>
      <c r="R13" s="5"/>
      <c r="S13" s="5"/>
      <c r="T13" s="5"/>
      <c r="U13" s="5"/>
    </row>
    <row r="14" spans="1:21">
      <c r="B14" s="592">
        <v>7</v>
      </c>
      <c r="C14" s="693">
        <v>82000</v>
      </c>
      <c r="D14" s="988">
        <v>1.7000000000000001E-2</v>
      </c>
      <c r="J14" s="2"/>
      <c r="K14" s="591"/>
      <c r="L14" s="5"/>
      <c r="M14" s="5"/>
      <c r="N14" s="5"/>
      <c r="O14" s="5"/>
      <c r="P14" s="5"/>
      <c r="Q14" s="5"/>
      <c r="R14" s="5"/>
      <c r="S14" s="5"/>
      <c r="T14" s="5"/>
      <c r="U14" s="5"/>
    </row>
    <row r="15" spans="1:21">
      <c r="B15" s="592">
        <v>8</v>
      </c>
      <c r="C15" s="693">
        <v>79000</v>
      </c>
      <c r="D15" s="988">
        <v>1.9000000000000003E-2</v>
      </c>
      <c r="J15" s="2"/>
      <c r="K15" s="2" t="str">
        <f>B32</f>
        <v>Show all work.</v>
      </c>
      <c r="L15" s="2"/>
      <c r="M15" s="2"/>
      <c r="N15" s="2"/>
      <c r="O15" s="2"/>
      <c r="P15" s="584"/>
      <c r="Q15" s="9"/>
      <c r="R15" s="9"/>
      <c r="S15" s="9"/>
      <c r="T15" s="9"/>
      <c r="U15" s="9"/>
    </row>
    <row r="16" spans="1:21">
      <c r="B16" s="592">
        <v>9</v>
      </c>
      <c r="C16" s="693">
        <v>76000</v>
      </c>
      <c r="D16" s="988">
        <v>2.1000000000000005E-2</v>
      </c>
      <c r="J16" s="2"/>
      <c r="K16" s="591"/>
      <c r="L16" s="2"/>
      <c r="M16" s="2"/>
      <c r="N16" s="2"/>
      <c r="O16" s="2"/>
      <c r="P16" s="2"/>
      <c r="Q16" s="2"/>
      <c r="R16" s="2"/>
      <c r="S16" s="2"/>
      <c r="T16" s="2"/>
      <c r="U16" s="2"/>
    </row>
    <row r="17" spans="1:22">
      <c r="B17" s="592">
        <v>10</v>
      </c>
      <c r="C17" s="693">
        <v>73000</v>
      </c>
      <c r="D17" s="988">
        <v>2.3000000000000007E-2</v>
      </c>
      <c r="K17" s="989"/>
    </row>
    <row r="18" spans="1:22">
      <c r="B18" s="592">
        <v>11</v>
      </c>
      <c r="C18" s="693">
        <v>70000</v>
      </c>
      <c r="D18" s="988">
        <v>2.5000000000000008E-2</v>
      </c>
      <c r="K18" s="989"/>
    </row>
    <row r="19" spans="1:22">
      <c r="B19" s="592">
        <v>12</v>
      </c>
      <c r="C19" s="693">
        <v>67000</v>
      </c>
      <c r="D19" s="988">
        <v>2.700000000000001E-2</v>
      </c>
      <c r="K19" s="995" t="s">
        <v>12</v>
      </c>
      <c r="L19" s="995" t="s">
        <v>1312</v>
      </c>
      <c r="M19" s="995" t="s">
        <v>1311</v>
      </c>
      <c r="N19" s="994" t="s">
        <v>1324</v>
      </c>
      <c r="O19" s="994" t="s">
        <v>1323</v>
      </c>
      <c r="P19" s="994" t="s">
        <v>1321</v>
      </c>
    </row>
    <row r="20" spans="1:22" s="4" customFormat="1">
      <c r="A20" s="2"/>
      <c r="B20" s="592">
        <v>13</v>
      </c>
      <c r="C20" s="693">
        <v>64000</v>
      </c>
      <c r="D20" s="988">
        <v>2.9000000000000012E-2</v>
      </c>
      <c r="E20" s="2"/>
      <c r="F20" s="2"/>
      <c r="G20" s="2"/>
      <c r="H20" s="2"/>
      <c r="I20" s="3"/>
      <c r="J20" s="560"/>
      <c r="K20" s="993">
        <v>1</v>
      </c>
      <c r="L20" s="992">
        <f t="shared" ref="L20:L34" si="0">C8</f>
        <v>100000</v>
      </c>
      <c r="M20" s="991">
        <f t="shared" ref="M20:M34" si="1">D8</f>
        <v>5.0000000000000001E-3</v>
      </c>
      <c r="N20" s="990">
        <f t="shared" ref="N20:N34" si="2">(L20/((1+M20)^K20))</f>
        <v>99502.487562189068</v>
      </c>
      <c r="O20" s="990">
        <f t="shared" ref="O20:O34" si="3">(L20/((1+$M$47)^K20))</f>
        <v>97877.01877840751</v>
      </c>
      <c r="P20" s="990">
        <f t="shared" ref="P20:P34" si="4">ROUND(M20*N20,0)</f>
        <v>498</v>
      </c>
      <c r="Q20" s="984"/>
      <c r="R20" s="984"/>
      <c r="S20" s="560"/>
      <c r="T20" s="560"/>
      <c r="U20" s="560"/>
      <c r="V20" s="3"/>
    </row>
    <row r="21" spans="1:22" s="4" customFormat="1">
      <c r="A21" s="2"/>
      <c r="B21" s="592">
        <v>14</v>
      </c>
      <c r="C21" s="693">
        <v>61000</v>
      </c>
      <c r="D21" s="988">
        <v>3.1000000000000014E-2</v>
      </c>
      <c r="E21" s="2"/>
      <c r="F21" s="2"/>
      <c r="G21" s="2"/>
      <c r="H21" s="2"/>
      <c r="I21" s="3"/>
      <c r="J21" s="560"/>
      <c r="K21" s="993">
        <v>2</v>
      </c>
      <c r="L21" s="992">
        <f t="shared" si="0"/>
        <v>97000</v>
      </c>
      <c r="M21" s="991">
        <f t="shared" si="1"/>
        <v>7.0000000000000001E-3</v>
      </c>
      <c r="N21" s="990">
        <f t="shared" si="2"/>
        <v>95656.127070782604</v>
      </c>
      <c r="O21" s="990">
        <f t="shared" si="3"/>
        <v>92925.134808002753</v>
      </c>
      <c r="P21" s="990">
        <f t="shared" si="4"/>
        <v>670</v>
      </c>
      <c r="Q21" s="984"/>
      <c r="R21" s="984"/>
      <c r="S21" s="560"/>
      <c r="T21" s="560"/>
      <c r="U21" s="560"/>
      <c r="V21" s="3"/>
    </row>
    <row r="22" spans="1:22" s="4" customFormat="1">
      <c r="A22" s="2"/>
      <c r="B22" s="592">
        <v>15</v>
      </c>
      <c r="C22" s="693">
        <v>58000</v>
      </c>
      <c r="D22" s="988">
        <v>3.3000000000000015E-2</v>
      </c>
      <c r="E22" s="2"/>
      <c r="F22" s="2"/>
      <c r="G22" s="2"/>
      <c r="H22" s="2"/>
      <c r="I22" s="3"/>
      <c r="J22" s="560"/>
      <c r="K22" s="993">
        <v>3</v>
      </c>
      <c r="L22" s="992">
        <f t="shared" si="0"/>
        <v>94000</v>
      </c>
      <c r="M22" s="991">
        <f t="shared" si="1"/>
        <v>9.0000000000000011E-3</v>
      </c>
      <c r="N22" s="990">
        <f t="shared" si="2"/>
        <v>91507.007875830051</v>
      </c>
      <c r="O22" s="990">
        <f t="shared" si="3"/>
        <v>88139.392316635043</v>
      </c>
      <c r="P22" s="990">
        <f t="shared" si="4"/>
        <v>824</v>
      </c>
      <c r="Q22" s="984"/>
      <c r="R22" s="984"/>
      <c r="S22" s="560"/>
      <c r="T22" s="560"/>
      <c r="U22" s="560"/>
      <c r="V22" s="3"/>
    </row>
    <row r="23" spans="1:22" s="4" customFormat="1">
      <c r="A23" s="2"/>
      <c r="B23" s="2"/>
      <c r="C23" s="2"/>
      <c r="D23" s="2"/>
      <c r="E23" s="2"/>
      <c r="F23" s="2"/>
      <c r="G23" s="2"/>
      <c r="H23" s="2"/>
      <c r="I23" s="3"/>
      <c r="J23" s="560"/>
      <c r="K23" s="993">
        <v>4</v>
      </c>
      <c r="L23" s="992">
        <f t="shared" si="0"/>
        <v>91000</v>
      </c>
      <c r="M23" s="991">
        <f t="shared" si="1"/>
        <v>1.1000000000000001E-2</v>
      </c>
      <c r="N23" s="990">
        <f t="shared" si="2"/>
        <v>87103.73340420131</v>
      </c>
      <c r="O23" s="990">
        <f t="shared" si="3"/>
        <v>83514.96883800393</v>
      </c>
      <c r="P23" s="990">
        <f t="shared" si="4"/>
        <v>958</v>
      </c>
      <c r="Q23" s="984"/>
      <c r="R23" s="984"/>
      <c r="S23" s="560"/>
      <c r="T23" s="560"/>
      <c r="U23" s="560"/>
      <c r="V23" s="3"/>
    </row>
    <row r="24" spans="1:22" s="4" customFormat="1">
      <c r="A24" s="2" t="s">
        <v>6</v>
      </c>
      <c r="B24" s="2" t="s">
        <v>1309</v>
      </c>
      <c r="C24" s="2"/>
      <c r="D24" s="2"/>
      <c r="E24" s="7"/>
      <c r="F24" s="2"/>
      <c r="G24" s="2"/>
      <c r="H24" s="2"/>
      <c r="I24" s="3"/>
      <c r="J24" s="560"/>
      <c r="K24" s="993">
        <v>5</v>
      </c>
      <c r="L24" s="992">
        <f t="shared" si="0"/>
        <v>88000</v>
      </c>
      <c r="M24" s="991">
        <f t="shared" si="1"/>
        <v>1.3000000000000001E-2</v>
      </c>
      <c r="N24" s="990">
        <f t="shared" si="2"/>
        <v>82496.485146275329</v>
      </c>
      <c r="O24" s="990">
        <f t="shared" si="3"/>
        <v>79047.171785133818</v>
      </c>
      <c r="P24" s="990">
        <f t="shared" si="4"/>
        <v>1072</v>
      </c>
      <c r="Q24" s="984"/>
      <c r="R24" s="984"/>
      <c r="S24" s="560"/>
      <c r="T24" s="560"/>
      <c r="U24" s="560"/>
      <c r="V24" s="3"/>
    </row>
    <row r="25" spans="1:22" s="4" customFormat="1">
      <c r="A25" s="2"/>
      <c r="B25" s="987"/>
      <c r="C25" s="2"/>
      <c r="D25" s="2"/>
      <c r="E25" s="591"/>
      <c r="F25" s="2"/>
      <c r="G25" s="2"/>
      <c r="H25" s="2"/>
      <c r="I25" s="3"/>
      <c r="J25" s="560"/>
      <c r="K25" s="993">
        <v>6</v>
      </c>
      <c r="L25" s="992">
        <f t="shared" si="0"/>
        <v>85000</v>
      </c>
      <c r="M25" s="991">
        <f t="shared" si="1"/>
        <v>1.5000000000000001E-2</v>
      </c>
      <c r="N25" s="990">
        <f t="shared" si="2"/>
        <v>77736.086364019124</v>
      </c>
      <c r="O25" s="990">
        <f t="shared" si="3"/>
        <v>74731.435109255865</v>
      </c>
      <c r="P25" s="990">
        <f t="shared" si="4"/>
        <v>1166</v>
      </c>
      <c r="Q25" s="984"/>
      <c r="R25" s="984"/>
      <c r="S25" s="560"/>
      <c r="T25" s="560"/>
      <c r="U25" s="560"/>
      <c r="V25" s="3"/>
    </row>
    <row r="26" spans="1:22" s="4" customFormat="1">
      <c r="A26" s="2"/>
      <c r="B26" s="2" t="s">
        <v>1308</v>
      </c>
      <c r="C26" s="2"/>
      <c r="D26" s="2"/>
      <c r="E26" s="2"/>
      <c r="F26" s="2"/>
      <c r="G26" s="2"/>
      <c r="H26" s="2"/>
      <c r="I26" s="3"/>
      <c r="J26" s="560"/>
      <c r="K26" s="993">
        <v>7</v>
      </c>
      <c r="L26" s="992">
        <f t="shared" si="0"/>
        <v>82000</v>
      </c>
      <c r="M26" s="991">
        <f t="shared" si="1"/>
        <v>1.7000000000000001E-2</v>
      </c>
      <c r="N26" s="990">
        <f t="shared" si="2"/>
        <v>72873.089470543593</v>
      </c>
      <c r="O26" s="990">
        <f t="shared" si="3"/>
        <v>70563.316042015314</v>
      </c>
      <c r="P26" s="990">
        <f t="shared" si="4"/>
        <v>1239</v>
      </c>
      <c r="Q26" s="984"/>
      <c r="R26" s="984"/>
      <c r="S26" s="560"/>
      <c r="T26" s="560"/>
      <c r="U26" s="560"/>
      <c r="V26" s="3"/>
    </row>
    <row r="27" spans="1:22" s="4" customFormat="1">
      <c r="A27" s="2"/>
      <c r="B27" s="591"/>
      <c r="C27" s="2"/>
      <c r="D27" s="2"/>
      <c r="E27" s="2"/>
      <c r="F27" s="2"/>
      <c r="G27" s="2"/>
      <c r="H27" s="2"/>
      <c r="I27" s="3"/>
      <c r="J27" s="560"/>
      <c r="K27" s="993">
        <v>8</v>
      </c>
      <c r="L27" s="992">
        <f t="shared" si="0"/>
        <v>79000</v>
      </c>
      <c r="M27" s="991">
        <f t="shared" si="1"/>
        <v>1.9000000000000003E-2</v>
      </c>
      <c r="N27" s="990">
        <f t="shared" si="2"/>
        <v>67956.9093676333</v>
      </c>
      <c r="O27" s="990">
        <f t="shared" si="3"/>
        <v>66538.491918972199</v>
      </c>
      <c r="P27" s="990">
        <f t="shared" si="4"/>
        <v>1291</v>
      </c>
      <c r="Q27" s="984"/>
      <c r="R27" s="984"/>
      <c r="S27" s="560"/>
      <c r="T27" s="560"/>
      <c r="U27" s="560"/>
      <c r="V27" s="3"/>
    </row>
    <row r="28" spans="1:22" s="4" customFormat="1">
      <c r="A28" s="2"/>
      <c r="B28" s="2" t="s">
        <v>1307</v>
      </c>
      <c r="C28" s="2"/>
      <c r="D28" s="2"/>
      <c r="E28" s="2"/>
      <c r="F28" s="2"/>
      <c r="G28" s="2"/>
      <c r="H28" s="2"/>
      <c r="I28" s="3"/>
      <c r="J28" s="560"/>
      <c r="K28" s="993">
        <v>9</v>
      </c>
      <c r="L28" s="992">
        <f t="shared" si="0"/>
        <v>76000</v>
      </c>
      <c r="M28" s="991">
        <f t="shared" si="1"/>
        <v>2.1000000000000005E-2</v>
      </c>
      <c r="N28" s="990">
        <f t="shared" si="2"/>
        <v>63035.022690104306</v>
      </c>
      <c r="O28" s="990">
        <f t="shared" si="3"/>
        <v>62652.757082411648</v>
      </c>
      <c r="P28" s="990">
        <f t="shared" si="4"/>
        <v>1324</v>
      </c>
      <c r="Q28" s="984"/>
      <c r="R28" s="984"/>
      <c r="S28" s="560"/>
      <c r="T28" s="560"/>
      <c r="U28" s="560"/>
      <c r="V28" s="3"/>
    </row>
    <row r="29" spans="1:22" s="4" customFormat="1">
      <c r="A29" s="2"/>
      <c r="B29" s="986"/>
      <c r="C29" s="2"/>
      <c r="D29" s="2"/>
      <c r="E29" s="2"/>
      <c r="F29" s="2"/>
      <c r="G29" s="2"/>
      <c r="H29" s="2"/>
      <c r="I29" s="3"/>
      <c r="J29" s="560"/>
      <c r="K29" s="993">
        <v>10</v>
      </c>
      <c r="L29" s="992">
        <f t="shared" si="0"/>
        <v>73000</v>
      </c>
      <c r="M29" s="991">
        <f t="shared" si="1"/>
        <v>2.3000000000000007E-2</v>
      </c>
      <c r="N29" s="990">
        <f t="shared" si="2"/>
        <v>58152.250011754135</v>
      </c>
      <c r="O29" s="990">
        <f t="shared" si="3"/>
        <v>58902.019861528592</v>
      </c>
      <c r="P29" s="990">
        <f t="shared" si="4"/>
        <v>1338</v>
      </c>
      <c r="Q29" s="984"/>
      <c r="R29" s="984"/>
      <c r="S29" s="560"/>
      <c r="T29" s="560"/>
      <c r="U29" s="560"/>
      <c r="V29" s="3"/>
    </row>
    <row r="30" spans="1:22" s="4" customFormat="1">
      <c r="A30" s="2"/>
      <c r="B30" s="2" t="s">
        <v>1306</v>
      </c>
      <c r="C30" s="2"/>
      <c r="D30" s="2"/>
      <c r="E30" s="2"/>
      <c r="F30" s="2"/>
      <c r="G30" s="2"/>
      <c r="H30" s="2"/>
      <c r="I30" s="3"/>
      <c r="J30" s="560"/>
      <c r="K30" s="993">
        <v>11</v>
      </c>
      <c r="L30" s="992">
        <f t="shared" si="0"/>
        <v>70000</v>
      </c>
      <c r="M30" s="991">
        <f t="shared" si="1"/>
        <v>2.5000000000000008E-2</v>
      </c>
      <c r="N30" s="990">
        <f t="shared" si="2"/>
        <v>53350.134752000871</v>
      </c>
      <c r="O30" s="990">
        <f t="shared" si="3"/>
        <v>55282.299628096931</v>
      </c>
      <c r="P30" s="990">
        <f t="shared" si="4"/>
        <v>1334</v>
      </c>
      <c r="Q30" s="984"/>
      <c r="R30" s="984"/>
      <c r="S30" s="560"/>
      <c r="T30" s="560"/>
      <c r="U30" s="560"/>
      <c r="V30" s="3"/>
    </row>
    <row r="31" spans="1:22" s="4" customFormat="1">
      <c r="A31" s="2"/>
      <c r="B31" s="986"/>
      <c r="C31" s="2"/>
      <c r="D31" s="2"/>
      <c r="E31" s="2"/>
      <c r="F31" s="2"/>
      <c r="G31" s="2"/>
      <c r="H31" s="2"/>
      <c r="I31" s="3"/>
      <c r="J31" s="560"/>
      <c r="K31" s="993">
        <v>12</v>
      </c>
      <c r="L31" s="992">
        <f t="shared" si="0"/>
        <v>67000</v>
      </c>
      <c r="M31" s="991">
        <f t="shared" si="1"/>
        <v>2.700000000000001E-2</v>
      </c>
      <c r="N31" s="990">
        <f t="shared" si="2"/>
        <v>48666.428930273403</v>
      </c>
      <c r="O31" s="990">
        <f t="shared" si="3"/>
        <v>51789.723925779595</v>
      </c>
      <c r="P31" s="990">
        <f t="shared" si="4"/>
        <v>1314</v>
      </c>
      <c r="Q31" s="984"/>
      <c r="R31" s="984"/>
      <c r="S31" s="560"/>
      <c r="T31" s="560"/>
      <c r="U31" s="560"/>
      <c r="V31" s="3"/>
    </row>
    <row r="32" spans="1:22" s="4" customFormat="1">
      <c r="A32" s="2"/>
      <c r="B32" s="986" t="s">
        <v>683</v>
      </c>
      <c r="C32" s="2"/>
      <c r="D32" s="2"/>
      <c r="E32" s="2"/>
      <c r="F32" s="2"/>
      <c r="G32" s="2"/>
      <c r="H32" s="2"/>
      <c r="I32" s="3"/>
      <c r="J32" s="560"/>
      <c r="K32" s="993">
        <v>13</v>
      </c>
      <c r="L32" s="992">
        <f t="shared" si="0"/>
        <v>64000</v>
      </c>
      <c r="M32" s="991">
        <f t="shared" si="1"/>
        <v>2.9000000000000012E-2</v>
      </c>
      <c r="N32" s="990">
        <f t="shared" si="2"/>
        <v>44134.692195313015</v>
      </c>
      <c r="O32" s="990">
        <f t="shared" si="3"/>
        <v>48420.52567127948</v>
      </c>
      <c r="P32" s="990">
        <f t="shared" si="4"/>
        <v>1280</v>
      </c>
      <c r="Q32" s="984"/>
      <c r="R32" s="984"/>
      <c r="S32" s="560"/>
      <c r="T32" s="560"/>
      <c r="U32" s="560"/>
      <c r="V32" s="3"/>
    </row>
    <row r="33" spans="1:22" s="4" customFormat="1">
      <c r="A33" s="2"/>
      <c r="B33" s="2"/>
      <c r="C33" s="2"/>
      <c r="D33" s="2"/>
      <c r="E33" s="2"/>
      <c r="F33" s="2"/>
      <c r="G33" s="2"/>
      <c r="H33" s="2"/>
      <c r="I33" s="3"/>
      <c r="J33" s="560"/>
      <c r="K33" s="993">
        <v>14</v>
      </c>
      <c r="L33" s="992">
        <f t="shared" si="0"/>
        <v>61000</v>
      </c>
      <c r="M33" s="991">
        <f t="shared" si="1"/>
        <v>3.1000000000000014E-2</v>
      </c>
      <c r="N33" s="990">
        <f t="shared" si="2"/>
        <v>39784.006853723724</v>
      </c>
      <c r="O33" s="990">
        <f t="shared" si="3"/>
        <v>45171.040425574887</v>
      </c>
      <c r="P33" s="990">
        <f t="shared" si="4"/>
        <v>1233</v>
      </c>
      <c r="Q33" s="984"/>
      <c r="R33" s="984"/>
      <c r="S33" s="560"/>
      <c r="T33" s="560"/>
      <c r="U33" s="560"/>
      <c r="V33" s="3"/>
    </row>
    <row r="34" spans="1:22" s="4" customFormat="1">
      <c r="A34" s="2"/>
      <c r="B34" s="2"/>
      <c r="C34" s="2"/>
      <c r="D34" s="2"/>
      <c r="E34" s="2"/>
      <c r="F34" s="2"/>
      <c r="G34" s="2"/>
      <c r="H34" s="2"/>
      <c r="I34" s="3"/>
      <c r="J34" s="560"/>
      <c r="K34" s="993">
        <v>15</v>
      </c>
      <c r="L34" s="992">
        <f t="shared" si="0"/>
        <v>58000</v>
      </c>
      <c r="M34" s="991">
        <f t="shared" si="1"/>
        <v>3.3000000000000015E-2</v>
      </c>
      <c r="N34" s="990">
        <f t="shared" si="2"/>
        <v>35638.808071540785</v>
      </c>
      <c r="O34" s="990">
        <f t="shared" si="3"/>
        <v>42037.703733525166</v>
      </c>
      <c r="P34" s="990">
        <f t="shared" si="4"/>
        <v>1176</v>
      </c>
      <c r="Q34" s="984"/>
      <c r="R34" s="984"/>
      <c r="S34" s="560"/>
      <c r="T34" s="560"/>
      <c r="U34" s="560"/>
      <c r="V34" s="3"/>
    </row>
    <row r="35" spans="1:22" s="4" customFormat="1">
      <c r="A35" s="2"/>
      <c r="B35" s="2"/>
      <c r="C35" s="2"/>
      <c r="D35" s="2"/>
      <c r="E35" s="2"/>
      <c r="F35" s="2"/>
      <c r="G35" s="2"/>
      <c r="H35" s="2"/>
      <c r="I35" s="3"/>
      <c r="J35" s="560"/>
      <c r="K35" s="560"/>
      <c r="L35" s="560"/>
      <c r="M35" s="560"/>
      <c r="N35" s="560"/>
      <c r="O35" s="560"/>
      <c r="P35" s="560"/>
      <c r="Q35" s="984"/>
      <c r="R35" s="560"/>
      <c r="S35" s="560"/>
      <c r="T35" s="560"/>
      <c r="U35" s="560"/>
      <c r="V35" s="3"/>
    </row>
    <row r="36" spans="1:22" s="4" customFormat="1">
      <c r="A36" s="2"/>
      <c r="B36" s="2"/>
      <c r="C36" s="2"/>
      <c r="D36" s="2"/>
      <c r="E36" s="2"/>
      <c r="F36" s="2"/>
      <c r="G36" s="2"/>
      <c r="H36" s="2"/>
      <c r="I36" s="3"/>
      <c r="J36" s="560"/>
      <c r="K36" s="560" t="s">
        <v>1325</v>
      </c>
      <c r="L36" s="560"/>
      <c r="M36" s="560"/>
      <c r="N36" s="560"/>
      <c r="O36" s="560"/>
      <c r="P36" s="560"/>
      <c r="Q36" s="984"/>
      <c r="R36" s="560"/>
      <c r="S36" s="560"/>
      <c r="T36" s="560"/>
      <c r="U36" s="560"/>
      <c r="V36" s="3"/>
    </row>
    <row r="37" spans="1:22" s="4" customFormat="1">
      <c r="A37" s="2"/>
      <c r="B37" s="2"/>
      <c r="C37" s="2"/>
      <c r="D37" s="2"/>
      <c r="E37" s="2"/>
      <c r="F37" s="2"/>
      <c r="G37" s="2"/>
      <c r="H37" s="2"/>
      <c r="I37" s="3"/>
      <c r="J37" s="560"/>
      <c r="K37" s="560"/>
      <c r="L37" s="560" t="s">
        <v>1324</v>
      </c>
      <c r="M37" s="981">
        <f>SUM(N20:N34)</f>
        <v>1017593.2697661846</v>
      </c>
      <c r="N37" s="560"/>
      <c r="O37" s="560"/>
      <c r="P37" s="560"/>
      <c r="Q37" s="984"/>
      <c r="R37" s="560"/>
      <c r="S37" s="560"/>
      <c r="T37" s="560"/>
      <c r="U37" s="560"/>
      <c r="V37" s="3"/>
    </row>
    <row r="38" spans="1:22" s="4" customFormat="1">
      <c r="A38" s="2"/>
      <c r="B38" s="2"/>
      <c r="C38" s="2"/>
      <c r="D38" s="2"/>
      <c r="E38" s="2"/>
      <c r="F38" s="2"/>
      <c r="G38" s="2"/>
      <c r="H38" s="2"/>
      <c r="I38" s="3"/>
      <c r="J38" s="560"/>
      <c r="K38" s="560"/>
      <c r="L38" s="560" t="s">
        <v>1323</v>
      </c>
      <c r="M38" s="981">
        <f>SUM(O20:O34)</f>
        <v>1017592.9999246229</v>
      </c>
      <c r="N38" s="560"/>
      <c r="O38" s="560"/>
      <c r="P38" s="560"/>
      <c r="Q38" s="984"/>
      <c r="R38" s="560"/>
      <c r="S38" s="560"/>
      <c r="T38" s="560"/>
      <c r="U38" s="560"/>
      <c r="V38" s="3"/>
    </row>
    <row r="39" spans="1:22" s="4" customFormat="1">
      <c r="A39" s="2"/>
      <c r="B39" s="2"/>
      <c r="C39" s="2"/>
      <c r="D39" s="2"/>
      <c r="E39" s="2"/>
      <c r="F39" s="2"/>
      <c r="G39" s="2"/>
      <c r="H39" s="2"/>
      <c r="I39" s="3"/>
      <c r="J39" s="560"/>
      <c r="K39" s="560"/>
      <c r="L39" s="560"/>
      <c r="M39" s="560"/>
      <c r="N39" s="560"/>
      <c r="O39" s="560"/>
      <c r="P39" s="560"/>
      <c r="Q39" s="984"/>
      <c r="R39" s="560"/>
      <c r="S39" s="560"/>
      <c r="T39" s="560"/>
      <c r="U39" s="560"/>
      <c r="V39" s="3"/>
    </row>
    <row r="40" spans="1:22" s="4" customFormat="1">
      <c r="A40" s="2"/>
      <c r="B40" s="2"/>
      <c r="C40" s="2"/>
      <c r="D40" s="2"/>
      <c r="E40" s="2"/>
      <c r="F40" s="2"/>
      <c r="G40" s="2"/>
      <c r="H40" s="2"/>
      <c r="I40" s="3"/>
      <c r="J40" s="560"/>
      <c r="K40" s="560" t="s">
        <v>1322</v>
      </c>
      <c r="L40" s="560"/>
      <c r="M40" s="560"/>
      <c r="N40" s="560"/>
      <c r="O40" s="560"/>
      <c r="P40" s="560"/>
      <c r="Q40" s="984"/>
      <c r="R40" s="560"/>
      <c r="S40" s="560"/>
      <c r="T40" s="560"/>
      <c r="U40" s="560"/>
      <c r="V40" s="3"/>
    </row>
    <row r="41" spans="1:22" s="4" customFormat="1">
      <c r="A41" s="2"/>
      <c r="B41" s="2"/>
      <c r="C41" s="2"/>
      <c r="D41" s="2"/>
      <c r="E41" s="2"/>
      <c r="F41" s="2"/>
      <c r="G41" s="2"/>
      <c r="H41" s="2"/>
      <c r="I41" s="3"/>
      <c r="J41" s="560"/>
      <c r="K41" s="560"/>
      <c r="L41" s="560" t="s">
        <v>1321</v>
      </c>
      <c r="M41" s="981">
        <f>SUM(P20:P34)</f>
        <v>16717</v>
      </c>
      <c r="N41" s="560"/>
      <c r="O41" s="560"/>
      <c r="P41" s="560"/>
      <c r="Q41" s="984"/>
      <c r="R41" s="560"/>
      <c r="S41" s="560"/>
      <c r="T41" s="560"/>
      <c r="U41" s="560"/>
      <c r="V41" s="3"/>
    </row>
    <row r="42" spans="1:22" s="4" customFormat="1">
      <c r="A42" s="2"/>
      <c r="B42" s="2"/>
      <c r="C42" s="2"/>
      <c r="D42" s="2"/>
      <c r="E42" s="2"/>
      <c r="F42" s="2"/>
      <c r="G42" s="2"/>
      <c r="H42" s="2"/>
      <c r="I42" s="3"/>
      <c r="J42" s="560"/>
      <c r="K42" s="560"/>
      <c r="L42" s="560" t="s">
        <v>1320</v>
      </c>
      <c r="M42" s="981">
        <f>M38*M47</f>
        <v>22071.890388844949</v>
      </c>
      <c r="N42" s="560"/>
      <c r="O42" s="560"/>
      <c r="P42" s="560"/>
      <c r="Q42" s="984"/>
      <c r="R42" s="560"/>
      <c r="S42" s="560"/>
      <c r="T42" s="560"/>
      <c r="U42" s="560"/>
      <c r="V42" s="3"/>
    </row>
    <row r="43" spans="1:22" s="4" customFormat="1">
      <c r="A43" s="2"/>
      <c r="B43" s="2"/>
      <c r="C43" s="2"/>
      <c r="D43" s="2"/>
      <c r="E43" s="2"/>
      <c r="F43" s="2"/>
      <c r="G43" s="2"/>
      <c r="H43" s="2"/>
      <c r="I43" s="3"/>
      <c r="J43" s="560"/>
      <c r="K43" s="560"/>
      <c r="L43" s="560"/>
      <c r="M43" s="560"/>
      <c r="N43" s="560"/>
      <c r="O43" s="560"/>
      <c r="P43" s="560"/>
      <c r="Q43" s="984"/>
      <c r="R43" s="560"/>
      <c r="S43" s="560"/>
      <c r="T43" s="560"/>
      <c r="U43" s="560"/>
      <c r="V43" s="3"/>
    </row>
    <row r="44" spans="1:22" s="4" customFormat="1">
      <c r="A44" s="2"/>
      <c r="B44" s="2"/>
      <c r="C44" s="2"/>
      <c r="D44" s="2"/>
      <c r="E44" s="2"/>
      <c r="F44" s="2"/>
      <c r="G44" s="2"/>
      <c r="H44" s="2"/>
      <c r="I44" s="3"/>
      <c r="J44" s="560"/>
      <c r="K44" s="560"/>
      <c r="L44" s="560"/>
      <c r="M44" s="560"/>
      <c r="N44" s="560"/>
      <c r="O44" s="560"/>
      <c r="P44" s="560"/>
      <c r="Q44" s="984"/>
      <c r="R44" s="560"/>
      <c r="S44" s="560"/>
      <c r="T44" s="560"/>
      <c r="U44" s="560"/>
      <c r="V44" s="3"/>
    </row>
    <row r="45" spans="1:22">
      <c r="K45" s="560" t="s">
        <v>1319</v>
      </c>
    </row>
    <row r="46" spans="1:22" s="4" customFormat="1">
      <c r="A46" s="2"/>
      <c r="B46" s="2"/>
      <c r="C46" s="2"/>
      <c r="D46" s="2"/>
      <c r="E46" s="2"/>
      <c r="F46" s="2"/>
      <c r="G46" s="2"/>
      <c r="H46" s="2"/>
      <c r="I46" s="3"/>
      <c r="J46" s="560"/>
      <c r="K46" s="560"/>
      <c r="L46" s="560" t="s">
        <v>1318</v>
      </c>
      <c r="M46" s="565">
        <f>M47</f>
        <v>2.1690293064594489E-2</v>
      </c>
      <c r="N46" s="560"/>
      <c r="O46" s="560"/>
      <c r="P46" s="560"/>
      <c r="Q46" s="560"/>
      <c r="R46" s="560"/>
      <c r="S46" s="560"/>
      <c r="T46" s="560"/>
      <c r="U46" s="560"/>
      <c r="V46" s="3"/>
    </row>
    <row r="47" spans="1:22" s="4" customFormat="1">
      <c r="A47" s="2"/>
      <c r="B47" s="2"/>
      <c r="C47" s="2"/>
      <c r="D47" s="2"/>
      <c r="E47" s="2"/>
      <c r="F47" s="2"/>
      <c r="G47" s="2"/>
      <c r="H47" s="2"/>
      <c r="I47" s="3"/>
      <c r="J47" s="560"/>
      <c r="K47" s="560"/>
      <c r="L47" s="560" t="s">
        <v>1317</v>
      </c>
      <c r="M47" s="576">
        <v>2.1690293064594489E-2</v>
      </c>
      <c r="N47" s="604" t="s">
        <v>1316</v>
      </c>
      <c r="O47" s="560"/>
      <c r="P47" s="560"/>
      <c r="Q47" s="560"/>
      <c r="R47" s="560"/>
      <c r="S47" s="560"/>
      <c r="T47" s="560"/>
      <c r="U47" s="560"/>
      <c r="V47" s="3"/>
    </row>
    <row r="49" spans="1:22" s="4" customFormat="1">
      <c r="A49" s="2"/>
      <c r="B49" s="2"/>
      <c r="C49" s="2"/>
      <c r="D49" s="2"/>
      <c r="E49" s="2"/>
      <c r="F49" s="2"/>
      <c r="G49" s="2"/>
      <c r="H49" s="2"/>
      <c r="I49" s="3"/>
      <c r="J49" s="560"/>
      <c r="K49" s="560"/>
      <c r="L49" s="560" t="s">
        <v>1315</v>
      </c>
      <c r="M49" s="576">
        <f>M41/M37</f>
        <v>1.6427978148716642E-2</v>
      </c>
      <c r="N49" s="560"/>
      <c r="O49" s="560"/>
      <c r="P49" s="560"/>
      <c r="Q49" s="560"/>
      <c r="R49" s="560"/>
      <c r="S49" s="560"/>
      <c r="T49" s="560"/>
      <c r="U49" s="560"/>
      <c r="V49" s="3"/>
    </row>
    <row r="50" spans="1:22">
      <c r="L50" s="560" t="s">
        <v>1314</v>
      </c>
      <c r="M50" s="563" t="s">
        <v>409</v>
      </c>
    </row>
  </sheetData>
  <sheetProtection algorithmName="SHA-512" hashValue="QCeAl3TTD4Z8dCLDOOZxq7u2KhJqQd1HdX42qZ3XBPZF5AVKmhJtyHKbHp69dqKxzdFKcHkdrR+0M7h8o4LSjw==" saltValue="ZXwxHuZWXuW7BVVH/VakwA==" spinCount="100000" sheet="1" objects="1" scenarios="1"/>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205D1-CFBD-4343-A535-56354F45129F}">
  <dimension ref="A1:U50"/>
  <sheetViews>
    <sheetView zoomScaleNormal="100" workbookViewId="0">
      <selection sqref="A1:XFD1048576"/>
    </sheetView>
  </sheetViews>
  <sheetFormatPr defaultColWidth="9.33203125" defaultRowHeight="15.6"/>
  <cols>
    <col min="1" max="1" width="3.6640625" style="2" customWidth="1"/>
    <col min="2" max="2" width="47.5546875" style="2" customWidth="1"/>
    <col min="3" max="3" width="25.5546875" style="2" customWidth="1"/>
    <col min="4" max="4" width="30.109375" style="2" customWidth="1"/>
    <col min="5" max="5" width="9" style="2" customWidth="1"/>
    <col min="6" max="6" width="1" style="3" customWidth="1"/>
    <col min="7" max="7" width="4" style="560" customWidth="1"/>
    <col min="8" max="8" width="29.33203125" style="560" customWidth="1"/>
    <col min="9" max="9" width="21.109375" style="560" customWidth="1"/>
    <col min="10" max="10" width="27.6640625" style="560" customWidth="1"/>
    <col min="11" max="11" width="16.33203125" style="560" customWidth="1"/>
    <col min="12" max="13" width="9.33203125" style="560"/>
    <col min="14" max="14" width="1" style="561" customWidth="1"/>
    <col min="15" max="15" width="4" style="560" customWidth="1"/>
    <col min="16" max="16" width="29.33203125" style="560" customWidth="1"/>
    <col min="17" max="17" width="21.109375" style="560" customWidth="1"/>
    <col min="18" max="18" width="27.6640625" style="560" customWidth="1"/>
    <col min="19" max="19" width="16.109375" style="560" customWidth="1"/>
    <col min="20" max="20" width="16.33203125" style="560" customWidth="1"/>
    <col min="21" max="21" width="1" style="561" customWidth="1"/>
    <col min="22" max="16384" width="9.33203125" style="4"/>
  </cols>
  <sheetData>
    <row r="1" spans="1:20">
      <c r="A1" s="1" t="s">
        <v>1348</v>
      </c>
      <c r="G1" s="1" t="str">
        <f>A1</f>
        <v>Exam RETDAC:  Fall 2022</v>
      </c>
      <c r="H1" s="2"/>
      <c r="I1" s="2"/>
      <c r="J1" s="2"/>
      <c r="K1" s="2"/>
      <c r="L1" s="2"/>
      <c r="M1" s="2"/>
      <c r="N1" s="3"/>
      <c r="O1" s="1" t="str">
        <f>G1</f>
        <v>Exam RETDAC:  Fall 2022</v>
      </c>
      <c r="P1" s="2"/>
      <c r="Q1" s="2"/>
      <c r="R1" s="2"/>
      <c r="S1" s="2"/>
      <c r="T1" s="2"/>
    </row>
    <row r="2" spans="1:20">
      <c r="A2" s="1" t="s">
        <v>732</v>
      </c>
      <c r="G2" s="1" t="str">
        <f>A2</f>
        <v>Design and Accounting Exam – Canada</v>
      </c>
      <c r="H2" s="2"/>
      <c r="I2" s="2"/>
      <c r="J2" s="2"/>
      <c r="K2" s="2"/>
      <c r="L2" s="2"/>
      <c r="M2" s="2"/>
      <c r="N2" s="3"/>
      <c r="O2" s="1" t="str">
        <f>G2</f>
        <v>Design and Accounting Exam – Canada</v>
      </c>
      <c r="P2" s="2"/>
      <c r="Q2" s="2"/>
      <c r="R2" s="2"/>
      <c r="S2" s="2"/>
      <c r="T2" s="2"/>
    </row>
    <row r="3" spans="1:20">
      <c r="A3" s="1" t="s">
        <v>336</v>
      </c>
      <c r="G3" s="1" t="str">
        <f>A3</f>
        <v>Question 9</v>
      </c>
      <c r="H3" s="2"/>
      <c r="I3" s="2"/>
      <c r="J3" s="2"/>
      <c r="K3" s="2"/>
      <c r="L3" s="2"/>
      <c r="M3" s="2"/>
      <c r="N3" s="3"/>
      <c r="O3" s="1" t="str">
        <f>G3</f>
        <v>Question 9</v>
      </c>
      <c r="P3" s="2"/>
      <c r="Q3" s="2"/>
      <c r="R3" s="2"/>
      <c r="S3" s="2"/>
      <c r="T3" s="2"/>
    </row>
    <row r="4" spans="1:20">
      <c r="G4" s="2"/>
      <c r="H4" s="2"/>
      <c r="I4" s="2"/>
      <c r="J4" s="2"/>
      <c r="K4" s="2"/>
      <c r="L4" s="2"/>
      <c r="M4" s="2"/>
      <c r="N4" s="3"/>
      <c r="O4" s="2"/>
      <c r="P4" s="2"/>
      <c r="Q4" s="2"/>
      <c r="R4" s="2"/>
      <c r="S4" s="2"/>
      <c r="T4" s="2"/>
    </row>
    <row r="5" spans="1:20" ht="16.2">
      <c r="A5" s="1010" t="s">
        <v>1347</v>
      </c>
      <c r="G5" s="6" t="s">
        <v>4</v>
      </c>
      <c r="H5" s="2"/>
      <c r="I5" s="2"/>
      <c r="J5" s="2"/>
      <c r="K5" s="2"/>
      <c r="L5" s="2"/>
      <c r="M5" s="2"/>
      <c r="N5" s="3"/>
      <c r="O5" s="6" t="s">
        <v>4</v>
      </c>
      <c r="P5" s="2"/>
      <c r="Q5" s="2"/>
      <c r="R5" s="2"/>
      <c r="S5" s="2"/>
      <c r="T5" s="2"/>
    </row>
    <row r="6" spans="1:20">
      <c r="A6" s="1010"/>
      <c r="G6" s="2"/>
      <c r="H6" s="2"/>
      <c r="I6" s="2"/>
      <c r="J6" s="2"/>
      <c r="K6" s="2"/>
      <c r="L6" s="2"/>
      <c r="M6" s="2"/>
      <c r="N6" s="3"/>
      <c r="O6" s="2"/>
      <c r="P6" s="2"/>
      <c r="Q6" s="2"/>
      <c r="R6" s="2"/>
      <c r="S6" s="2"/>
      <c r="T6" s="2"/>
    </row>
    <row r="7" spans="1:20">
      <c r="A7" s="1010" t="s">
        <v>1196</v>
      </c>
      <c r="G7" s="2" t="s">
        <v>6</v>
      </c>
      <c r="H7" s="1462" t="s">
        <v>1346</v>
      </c>
      <c r="I7" s="1462"/>
      <c r="J7" s="1462"/>
      <c r="K7" s="1462"/>
      <c r="L7" s="1462"/>
      <c r="M7" s="5"/>
      <c r="N7" s="3"/>
      <c r="O7" s="1020" t="s">
        <v>256</v>
      </c>
      <c r="P7" s="999" t="s">
        <v>1326</v>
      </c>
      <c r="Q7" s="2"/>
      <c r="R7" s="2"/>
      <c r="S7" s="2"/>
      <c r="T7" s="2"/>
    </row>
    <row r="8" spans="1:20" ht="15.6" customHeight="1">
      <c r="G8" s="2"/>
      <c r="H8" s="1462"/>
      <c r="I8" s="1462"/>
      <c r="J8" s="1462"/>
      <c r="K8" s="1462"/>
      <c r="L8" s="1462"/>
      <c r="M8" s="9"/>
      <c r="N8" s="3"/>
      <c r="O8" s="2"/>
      <c r="P8" s="1462"/>
      <c r="Q8" s="1462"/>
      <c r="R8" s="1462"/>
      <c r="S8" s="1462"/>
      <c r="T8" s="1462"/>
    </row>
    <row r="9" spans="1:20">
      <c r="B9" s="852"/>
      <c r="C9" s="852" t="s">
        <v>1345</v>
      </c>
      <c r="D9" s="852" t="s">
        <v>1344</v>
      </c>
      <c r="G9" s="2"/>
      <c r="H9" s="2"/>
      <c r="I9" s="2"/>
      <c r="J9" s="2"/>
      <c r="K9" s="2"/>
      <c r="L9" s="1019"/>
      <c r="M9" s="9"/>
      <c r="N9" s="3"/>
      <c r="O9" s="2"/>
      <c r="P9" s="2" t="s">
        <v>683</v>
      </c>
      <c r="Q9" s="2"/>
      <c r="R9" s="2"/>
      <c r="S9" s="2"/>
      <c r="T9" s="1018"/>
    </row>
    <row r="10" spans="1:20">
      <c r="B10" s="852" t="s">
        <v>1343</v>
      </c>
      <c r="C10" s="853"/>
      <c r="D10" s="853"/>
      <c r="G10" s="2"/>
      <c r="H10" s="2" t="s">
        <v>683</v>
      </c>
      <c r="I10" s="2"/>
      <c r="J10" s="2"/>
      <c r="K10" s="2"/>
      <c r="L10" s="2"/>
      <c r="M10" s="9"/>
      <c r="N10" s="3"/>
      <c r="O10" s="2"/>
      <c r="P10" s="1"/>
      <c r="Q10" s="2"/>
      <c r="R10" s="2"/>
      <c r="S10" s="2"/>
      <c r="T10" s="2"/>
    </row>
    <row r="11" spans="1:20">
      <c r="B11" s="850" t="s">
        <v>1342</v>
      </c>
      <c r="C11" s="849">
        <v>1100000</v>
      </c>
      <c r="D11" s="849">
        <v>3000000</v>
      </c>
      <c r="G11" s="2"/>
      <c r="H11" s="1016"/>
      <c r="I11" s="1017"/>
      <c r="J11" s="1017"/>
      <c r="K11" s="1017"/>
      <c r="L11" s="1016"/>
      <c r="M11" s="9"/>
      <c r="N11" s="3"/>
      <c r="O11" s="2"/>
      <c r="P11" s="1"/>
      <c r="Q11" s="2"/>
      <c r="R11" s="2"/>
      <c r="S11" s="2"/>
      <c r="T11" s="2"/>
    </row>
    <row r="12" spans="1:20" ht="15.9" customHeight="1">
      <c r="B12" s="850" t="s">
        <v>1341</v>
      </c>
      <c r="C12" s="849">
        <v>1400000</v>
      </c>
      <c r="D12" s="849">
        <v>2850000</v>
      </c>
      <c r="H12" s="1004"/>
      <c r="I12" s="1007"/>
      <c r="J12" s="1007"/>
      <c r="K12" s="1007"/>
      <c r="L12" s="670"/>
      <c r="M12" s="1014"/>
      <c r="P12" s="1004"/>
      <c r="Q12" s="1007"/>
      <c r="R12" s="1007"/>
      <c r="S12" s="1007"/>
      <c r="T12" s="1007"/>
    </row>
    <row r="13" spans="1:20" ht="16.5" customHeight="1">
      <c r="B13" s="850" t="s">
        <v>1005</v>
      </c>
      <c r="C13" s="849">
        <v>125000</v>
      </c>
      <c r="D13" s="849">
        <v>360000</v>
      </c>
      <c r="H13" s="1004"/>
      <c r="I13" s="1007"/>
      <c r="J13" s="1015"/>
      <c r="K13" s="1007"/>
      <c r="L13" s="670"/>
      <c r="M13" s="1014"/>
      <c r="P13" s="603"/>
      <c r="R13" s="670"/>
      <c r="S13" s="670"/>
    </row>
    <row r="14" spans="1:20">
      <c r="B14" s="850" t="s">
        <v>1340</v>
      </c>
      <c r="C14" s="849">
        <v>160000</v>
      </c>
      <c r="D14" s="849">
        <v>275000</v>
      </c>
      <c r="H14" s="1004"/>
      <c r="I14" s="1007"/>
      <c r="J14" s="1007"/>
      <c r="K14" s="1007"/>
      <c r="L14" s="670"/>
      <c r="M14" s="1013"/>
      <c r="P14" s="1004"/>
      <c r="Q14" s="1012"/>
      <c r="R14" s="670"/>
      <c r="S14" s="670"/>
    </row>
    <row r="15" spans="1:20" ht="15.6" customHeight="1">
      <c r="B15" s="850" t="s">
        <v>1339</v>
      </c>
      <c r="C15" s="849">
        <v>50000</v>
      </c>
      <c r="D15" s="849">
        <v>0</v>
      </c>
      <c r="H15" s="1004"/>
      <c r="I15" s="1007"/>
      <c r="J15" s="1011"/>
      <c r="K15" s="1007"/>
      <c r="L15" s="670"/>
      <c r="P15" s="1004"/>
      <c r="Q15" s="1007"/>
      <c r="R15" s="670"/>
      <c r="S15" s="670"/>
    </row>
    <row r="16" spans="1:20" ht="16.5" customHeight="1">
      <c r="B16" s="850" t="s">
        <v>1048</v>
      </c>
      <c r="C16" s="1663">
        <v>2.5999999999999999E-2</v>
      </c>
      <c r="D16" s="1664"/>
      <c r="H16" s="1004"/>
      <c r="I16" s="1007"/>
      <c r="J16" s="1011"/>
      <c r="K16" s="1007"/>
      <c r="L16" s="670"/>
      <c r="P16" s="1004"/>
      <c r="Q16" s="1007"/>
      <c r="R16" s="670"/>
      <c r="S16" s="670"/>
    </row>
    <row r="17" spans="1:19" ht="16.5" customHeight="1">
      <c r="B17" s="850" t="s">
        <v>1338</v>
      </c>
      <c r="C17" s="849" t="s">
        <v>763</v>
      </c>
      <c r="D17" s="849" t="s">
        <v>763</v>
      </c>
      <c r="H17" s="1004"/>
      <c r="I17" s="1007"/>
      <c r="J17" s="1011"/>
      <c r="K17" s="1007"/>
      <c r="L17" s="670"/>
      <c r="P17" s="1004"/>
      <c r="Q17" s="1007"/>
      <c r="R17" s="670"/>
      <c r="S17" s="670"/>
    </row>
    <row r="18" spans="1:19" ht="16.5" customHeight="1">
      <c r="B18" s="850" t="s">
        <v>1337</v>
      </c>
      <c r="C18" s="849" t="s">
        <v>763</v>
      </c>
      <c r="D18" s="849" t="s">
        <v>763</v>
      </c>
      <c r="H18" s="1004"/>
      <c r="I18" s="1007"/>
      <c r="J18" s="1011"/>
      <c r="K18" s="1007"/>
      <c r="L18" s="670"/>
      <c r="P18" s="1004"/>
      <c r="Q18" s="1007"/>
      <c r="R18" s="670"/>
      <c r="S18" s="670"/>
    </row>
    <row r="19" spans="1:19">
      <c r="B19" s="586"/>
      <c r="C19" s="587"/>
      <c r="D19" s="587"/>
      <c r="H19" s="603"/>
      <c r="I19" s="1007"/>
      <c r="J19" s="1007"/>
      <c r="K19" s="1007"/>
      <c r="L19" s="670"/>
      <c r="P19" s="1004"/>
      <c r="Q19" s="1007"/>
      <c r="R19" s="670"/>
      <c r="S19" s="670"/>
    </row>
    <row r="20" spans="1:19">
      <c r="A20" s="2" t="s">
        <v>6</v>
      </c>
      <c r="B20" s="1658" t="s">
        <v>1336</v>
      </c>
      <c r="C20" s="1665"/>
      <c r="D20" s="1665"/>
      <c r="H20" s="603"/>
      <c r="I20" s="1007"/>
      <c r="J20" s="1007"/>
      <c r="K20" s="1007"/>
      <c r="L20" s="670"/>
      <c r="P20" s="1004"/>
      <c r="Q20" s="1007"/>
      <c r="R20" s="670"/>
      <c r="S20" s="670"/>
    </row>
    <row r="21" spans="1:19">
      <c r="B21" s="1665"/>
      <c r="C21" s="1665"/>
      <c r="D21" s="1665"/>
      <c r="H21" s="603"/>
      <c r="I21" s="1007"/>
      <c r="J21" s="1007"/>
      <c r="K21" s="1007"/>
      <c r="L21" s="670"/>
      <c r="P21" s="1004"/>
      <c r="Q21" s="1007"/>
      <c r="R21" s="670"/>
      <c r="S21" s="670"/>
    </row>
    <row r="22" spans="1:19">
      <c r="H22" s="603"/>
      <c r="I22" s="1007"/>
      <c r="J22" s="1007"/>
      <c r="K22" s="1007"/>
      <c r="L22" s="670"/>
      <c r="P22" s="1004"/>
      <c r="Q22" s="1007"/>
      <c r="R22" s="670"/>
      <c r="S22" s="670"/>
    </row>
    <row r="23" spans="1:19">
      <c r="B23" s="776" t="s">
        <v>683</v>
      </c>
      <c r="H23" s="603"/>
      <c r="I23" s="1007"/>
      <c r="J23" s="1007"/>
      <c r="K23" s="1007"/>
      <c r="L23" s="670"/>
      <c r="P23" s="1004"/>
      <c r="Q23" s="1007"/>
      <c r="R23" s="670"/>
      <c r="S23" s="670"/>
    </row>
    <row r="24" spans="1:19">
      <c r="B24" s="776"/>
      <c r="H24" s="603"/>
      <c r="I24" s="1007"/>
      <c r="J24" s="1007"/>
      <c r="K24" s="1007"/>
      <c r="L24" s="670"/>
      <c r="P24" s="1004"/>
      <c r="Q24" s="1007"/>
      <c r="R24" s="670"/>
      <c r="S24" s="670"/>
    </row>
    <row r="25" spans="1:19" ht="16.2">
      <c r="B25" s="29" t="s">
        <v>32</v>
      </c>
      <c r="H25" s="603"/>
      <c r="I25" s="1007"/>
      <c r="J25" s="1007"/>
      <c r="K25" s="1007"/>
      <c r="L25" s="670"/>
      <c r="P25" s="1004"/>
      <c r="Q25" s="1007"/>
      <c r="R25" s="670"/>
      <c r="S25" s="670"/>
    </row>
    <row r="26" spans="1:19">
      <c r="H26" s="603"/>
      <c r="I26" s="1007"/>
      <c r="J26" s="1007"/>
      <c r="K26" s="1007"/>
      <c r="L26" s="670"/>
      <c r="P26" s="1004"/>
      <c r="Q26" s="1007"/>
      <c r="R26" s="670"/>
      <c r="S26" s="670"/>
    </row>
    <row r="27" spans="1:19">
      <c r="A27" s="1010" t="s">
        <v>1335</v>
      </c>
      <c r="H27" s="603"/>
      <c r="I27" s="1007"/>
      <c r="J27" s="1007"/>
      <c r="K27" s="1007"/>
      <c r="L27" s="670"/>
      <c r="P27" s="1004"/>
      <c r="Q27" s="1007"/>
      <c r="R27" s="670"/>
      <c r="S27" s="670"/>
    </row>
    <row r="28" spans="1:19">
      <c r="A28" s="1010"/>
      <c r="H28" s="603"/>
      <c r="I28" s="1007"/>
      <c r="J28" s="1007"/>
      <c r="K28" s="1007"/>
      <c r="L28" s="670"/>
      <c r="P28" s="1004"/>
      <c r="Q28" s="1007"/>
      <c r="R28" s="670"/>
      <c r="S28" s="670"/>
    </row>
    <row r="29" spans="1:19">
      <c r="A29" s="1010" t="s">
        <v>1196</v>
      </c>
      <c r="H29" s="603"/>
      <c r="I29" s="1007"/>
      <c r="J29" s="1007"/>
      <c r="K29" s="1007"/>
      <c r="L29" s="670"/>
      <c r="P29" s="1004"/>
      <c r="Q29" s="1007"/>
      <c r="R29" s="670"/>
      <c r="S29" s="670"/>
    </row>
    <row r="30" spans="1:19">
      <c r="H30" s="1004"/>
      <c r="I30" s="1009"/>
      <c r="J30" s="1009"/>
      <c r="K30" s="1007"/>
      <c r="L30" s="670"/>
      <c r="P30" s="1004"/>
      <c r="Q30" s="1007"/>
      <c r="R30" s="670"/>
      <c r="S30" s="670"/>
    </row>
    <row r="31" spans="1:19">
      <c r="B31" s="852"/>
      <c r="C31" s="1008" t="s">
        <v>1334</v>
      </c>
      <c r="K31" s="981"/>
      <c r="L31" s="670"/>
      <c r="P31" s="1004"/>
      <c r="Q31" s="1007"/>
      <c r="R31" s="670"/>
      <c r="S31" s="670"/>
    </row>
    <row r="32" spans="1:19">
      <c r="B32" s="850" t="s">
        <v>1333</v>
      </c>
      <c r="C32" s="849">
        <v>4250000</v>
      </c>
      <c r="E32" s="997"/>
      <c r="K32" s="981"/>
      <c r="L32" s="670"/>
      <c r="P32" s="603"/>
      <c r="Q32" s="1007"/>
      <c r="R32" s="673"/>
      <c r="S32" s="673"/>
    </row>
    <row r="33" spans="1:20">
      <c r="B33" s="850" t="s">
        <v>1332</v>
      </c>
      <c r="C33" s="849">
        <v>4300000</v>
      </c>
      <c r="D33" s="997"/>
      <c r="P33" s="1004"/>
      <c r="Q33" s="1007"/>
      <c r="R33" s="1006"/>
      <c r="S33" s="1006"/>
      <c r="T33" s="562"/>
    </row>
    <row r="34" spans="1:20">
      <c r="B34" s="850"/>
      <c r="C34" s="853"/>
      <c r="L34" s="670"/>
      <c r="Q34" s="981"/>
      <c r="R34" s="562"/>
      <c r="S34" s="562"/>
      <c r="T34" s="562"/>
    </row>
    <row r="35" spans="1:20">
      <c r="B35" s="850" t="s">
        <v>1331</v>
      </c>
      <c r="C35" s="849">
        <v>800000</v>
      </c>
      <c r="H35" s="1002"/>
      <c r="I35" s="1001"/>
      <c r="K35" s="562"/>
      <c r="L35" s="670"/>
      <c r="Q35" s="981"/>
      <c r="R35" s="981"/>
      <c r="S35" s="981"/>
      <c r="T35" s="1005"/>
    </row>
    <row r="36" spans="1:20">
      <c r="B36" s="850" t="s">
        <v>1330</v>
      </c>
      <c r="C36" s="849">
        <v>875000</v>
      </c>
      <c r="H36" s="1002"/>
      <c r="I36" s="1001"/>
      <c r="K36" s="562"/>
      <c r="L36" s="670"/>
    </row>
    <row r="37" spans="1:20">
      <c r="B37" s="850"/>
      <c r="C37" s="853"/>
      <c r="H37" s="1002"/>
      <c r="I37" s="1002"/>
      <c r="L37" s="670"/>
      <c r="P37" s="1002"/>
      <c r="Q37" s="1001"/>
    </row>
    <row r="38" spans="1:20">
      <c r="B38" s="852" t="s">
        <v>84</v>
      </c>
      <c r="C38" s="853"/>
      <c r="D38" s="997"/>
      <c r="H38" s="1000"/>
      <c r="I38" s="1001"/>
      <c r="L38" s="670"/>
      <c r="P38" s="1002"/>
      <c r="Q38" s="673"/>
    </row>
    <row r="39" spans="1:20">
      <c r="B39" s="850" t="s">
        <v>1329</v>
      </c>
      <c r="C39" s="849">
        <v>505000</v>
      </c>
      <c r="H39" s="1000"/>
      <c r="I39" s="1001"/>
      <c r="L39" s="670"/>
      <c r="P39" s="1004"/>
      <c r="Q39" s="1003"/>
    </row>
    <row r="40" spans="1:20">
      <c r="B40" s="850" t="s">
        <v>1328</v>
      </c>
      <c r="C40" s="849">
        <v>0</v>
      </c>
      <c r="H40" s="1002"/>
      <c r="I40" s="1001"/>
      <c r="L40" s="670"/>
      <c r="Q40" s="1001"/>
    </row>
    <row r="41" spans="1:20">
      <c r="B41" s="850" t="s">
        <v>1048</v>
      </c>
      <c r="C41" s="851">
        <v>2.35E-2</v>
      </c>
      <c r="D41" s="587"/>
      <c r="P41" s="1000"/>
    </row>
    <row r="42" spans="1:20">
      <c r="B42" s="1666" t="s">
        <v>1327</v>
      </c>
      <c r="C42" s="1667"/>
      <c r="D42" s="587"/>
      <c r="P42" s="1000"/>
    </row>
    <row r="43" spans="1:20">
      <c r="H43" s="981"/>
      <c r="I43" s="981"/>
      <c r="J43" s="981"/>
      <c r="K43" s="981"/>
    </row>
    <row r="44" spans="1:20">
      <c r="A44" s="2" t="s">
        <v>256</v>
      </c>
      <c r="B44" s="999" t="s">
        <v>1326</v>
      </c>
      <c r="C44" s="997"/>
      <c r="D44" s="997"/>
      <c r="H44" s="981"/>
      <c r="I44" s="981"/>
      <c r="J44" s="981"/>
      <c r="K44" s="981"/>
    </row>
    <row r="45" spans="1:20">
      <c r="B45" s="998"/>
      <c r="C45" s="997"/>
      <c r="D45" s="997"/>
      <c r="H45" s="981"/>
      <c r="I45" s="981"/>
      <c r="J45" s="981"/>
      <c r="K45" s="981"/>
      <c r="P45" s="981"/>
      <c r="Q45" s="981"/>
      <c r="R45" s="981"/>
      <c r="S45" s="981"/>
      <c r="T45" s="981"/>
    </row>
    <row r="46" spans="1:20">
      <c r="B46" s="776" t="s">
        <v>683</v>
      </c>
      <c r="C46" s="997"/>
      <c r="D46" s="997"/>
      <c r="H46" s="981"/>
      <c r="I46" s="981"/>
      <c r="J46" s="981"/>
      <c r="K46" s="981"/>
      <c r="P46" s="981"/>
      <c r="Q46" s="981"/>
      <c r="R46" s="981"/>
      <c r="S46" s="981"/>
      <c r="T46" s="981"/>
    </row>
    <row r="47" spans="1:20">
      <c r="B47" s="776"/>
      <c r="C47" s="997"/>
      <c r="D47" s="997"/>
      <c r="H47" s="981"/>
      <c r="I47" s="981"/>
      <c r="J47" s="981"/>
      <c r="K47" s="981"/>
      <c r="P47" s="981"/>
      <c r="Q47" s="981"/>
      <c r="R47" s="981"/>
      <c r="S47" s="981"/>
      <c r="T47" s="981"/>
    </row>
    <row r="48" spans="1:20" ht="16.2">
      <c r="B48" s="29" t="s">
        <v>32</v>
      </c>
      <c r="H48" s="981"/>
      <c r="I48" s="981"/>
      <c r="J48" s="981"/>
      <c r="K48" s="981"/>
      <c r="P48" s="981"/>
      <c r="Q48" s="981"/>
      <c r="R48" s="981"/>
      <c r="S48" s="981"/>
      <c r="T48" s="981"/>
    </row>
    <row r="49" spans="2:20">
      <c r="P49" s="981"/>
      <c r="Q49" s="981"/>
      <c r="R49" s="981"/>
      <c r="S49" s="981"/>
      <c r="T49" s="981"/>
    </row>
    <row r="50" spans="2:20">
      <c r="B50" s="996"/>
      <c r="C50" s="996"/>
      <c r="D50" s="996"/>
      <c r="P50" s="981"/>
      <c r="Q50" s="981"/>
      <c r="R50" s="981"/>
      <c r="S50" s="981"/>
      <c r="T50" s="981"/>
    </row>
  </sheetData>
  <mergeCells count="5">
    <mergeCell ref="H7:L8"/>
    <mergeCell ref="P8:T8"/>
    <mergeCell ref="C16:D16"/>
    <mergeCell ref="B20:D21"/>
    <mergeCell ref="B42:C42"/>
  </mergeCells>
  <pageMargins left="0.7" right="0.7" top="0.75" bottom="0.75" header="0.3" footer="0.3"/>
  <pageSetup scale="84" orientation="portrait" horizontalDpi="4294967293" verticalDpi="300" r:id="rId1"/>
  <colBreaks count="1" manualBreakCount="1">
    <brk id="6"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02634-8AE9-4BDD-A6AC-6D7FB03963CC}">
  <dimension ref="A1:U50"/>
  <sheetViews>
    <sheetView zoomScaleNormal="100" workbookViewId="0">
      <selection sqref="A1:XFD1048576"/>
    </sheetView>
  </sheetViews>
  <sheetFormatPr defaultColWidth="9.33203125" defaultRowHeight="15.6"/>
  <cols>
    <col min="1" max="1" width="3.6640625" style="2" customWidth="1"/>
    <col min="2" max="2" width="47.5546875" style="2" customWidth="1"/>
    <col min="3" max="3" width="25.5546875" style="2" customWidth="1"/>
    <col min="4" max="4" width="30.109375" style="2" customWidth="1"/>
    <col min="5" max="5" width="9" style="2" customWidth="1"/>
    <col min="6" max="6" width="1" style="3" customWidth="1"/>
    <col min="7" max="7" width="4" style="560" customWidth="1"/>
    <col min="8" max="8" width="29.33203125" style="560" customWidth="1"/>
    <col min="9" max="9" width="21.109375" style="560" customWidth="1"/>
    <col min="10" max="10" width="27.6640625" style="560" customWidth="1"/>
    <col min="11" max="11" width="16.33203125" style="560" customWidth="1"/>
    <col min="12" max="13" width="9.33203125" style="560"/>
    <col min="14" max="14" width="1" style="561" customWidth="1"/>
    <col min="15" max="15" width="4" style="560" customWidth="1"/>
    <col min="16" max="16" width="29.33203125" style="560" customWidth="1"/>
    <col min="17" max="17" width="21.109375" style="560" customWidth="1"/>
    <col min="18" max="18" width="27.6640625" style="560" customWidth="1"/>
    <col min="19" max="19" width="16.109375" style="560" customWidth="1"/>
    <col min="20" max="20" width="16.33203125" style="560" customWidth="1"/>
    <col min="21" max="21" width="1" style="561" customWidth="1"/>
    <col min="22" max="16384" width="9.33203125" style="4"/>
  </cols>
  <sheetData>
    <row r="1" spans="1:20">
      <c r="A1" s="1" t="s">
        <v>1348</v>
      </c>
      <c r="G1" s="1" t="str">
        <f>A1</f>
        <v>Exam RETDAC:  Fall 2022</v>
      </c>
      <c r="H1" s="2"/>
      <c r="I1" s="2"/>
      <c r="J1" s="2"/>
      <c r="K1" s="2"/>
      <c r="L1" s="2"/>
      <c r="M1" s="2"/>
      <c r="N1" s="3"/>
      <c r="O1" s="1" t="str">
        <f>G1</f>
        <v>Exam RETDAC:  Fall 2022</v>
      </c>
      <c r="P1" s="2"/>
      <c r="Q1" s="2"/>
      <c r="R1" s="2"/>
      <c r="S1" s="2"/>
      <c r="T1" s="2"/>
    </row>
    <row r="2" spans="1:20">
      <c r="A2" s="1" t="s">
        <v>732</v>
      </c>
      <c r="G2" s="1" t="str">
        <f>A2</f>
        <v>Design and Accounting Exam – Canada</v>
      </c>
      <c r="H2" s="2"/>
      <c r="I2" s="2"/>
      <c r="J2" s="2"/>
      <c r="K2" s="2"/>
      <c r="L2" s="2"/>
      <c r="M2" s="2"/>
      <c r="N2" s="3"/>
      <c r="O2" s="1" t="str">
        <f>G2</f>
        <v>Design and Accounting Exam – Canada</v>
      </c>
      <c r="P2" s="2"/>
      <c r="Q2" s="2"/>
      <c r="R2" s="2"/>
      <c r="S2" s="2"/>
      <c r="T2" s="2"/>
    </row>
    <row r="3" spans="1:20">
      <c r="A3" s="1" t="s">
        <v>336</v>
      </c>
      <c r="G3" s="1" t="str">
        <f>A3</f>
        <v>Question 9</v>
      </c>
      <c r="H3" s="2"/>
      <c r="I3" s="2"/>
      <c r="J3" s="2"/>
      <c r="K3" s="2"/>
      <c r="L3" s="2"/>
      <c r="M3" s="2"/>
      <c r="N3" s="3"/>
      <c r="O3" s="1" t="str">
        <f>G3</f>
        <v>Question 9</v>
      </c>
      <c r="P3" s="2"/>
      <c r="Q3" s="2"/>
      <c r="R3" s="2"/>
      <c r="S3" s="2"/>
      <c r="T3" s="2"/>
    </row>
    <row r="4" spans="1:20">
      <c r="G4" s="2"/>
      <c r="H4" s="2"/>
      <c r="I4" s="2"/>
      <c r="J4" s="2"/>
      <c r="K4" s="2"/>
      <c r="L4" s="2"/>
      <c r="M4" s="2"/>
      <c r="N4" s="3"/>
      <c r="O4" s="2"/>
      <c r="P4" s="2"/>
      <c r="Q4" s="2"/>
      <c r="R4" s="2"/>
      <c r="S4" s="2"/>
      <c r="T4" s="2"/>
    </row>
    <row r="5" spans="1:20" ht="16.2">
      <c r="A5" s="1010" t="s">
        <v>1347</v>
      </c>
      <c r="G5" s="6" t="s">
        <v>4</v>
      </c>
      <c r="H5" s="2"/>
      <c r="I5" s="2"/>
      <c r="J5" s="2"/>
      <c r="K5" s="2"/>
      <c r="L5" s="2"/>
      <c r="M5" s="2"/>
      <c r="N5" s="3"/>
      <c r="O5" s="6" t="s">
        <v>4</v>
      </c>
      <c r="P5" s="2"/>
      <c r="Q5" s="2"/>
      <c r="R5" s="2"/>
      <c r="S5" s="2"/>
      <c r="T5" s="2"/>
    </row>
    <row r="6" spans="1:20">
      <c r="A6" s="1010"/>
      <c r="G6" s="2"/>
      <c r="H6" s="2"/>
      <c r="I6" s="2"/>
      <c r="J6" s="2"/>
      <c r="K6" s="2"/>
      <c r="L6" s="2"/>
      <c r="M6" s="2"/>
      <c r="N6" s="3"/>
      <c r="O6" s="2"/>
      <c r="P6" s="2"/>
      <c r="Q6" s="2"/>
      <c r="R6" s="2"/>
      <c r="S6" s="2"/>
      <c r="T6" s="2"/>
    </row>
    <row r="7" spans="1:20">
      <c r="A7" s="1010" t="s">
        <v>1196</v>
      </c>
      <c r="G7" s="2" t="s">
        <v>6</v>
      </c>
      <c r="H7" s="1462" t="s">
        <v>1346</v>
      </c>
      <c r="I7" s="1462"/>
      <c r="J7" s="1462"/>
      <c r="K7" s="1462"/>
      <c r="L7" s="1462"/>
      <c r="M7" s="5"/>
      <c r="N7" s="3"/>
      <c r="O7" s="1020" t="s">
        <v>256</v>
      </c>
      <c r="P7" s="999" t="s">
        <v>1326</v>
      </c>
      <c r="Q7" s="2"/>
      <c r="R7" s="2"/>
      <c r="S7" s="2"/>
      <c r="T7" s="2"/>
    </row>
    <row r="8" spans="1:20" ht="15.6" customHeight="1">
      <c r="G8" s="2"/>
      <c r="H8" s="1462"/>
      <c r="I8" s="1462"/>
      <c r="J8" s="1462"/>
      <c r="K8" s="1462"/>
      <c r="L8" s="1462"/>
      <c r="M8" s="9"/>
      <c r="N8" s="3"/>
      <c r="O8" s="2"/>
      <c r="P8" s="1462"/>
      <c r="Q8" s="1462"/>
      <c r="R8" s="1462"/>
      <c r="S8" s="1462"/>
      <c r="T8" s="1462"/>
    </row>
    <row r="9" spans="1:20">
      <c r="B9" s="852"/>
      <c r="C9" s="852" t="s">
        <v>1345</v>
      </c>
      <c r="D9" s="852" t="s">
        <v>1344</v>
      </c>
      <c r="G9" s="2"/>
      <c r="H9" s="2"/>
      <c r="I9" s="2"/>
      <c r="J9" s="2"/>
      <c r="K9" s="2"/>
      <c r="L9" s="1019"/>
      <c r="M9" s="9"/>
      <c r="N9" s="3"/>
      <c r="O9" s="2"/>
      <c r="P9" s="2" t="s">
        <v>683</v>
      </c>
      <c r="Q9" s="2"/>
      <c r="R9" s="2"/>
      <c r="S9" s="2"/>
      <c r="T9" s="1018"/>
    </row>
    <row r="10" spans="1:20">
      <c r="B10" s="852" t="s">
        <v>1343</v>
      </c>
      <c r="C10" s="853"/>
      <c r="D10" s="853"/>
      <c r="G10" s="2"/>
      <c r="H10" s="2" t="s">
        <v>683</v>
      </c>
      <c r="I10" s="2"/>
      <c r="J10" s="2"/>
      <c r="K10" s="2"/>
      <c r="L10" s="2"/>
      <c r="M10" s="9"/>
      <c r="N10" s="3"/>
      <c r="O10" s="2"/>
      <c r="P10" s="1"/>
      <c r="Q10" s="2"/>
      <c r="R10" s="2"/>
      <c r="S10" s="2"/>
      <c r="T10" s="2"/>
    </row>
    <row r="11" spans="1:20">
      <c r="B11" s="850" t="s">
        <v>1342</v>
      </c>
      <c r="C11" s="849">
        <v>1100000</v>
      </c>
      <c r="D11" s="849">
        <v>3000000</v>
      </c>
      <c r="G11" s="2"/>
      <c r="H11" s="1016"/>
      <c r="I11" s="1017"/>
      <c r="J11" s="1017"/>
      <c r="K11" s="1017"/>
      <c r="L11" s="1016"/>
      <c r="M11" s="9"/>
      <c r="N11" s="3"/>
      <c r="O11" s="2"/>
      <c r="P11" s="1"/>
      <c r="Q11" s="2"/>
      <c r="R11" s="2"/>
      <c r="S11" s="2"/>
      <c r="T11" s="2"/>
    </row>
    <row r="12" spans="1:20" ht="15.9" customHeight="1">
      <c r="B12" s="850" t="s">
        <v>1341</v>
      </c>
      <c r="C12" s="849">
        <v>1400000</v>
      </c>
      <c r="D12" s="849">
        <v>2850000</v>
      </c>
      <c r="H12" s="1004"/>
      <c r="I12" s="1007"/>
      <c r="J12" s="1007"/>
      <c r="K12" s="1007"/>
      <c r="L12" s="670"/>
      <c r="M12" s="1014"/>
      <c r="P12" s="1004"/>
      <c r="Q12" s="1007"/>
      <c r="R12" s="1007"/>
      <c r="S12" s="1007"/>
      <c r="T12" s="1007"/>
    </row>
    <row r="13" spans="1:20" ht="16.5" customHeight="1">
      <c r="B13" s="850" t="s">
        <v>1005</v>
      </c>
      <c r="C13" s="849">
        <v>125000</v>
      </c>
      <c r="D13" s="849">
        <v>360000</v>
      </c>
      <c r="H13" s="603" t="s">
        <v>1359</v>
      </c>
      <c r="I13" s="560" t="s">
        <v>534</v>
      </c>
      <c r="L13" s="670"/>
      <c r="M13" s="1014"/>
      <c r="P13" s="1027" t="s">
        <v>1358</v>
      </c>
      <c r="Q13" s="1026">
        <f>C36-C35</f>
        <v>75000</v>
      </c>
      <c r="R13" s="1031"/>
      <c r="S13" s="670"/>
    </row>
    <row r="14" spans="1:20">
      <c r="B14" s="850" t="s">
        <v>1340</v>
      </c>
      <c r="C14" s="849">
        <v>160000</v>
      </c>
      <c r="D14" s="849">
        <v>275000</v>
      </c>
      <c r="H14" s="1027"/>
      <c r="I14" s="1031">
        <v>44927</v>
      </c>
      <c r="J14" s="1031"/>
      <c r="L14" s="670"/>
      <c r="M14" s="1013"/>
      <c r="P14" s="1027"/>
      <c r="Q14" s="1026"/>
      <c r="R14" s="1026"/>
      <c r="S14" s="1026"/>
    </row>
    <row r="15" spans="1:20" ht="15.6" customHeight="1">
      <c r="B15" s="850" t="s">
        <v>1339</v>
      </c>
      <c r="C15" s="849">
        <v>50000</v>
      </c>
      <c r="D15" s="849">
        <v>0</v>
      </c>
      <c r="H15" s="1027" t="s">
        <v>995</v>
      </c>
      <c r="I15" s="1026">
        <f>C11+D11</f>
        <v>4100000</v>
      </c>
      <c r="J15" s="1026"/>
      <c r="L15" s="670"/>
      <c r="P15" s="603" t="s">
        <v>1357</v>
      </c>
      <c r="Q15" s="673"/>
      <c r="R15" s="560" t="s">
        <v>534</v>
      </c>
    </row>
    <row r="16" spans="1:20" ht="16.5" customHeight="1">
      <c r="B16" s="850" t="s">
        <v>1048</v>
      </c>
      <c r="C16" s="1663">
        <v>2.5999999999999999E-2</v>
      </c>
      <c r="D16" s="1664"/>
      <c r="H16" s="1027" t="s">
        <v>541</v>
      </c>
      <c r="I16" s="1026">
        <f>C12+D12</f>
        <v>4250000</v>
      </c>
      <c r="J16" s="1032"/>
      <c r="L16" s="670"/>
      <c r="P16" s="1027"/>
      <c r="Q16" s="670"/>
      <c r="R16" s="1031">
        <v>45017</v>
      </c>
    </row>
    <row r="17" spans="1:19" ht="16.5" customHeight="1">
      <c r="B17" s="850" t="s">
        <v>1338</v>
      </c>
      <c r="C17" s="849" t="s">
        <v>763</v>
      </c>
      <c r="D17" s="849" t="s">
        <v>763</v>
      </c>
      <c r="H17" s="1027" t="s">
        <v>937</v>
      </c>
      <c r="I17" s="1026">
        <f>I16-I15</f>
        <v>150000</v>
      </c>
      <c r="J17" s="1026"/>
      <c r="L17" s="670"/>
      <c r="P17" s="1027" t="s">
        <v>995</v>
      </c>
      <c r="Q17" s="1030"/>
      <c r="R17" s="1026">
        <f>C32-C35</f>
        <v>3450000</v>
      </c>
    </row>
    <row r="18" spans="1:19" ht="16.5" customHeight="1">
      <c r="B18" s="850" t="s">
        <v>1337</v>
      </c>
      <c r="C18" s="849" t="s">
        <v>763</v>
      </c>
      <c r="D18" s="849" t="s">
        <v>763</v>
      </c>
      <c r="H18" s="1027"/>
      <c r="I18" s="1026"/>
      <c r="J18" s="1029"/>
      <c r="L18" s="670"/>
      <c r="P18" s="1027" t="s">
        <v>541</v>
      </c>
      <c r="Q18" s="1030"/>
      <c r="R18" s="1026">
        <f>C33-C36</f>
        <v>3425000</v>
      </c>
    </row>
    <row r="19" spans="1:19">
      <c r="B19" s="586"/>
      <c r="C19" s="587"/>
      <c r="D19" s="587"/>
      <c r="H19" s="1027"/>
      <c r="I19" s="1026"/>
      <c r="J19" s="1029"/>
      <c r="L19" s="670"/>
      <c r="P19" s="1027" t="s">
        <v>937</v>
      </c>
      <c r="Q19" s="1026"/>
      <c r="R19" s="1026">
        <f>R18-R17</f>
        <v>-25000</v>
      </c>
    </row>
    <row r="20" spans="1:19">
      <c r="A20" s="2" t="s">
        <v>6</v>
      </c>
      <c r="B20" s="1658" t="s">
        <v>1336</v>
      </c>
      <c r="C20" s="1665"/>
      <c r="D20" s="1665"/>
      <c r="H20" s="603" t="s">
        <v>1356</v>
      </c>
      <c r="I20" s="1026"/>
      <c r="J20" s="1026"/>
      <c r="L20" s="670"/>
      <c r="P20" s="1027"/>
      <c r="Q20" s="1026"/>
      <c r="R20" s="670"/>
    </row>
    <row r="21" spans="1:19">
      <c r="B21" s="1665"/>
      <c r="C21" s="1665"/>
      <c r="D21" s="1665"/>
      <c r="H21" s="1027" t="s">
        <v>1351</v>
      </c>
      <c r="I21" s="1026">
        <f>(C13+D13)*(1+C16)</f>
        <v>497610</v>
      </c>
      <c r="J21" s="1028"/>
      <c r="L21" s="670"/>
      <c r="P21" s="1027"/>
      <c r="Q21" s="1026"/>
      <c r="R21" s="670"/>
    </row>
    <row r="22" spans="1:19">
      <c r="H22" s="560" t="s">
        <v>1004</v>
      </c>
      <c r="I22" s="1022">
        <f>-(I17*C16+C15/2*C16)</f>
        <v>-4550</v>
      </c>
      <c r="L22" s="670"/>
      <c r="P22" s="603" t="s">
        <v>1355</v>
      </c>
      <c r="Q22" s="1026" t="s">
        <v>1354</v>
      </c>
      <c r="R22" s="673" t="s">
        <v>1353</v>
      </c>
      <c r="S22" s="560" t="s">
        <v>1352</v>
      </c>
    </row>
    <row r="23" spans="1:19">
      <c r="B23" s="776" t="s">
        <v>683</v>
      </c>
      <c r="H23" s="560" t="s">
        <v>1349</v>
      </c>
      <c r="I23" s="981">
        <f>SUM(I21:I22)</f>
        <v>493060</v>
      </c>
      <c r="L23" s="670"/>
      <c r="P23" s="1027" t="s">
        <v>1351</v>
      </c>
      <c r="Q23" s="1026">
        <f>I21/4</f>
        <v>124402.5</v>
      </c>
      <c r="R23" s="1024">
        <f>0.75*C39*(1+C41*0.75)</f>
        <v>385425.46875</v>
      </c>
      <c r="S23" s="1024">
        <f>Q23+R23</f>
        <v>509827.96875</v>
      </c>
    </row>
    <row r="24" spans="1:19">
      <c r="B24" s="776"/>
      <c r="L24" s="670"/>
      <c r="P24" s="560" t="s">
        <v>1004</v>
      </c>
      <c r="Q24" s="981">
        <f>I22/4</f>
        <v>-1137.5</v>
      </c>
      <c r="R24" s="1024">
        <f>0.75*-R19*C41</f>
        <v>440.625</v>
      </c>
      <c r="S24" s="1025">
        <f>Q24+R24</f>
        <v>-696.875</v>
      </c>
    </row>
    <row r="25" spans="1:19" ht="16.2">
      <c r="B25" s="29" t="s">
        <v>32</v>
      </c>
      <c r="H25" s="603"/>
      <c r="I25" s="1007"/>
      <c r="J25" s="1007"/>
      <c r="K25" s="1007"/>
      <c r="L25" s="670"/>
      <c r="P25" s="560" t="s">
        <v>1350</v>
      </c>
      <c r="Q25" s="981"/>
      <c r="R25" s="1024">
        <f>Q13</f>
        <v>75000</v>
      </c>
      <c r="S25" s="1023">
        <f>Q25+R25</f>
        <v>75000</v>
      </c>
    </row>
    <row r="26" spans="1:19">
      <c r="H26" s="603"/>
      <c r="I26" s="1007"/>
      <c r="J26" s="1007"/>
      <c r="K26" s="1007"/>
      <c r="L26" s="670"/>
    </row>
    <row r="27" spans="1:19">
      <c r="A27" s="1010" t="s">
        <v>1335</v>
      </c>
      <c r="H27" s="603"/>
      <c r="I27" s="1007"/>
      <c r="J27" s="1007"/>
      <c r="K27" s="1007"/>
      <c r="L27" s="670"/>
      <c r="P27" s="560" t="s">
        <v>1349</v>
      </c>
      <c r="Q27" s="981">
        <f>SUM(Q23:Q26)</f>
        <v>123265</v>
      </c>
      <c r="R27" s="981">
        <f>SUM(R23:R26)</f>
        <v>460866.09375</v>
      </c>
      <c r="S27" s="1005">
        <f>SUM(S23:S26)</f>
        <v>584131.09375</v>
      </c>
    </row>
    <row r="28" spans="1:19">
      <c r="A28" s="1010"/>
      <c r="H28" s="603"/>
      <c r="I28" s="1007"/>
      <c r="J28" s="1007"/>
      <c r="K28" s="1007"/>
      <c r="L28" s="670"/>
    </row>
    <row r="29" spans="1:19">
      <c r="A29" s="1010" t="s">
        <v>1196</v>
      </c>
      <c r="H29" s="603"/>
      <c r="I29" s="1007"/>
      <c r="J29" s="1007"/>
      <c r="K29" s="1007"/>
      <c r="L29" s="670"/>
      <c r="Q29" s="994"/>
      <c r="R29" s="1022"/>
      <c r="S29" s="1021"/>
    </row>
    <row r="30" spans="1:19">
      <c r="H30" s="1004"/>
      <c r="I30" s="1009"/>
      <c r="J30" s="1009"/>
      <c r="K30" s="1007"/>
      <c r="L30" s="670"/>
      <c r="P30" s="1004"/>
      <c r="Q30" s="1007"/>
      <c r="R30" s="670"/>
      <c r="S30" s="670"/>
    </row>
    <row r="31" spans="1:19">
      <c r="B31" s="852"/>
      <c r="C31" s="1008" t="s">
        <v>1334</v>
      </c>
      <c r="K31" s="981"/>
      <c r="L31" s="670"/>
      <c r="P31" s="1004"/>
      <c r="Q31" s="1007"/>
      <c r="R31" s="670"/>
      <c r="S31" s="670"/>
    </row>
    <row r="32" spans="1:19">
      <c r="B32" s="850" t="s">
        <v>1333</v>
      </c>
      <c r="C32" s="849">
        <v>4250000</v>
      </c>
      <c r="E32" s="997"/>
      <c r="K32" s="981"/>
      <c r="L32" s="670"/>
      <c r="P32" s="603"/>
      <c r="Q32" s="1007"/>
      <c r="R32" s="673"/>
      <c r="S32" s="673"/>
    </row>
    <row r="33" spans="1:20">
      <c r="B33" s="850" t="s">
        <v>1332</v>
      </c>
      <c r="C33" s="849">
        <v>4300000</v>
      </c>
      <c r="D33" s="997"/>
      <c r="P33" s="1004"/>
      <c r="Q33" s="1007"/>
      <c r="R33" s="1006"/>
      <c r="S33" s="1006"/>
      <c r="T33" s="562"/>
    </row>
    <row r="34" spans="1:20">
      <c r="B34" s="850"/>
      <c r="C34" s="853"/>
      <c r="L34" s="670"/>
      <c r="Q34" s="981"/>
      <c r="R34" s="562"/>
      <c r="S34" s="562"/>
      <c r="T34" s="562"/>
    </row>
    <row r="35" spans="1:20">
      <c r="B35" s="850" t="s">
        <v>1331</v>
      </c>
      <c r="C35" s="849">
        <v>800000</v>
      </c>
      <c r="H35" s="1002"/>
      <c r="I35" s="1001"/>
      <c r="K35" s="562"/>
      <c r="L35" s="670"/>
      <c r="Q35" s="981"/>
      <c r="R35" s="981"/>
      <c r="S35" s="981"/>
      <c r="T35" s="1005"/>
    </row>
    <row r="36" spans="1:20">
      <c r="B36" s="850" t="s">
        <v>1330</v>
      </c>
      <c r="C36" s="849">
        <v>875000</v>
      </c>
      <c r="H36" s="1002"/>
      <c r="I36" s="1001"/>
      <c r="K36" s="562"/>
      <c r="L36" s="670"/>
    </row>
    <row r="37" spans="1:20">
      <c r="B37" s="850"/>
      <c r="C37" s="853"/>
      <c r="H37" s="1002"/>
      <c r="I37" s="1002"/>
      <c r="L37" s="670"/>
      <c r="P37" s="1002"/>
      <c r="Q37" s="1001"/>
    </row>
    <row r="38" spans="1:20">
      <c r="B38" s="852" t="s">
        <v>84</v>
      </c>
      <c r="C38" s="853"/>
      <c r="D38" s="997"/>
      <c r="H38" s="1000"/>
      <c r="I38" s="1001"/>
      <c r="L38" s="670"/>
      <c r="P38" s="1002"/>
      <c r="Q38" s="673"/>
    </row>
    <row r="39" spans="1:20">
      <c r="B39" s="850" t="s">
        <v>1329</v>
      </c>
      <c r="C39" s="849">
        <v>505000</v>
      </c>
      <c r="H39" s="1000"/>
      <c r="I39" s="1001"/>
      <c r="L39" s="670"/>
      <c r="P39" s="1004"/>
      <c r="Q39" s="1003"/>
    </row>
    <row r="40" spans="1:20">
      <c r="B40" s="850" t="s">
        <v>1328</v>
      </c>
      <c r="C40" s="849">
        <v>0</v>
      </c>
      <c r="H40" s="1002"/>
      <c r="I40" s="1001"/>
      <c r="L40" s="670"/>
      <c r="Q40" s="1001"/>
    </row>
    <row r="41" spans="1:20">
      <c r="B41" s="850" t="s">
        <v>1048</v>
      </c>
      <c r="C41" s="851">
        <v>2.35E-2</v>
      </c>
      <c r="D41" s="587"/>
      <c r="P41" s="1000"/>
    </row>
    <row r="42" spans="1:20">
      <c r="B42" s="1666" t="s">
        <v>1327</v>
      </c>
      <c r="C42" s="1667"/>
      <c r="D42" s="587"/>
      <c r="P42" s="1000"/>
    </row>
    <row r="43" spans="1:20">
      <c r="H43" s="981"/>
      <c r="I43" s="981"/>
      <c r="J43" s="981"/>
      <c r="K43" s="981"/>
    </row>
    <row r="44" spans="1:20">
      <c r="A44" s="2" t="s">
        <v>256</v>
      </c>
      <c r="B44" s="999" t="s">
        <v>1326</v>
      </c>
      <c r="C44" s="997"/>
      <c r="D44" s="997"/>
      <c r="H44" s="981"/>
      <c r="I44" s="981"/>
      <c r="J44" s="981"/>
      <c r="K44" s="981"/>
    </row>
    <row r="45" spans="1:20">
      <c r="B45" s="998"/>
      <c r="C45" s="997"/>
      <c r="D45" s="997"/>
      <c r="H45" s="981"/>
      <c r="I45" s="981"/>
      <c r="J45" s="981"/>
      <c r="K45" s="981"/>
      <c r="P45" s="981"/>
      <c r="Q45" s="981"/>
      <c r="R45" s="981"/>
      <c r="S45" s="981"/>
      <c r="T45" s="981"/>
    </row>
    <row r="46" spans="1:20">
      <c r="B46" s="776" t="s">
        <v>683</v>
      </c>
      <c r="C46" s="997"/>
      <c r="D46" s="997"/>
      <c r="H46" s="981"/>
      <c r="I46" s="981"/>
      <c r="J46" s="981"/>
      <c r="K46" s="981"/>
      <c r="P46" s="981"/>
      <c r="Q46" s="981"/>
      <c r="R46" s="981"/>
      <c r="S46" s="981"/>
      <c r="T46" s="981"/>
    </row>
    <row r="47" spans="1:20">
      <c r="B47" s="776"/>
      <c r="C47" s="997"/>
      <c r="D47" s="997"/>
      <c r="H47" s="981"/>
      <c r="I47" s="981"/>
      <c r="J47" s="981"/>
      <c r="K47" s="981"/>
      <c r="P47" s="981"/>
      <c r="Q47" s="981"/>
      <c r="R47" s="981"/>
      <c r="S47" s="981"/>
      <c r="T47" s="981"/>
    </row>
    <row r="48" spans="1:20" ht="16.2">
      <c r="B48" s="29" t="s">
        <v>32</v>
      </c>
      <c r="H48" s="981"/>
      <c r="I48" s="981"/>
      <c r="J48" s="981"/>
      <c r="K48" s="981"/>
      <c r="P48" s="981"/>
      <c r="Q48" s="981"/>
      <c r="R48" s="981"/>
      <c r="S48" s="981"/>
      <c r="T48" s="981"/>
    </row>
    <row r="49" spans="2:20">
      <c r="P49" s="981"/>
      <c r="Q49" s="981"/>
      <c r="R49" s="981"/>
      <c r="S49" s="981"/>
      <c r="T49" s="981"/>
    </row>
    <row r="50" spans="2:20">
      <c r="B50" s="996"/>
      <c r="C50" s="996"/>
      <c r="D50" s="996"/>
      <c r="P50" s="981"/>
      <c r="Q50" s="981"/>
      <c r="R50" s="981"/>
      <c r="S50" s="981"/>
      <c r="T50" s="981"/>
    </row>
  </sheetData>
  <sheetProtection algorithmName="SHA-512" hashValue="1fd1wSyvO3t1updatuJvp9bq3JbySFRCOJ8EqBkPe/8xqSolSt5Wv4N8R6oTkCasmieC3RXJSC53Jg0XQ36vlg==" saltValue="DG7IqktpjRIswg03PLevWQ==" spinCount="100000" sheet="1" objects="1" scenarios="1"/>
  <mergeCells count="5">
    <mergeCell ref="H7:L8"/>
    <mergeCell ref="P8:T8"/>
    <mergeCell ref="C16:D16"/>
    <mergeCell ref="B20:D21"/>
    <mergeCell ref="B42:C42"/>
  </mergeCells>
  <pageMargins left="0.7" right="0.7" top="0.75" bottom="0.75" header="0.3" footer="0.3"/>
  <pageSetup scale="84" orientation="portrait" horizontalDpi="4294967293" verticalDpi="300" r:id="rId1"/>
  <colBreaks count="1" manualBreakCount="1">
    <brk id="6"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BA492-28F0-4DE1-84EC-0976403CC5D6}">
  <dimension ref="A1:U70"/>
  <sheetViews>
    <sheetView zoomScale="75" zoomScaleNormal="75" workbookViewId="0">
      <selection sqref="A1:XFD1048576"/>
    </sheetView>
  </sheetViews>
  <sheetFormatPr defaultColWidth="9.33203125" defaultRowHeight="15.6"/>
  <cols>
    <col min="1" max="1" width="3.6640625" style="2" customWidth="1"/>
    <col min="2" max="2" width="47.5546875" style="2" customWidth="1"/>
    <col min="3" max="3" width="27" style="2" customWidth="1"/>
    <col min="4" max="4" width="30.33203125" style="2" customWidth="1"/>
    <col min="5" max="5" width="9" style="2" customWidth="1"/>
    <col min="6" max="6" width="1" style="3" customWidth="1"/>
    <col min="7" max="7" width="4" style="560" customWidth="1"/>
    <col min="8" max="8" width="29.33203125" style="560" customWidth="1"/>
    <col min="9" max="9" width="21.109375" style="560" customWidth="1"/>
    <col min="10" max="10" width="27.6640625" style="560" customWidth="1"/>
    <col min="11" max="11" width="16.33203125" style="560" customWidth="1"/>
    <col min="12" max="13" width="9.33203125" style="560"/>
    <col min="14" max="14" width="1" style="561" customWidth="1"/>
    <col min="15" max="15" width="4" style="560" customWidth="1"/>
    <col min="16" max="16" width="29.33203125" style="560" customWidth="1"/>
    <col min="17" max="17" width="21.109375" style="560" customWidth="1"/>
    <col min="18" max="18" width="27.6640625" style="560" customWidth="1"/>
    <col min="19" max="19" width="16.109375" style="560" customWidth="1"/>
    <col min="20" max="20" width="16.33203125" style="560" customWidth="1"/>
    <col min="21" max="21" width="1" style="561" customWidth="1"/>
    <col min="22" max="16384" width="9.33203125" style="4"/>
  </cols>
  <sheetData>
    <row r="1" spans="1:20">
      <c r="A1" s="1" t="str">
        <f>'[7]Question 8'!A1</f>
        <v>Exam RETDAU:  Fall 2022</v>
      </c>
      <c r="G1" s="1" t="str">
        <f>A1</f>
        <v>Exam RETDAU:  Fall 2022</v>
      </c>
      <c r="H1" s="2"/>
      <c r="I1" s="2"/>
      <c r="J1" s="2"/>
      <c r="K1" s="2"/>
      <c r="L1" s="2"/>
      <c r="M1" s="2"/>
      <c r="O1" s="1" t="str">
        <f>G1</f>
        <v>Exam RETDAU:  Fall 2022</v>
      </c>
      <c r="P1" s="2"/>
      <c r="Q1" s="2"/>
      <c r="R1" s="2"/>
      <c r="S1" s="2"/>
      <c r="T1" s="2"/>
    </row>
    <row r="2" spans="1:20">
      <c r="A2" s="1" t="str">
        <f>'[7]Question 8'!A2</f>
        <v>Design and Accounting Exam – U.S.</v>
      </c>
      <c r="G2" s="1" t="str">
        <f>A2</f>
        <v>Design and Accounting Exam – U.S.</v>
      </c>
      <c r="H2" s="2"/>
      <c r="I2" s="2"/>
      <c r="J2" s="2"/>
      <c r="K2" s="2"/>
      <c r="L2" s="2"/>
      <c r="M2" s="2"/>
      <c r="O2" s="1" t="str">
        <f>G2</f>
        <v>Design and Accounting Exam – U.S.</v>
      </c>
      <c r="P2" s="2"/>
      <c r="Q2" s="2"/>
      <c r="R2" s="2"/>
      <c r="S2" s="2"/>
      <c r="T2" s="2"/>
    </row>
    <row r="3" spans="1:20">
      <c r="A3" s="1" t="s">
        <v>336</v>
      </c>
      <c r="G3" s="1" t="str">
        <f>A3</f>
        <v>Question 9</v>
      </c>
      <c r="H3" s="2"/>
      <c r="I3" s="2"/>
      <c r="J3" s="2"/>
      <c r="K3" s="2"/>
      <c r="L3" s="2"/>
      <c r="M3" s="2"/>
      <c r="O3" s="1" t="str">
        <f>G3</f>
        <v>Question 9</v>
      </c>
      <c r="P3" s="2"/>
      <c r="Q3" s="2"/>
      <c r="R3" s="2"/>
      <c r="S3" s="2"/>
      <c r="T3" s="2"/>
    </row>
    <row r="4" spans="1:20">
      <c r="G4" s="2"/>
      <c r="H4" s="2"/>
      <c r="I4" s="2"/>
      <c r="J4" s="2"/>
      <c r="K4" s="2"/>
      <c r="L4" s="2"/>
      <c r="M4" s="2"/>
      <c r="O4" s="2"/>
      <c r="P4" s="2"/>
      <c r="Q4" s="2"/>
      <c r="R4" s="2"/>
      <c r="S4" s="2"/>
      <c r="T4" s="2"/>
    </row>
    <row r="5" spans="1:20" ht="16.2">
      <c r="A5" s="1010" t="s">
        <v>1347</v>
      </c>
      <c r="G5" s="6" t="s">
        <v>4</v>
      </c>
      <c r="H5" s="2"/>
      <c r="I5" s="2"/>
      <c r="J5" s="2"/>
      <c r="K5" s="2"/>
      <c r="L5" s="2"/>
      <c r="M5" s="2"/>
      <c r="O5" s="6" t="s">
        <v>4</v>
      </c>
      <c r="P5" s="2"/>
      <c r="Q5" s="2"/>
      <c r="R5" s="2"/>
      <c r="S5" s="2"/>
      <c r="T5" s="2"/>
    </row>
    <row r="6" spans="1:20">
      <c r="A6" s="1010"/>
      <c r="G6" s="2"/>
      <c r="H6" s="2"/>
      <c r="I6" s="2"/>
      <c r="J6" s="2"/>
      <c r="K6" s="2"/>
      <c r="L6" s="2"/>
      <c r="M6" s="2"/>
      <c r="O6" s="2"/>
      <c r="P6" s="2"/>
      <c r="Q6" s="2"/>
      <c r="R6" s="2"/>
      <c r="S6" s="2"/>
      <c r="T6" s="2"/>
    </row>
    <row r="7" spans="1:20">
      <c r="A7" s="1010" t="s">
        <v>1377</v>
      </c>
      <c r="G7" s="2" t="s">
        <v>6</v>
      </c>
      <c r="H7" s="1461" t="s">
        <v>1376</v>
      </c>
      <c r="I7" s="1462"/>
      <c r="J7" s="1462"/>
      <c r="K7" s="1462"/>
      <c r="L7" s="1462"/>
      <c r="M7" s="5"/>
      <c r="O7" s="1020" t="s">
        <v>256</v>
      </c>
      <c r="P7" s="999" t="s">
        <v>1375</v>
      </c>
      <c r="Q7" s="2"/>
      <c r="R7" s="2"/>
      <c r="S7" s="2"/>
      <c r="T7" s="2"/>
    </row>
    <row r="8" spans="1:20" ht="15.6" customHeight="1">
      <c r="G8" s="2"/>
      <c r="H8" s="1462"/>
      <c r="I8" s="1462"/>
      <c r="J8" s="1462"/>
      <c r="K8" s="1462"/>
      <c r="L8" s="1462"/>
      <c r="M8" s="9"/>
      <c r="O8" s="2"/>
      <c r="P8" s="1462"/>
      <c r="Q8" s="1462"/>
      <c r="R8" s="1462"/>
      <c r="S8" s="1462"/>
      <c r="T8" s="1462"/>
    </row>
    <row r="9" spans="1:20">
      <c r="B9" s="1041"/>
      <c r="C9" s="1046" t="s">
        <v>1345</v>
      </c>
      <c r="D9" s="1046" t="s">
        <v>1344</v>
      </c>
      <c r="G9" s="2"/>
      <c r="H9" s="2"/>
      <c r="I9" s="2"/>
      <c r="J9" s="2"/>
      <c r="K9" s="2"/>
      <c r="L9" s="1019"/>
      <c r="M9" s="9"/>
      <c r="O9" s="2"/>
      <c r="P9" s="2" t="s">
        <v>683</v>
      </c>
      <c r="Q9" s="2"/>
      <c r="R9" s="2"/>
      <c r="S9" s="2"/>
      <c r="T9" s="1018"/>
    </row>
    <row r="10" spans="1:20">
      <c r="B10" s="1670" t="s">
        <v>1374</v>
      </c>
      <c r="C10" s="1670"/>
      <c r="D10" s="1670"/>
      <c r="G10" s="2"/>
      <c r="H10" s="2" t="s">
        <v>683</v>
      </c>
      <c r="I10" s="2"/>
      <c r="J10" s="2"/>
      <c r="K10" s="2"/>
      <c r="L10" s="2"/>
      <c r="M10" s="9"/>
      <c r="O10" s="2"/>
      <c r="P10" s="1"/>
      <c r="Q10" s="2"/>
      <c r="R10" s="2"/>
      <c r="S10" s="2"/>
      <c r="T10" s="2"/>
    </row>
    <row r="11" spans="1:20">
      <c r="B11" s="1039" t="s">
        <v>769</v>
      </c>
      <c r="C11" s="1045">
        <v>1200000</v>
      </c>
      <c r="D11" s="1045">
        <v>2900000</v>
      </c>
      <c r="G11" s="2"/>
      <c r="H11" s="1016"/>
      <c r="I11" s="1017"/>
      <c r="J11" s="1017"/>
      <c r="K11" s="1017"/>
      <c r="L11" s="1016"/>
      <c r="M11" s="9"/>
      <c r="P11" s="398"/>
      <c r="Q11" s="397"/>
      <c r="R11" s="784"/>
      <c r="S11" s="784"/>
      <c r="T11" s="670"/>
    </row>
    <row r="12" spans="1:20" ht="15.9" customHeight="1">
      <c r="B12" s="1039" t="s">
        <v>1341</v>
      </c>
      <c r="C12" s="1049">
        <v>1300000</v>
      </c>
      <c r="D12" s="1045">
        <v>2700000</v>
      </c>
      <c r="H12" s="1004"/>
      <c r="I12" s="1007"/>
      <c r="J12" s="1007"/>
      <c r="K12" s="1007"/>
      <c r="L12" s="670"/>
      <c r="M12" s="1014"/>
      <c r="P12" s="1004"/>
      <c r="Q12" s="1007"/>
      <c r="R12" s="1007"/>
      <c r="S12" s="1007"/>
      <c r="T12" s="1007"/>
    </row>
    <row r="13" spans="1:20" ht="16.5" customHeight="1">
      <c r="B13" s="1039" t="s">
        <v>1005</v>
      </c>
      <c r="C13" s="1045">
        <v>100000</v>
      </c>
      <c r="D13" s="1045">
        <v>300000</v>
      </c>
      <c r="H13" s="1004"/>
      <c r="I13" s="1007"/>
      <c r="J13" s="1015"/>
      <c r="K13" s="1007"/>
      <c r="L13" s="670"/>
      <c r="M13" s="1014"/>
      <c r="P13" s="603"/>
      <c r="R13" s="670"/>
      <c r="S13" s="670"/>
    </row>
    <row r="14" spans="1:20">
      <c r="B14" s="1039" t="s">
        <v>1031</v>
      </c>
      <c r="C14" s="1045">
        <v>30000</v>
      </c>
      <c r="D14" s="1045">
        <v>100000</v>
      </c>
      <c r="H14" s="1004"/>
      <c r="I14" s="1007"/>
      <c r="J14" s="1007"/>
      <c r="K14" s="1007"/>
      <c r="L14" s="670"/>
      <c r="M14" s="1013"/>
      <c r="P14" s="1004"/>
      <c r="Q14" s="1012"/>
      <c r="R14" s="670"/>
      <c r="S14" s="670"/>
    </row>
    <row r="15" spans="1:20" ht="15.6" customHeight="1">
      <c r="B15" s="1039" t="s">
        <v>1373</v>
      </c>
      <c r="C15" s="1045">
        <v>3500</v>
      </c>
      <c r="D15" s="1045">
        <v>8000</v>
      </c>
      <c r="H15" s="1004"/>
      <c r="I15" s="1007"/>
      <c r="J15" s="1011"/>
      <c r="K15" s="1007"/>
      <c r="L15" s="670"/>
      <c r="P15" s="1004"/>
      <c r="Q15" s="1007"/>
      <c r="R15" s="670"/>
      <c r="S15" s="670"/>
    </row>
    <row r="16" spans="1:20" ht="16.5" customHeight="1">
      <c r="B16" s="1039"/>
      <c r="C16" s="1043"/>
      <c r="D16" s="1043"/>
      <c r="H16" s="1004"/>
      <c r="I16" s="1007"/>
      <c r="J16" s="1011"/>
      <c r="K16" s="1007"/>
      <c r="L16" s="670"/>
      <c r="P16" s="1004"/>
      <c r="Q16" s="1007"/>
      <c r="R16" s="670"/>
      <c r="S16" s="670"/>
    </row>
    <row r="17" spans="1:20">
      <c r="B17" s="1039" t="s">
        <v>762</v>
      </c>
      <c r="C17" s="1048">
        <v>-300000</v>
      </c>
      <c r="D17" s="1045">
        <v>700000</v>
      </c>
      <c r="H17" s="603"/>
      <c r="I17" s="1007"/>
      <c r="J17" s="1007"/>
      <c r="K17" s="1007"/>
      <c r="L17" s="670"/>
      <c r="P17" s="1004"/>
      <c r="Q17" s="1007"/>
      <c r="R17" s="670"/>
      <c r="S17" s="670"/>
    </row>
    <row r="18" spans="1:20" ht="15.6" customHeight="1">
      <c r="B18" s="1039" t="s">
        <v>1371</v>
      </c>
      <c r="C18" s="1047">
        <v>10</v>
      </c>
      <c r="D18" s="1047">
        <v>10</v>
      </c>
      <c r="H18" s="603"/>
      <c r="I18" s="1007"/>
      <c r="J18" s="1007"/>
      <c r="K18" s="1007"/>
      <c r="L18" s="670"/>
      <c r="P18" s="1004"/>
      <c r="Q18" s="1007"/>
      <c r="R18" s="670"/>
      <c r="S18" s="670"/>
    </row>
    <row r="19" spans="1:20">
      <c r="B19" s="1041"/>
      <c r="C19" s="1038"/>
      <c r="D19" s="1038"/>
      <c r="H19" s="603"/>
      <c r="I19" s="1007"/>
      <c r="J19" s="1007"/>
      <c r="K19" s="1007"/>
      <c r="L19" s="670"/>
      <c r="P19" s="1004"/>
      <c r="Q19" s="1007"/>
      <c r="R19" s="670"/>
      <c r="S19" s="670"/>
    </row>
    <row r="20" spans="1:20">
      <c r="B20" s="1041" t="s">
        <v>1372</v>
      </c>
      <c r="C20" s="1038"/>
      <c r="D20" s="1038"/>
      <c r="H20" s="603"/>
      <c r="I20" s="1007"/>
      <c r="J20" s="1007"/>
      <c r="K20" s="1007"/>
      <c r="L20" s="670"/>
      <c r="P20" s="1004"/>
      <c r="Q20" s="1007"/>
      <c r="R20" s="670"/>
      <c r="S20" s="670"/>
    </row>
    <row r="21" spans="1:20">
      <c r="B21" s="1039" t="s">
        <v>769</v>
      </c>
      <c r="C21" s="1045">
        <v>1100000</v>
      </c>
      <c r="D21" s="1045">
        <v>3000000</v>
      </c>
      <c r="H21" s="603"/>
      <c r="I21" s="1007"/>
      <c r="J21" s="1007"/>
      <c r="K21" s="1007"/>
      <c r="L21" s="670"/>
      <c r="P21" s="1004"/>
      <c r="Q21" s="1007"/>
      <c r="R21" s="670"/>
      <c r="S21" s="670"/>
    </row>
    <row r="22" spans="1:20">
      <c r="B22" s="1039" t="s">
        <v>1341</v>
      </c>
      <c r="C22" s="1045">
        <v>1400000</v>
      </c>
      <c r="D22" s="1045">
        <v>2850000</v>
      </c>
      <c r="H22" s="603"/>
      <c r="I22" s="1007"/>
      <c r="J22" s="1007"/>
      <c r="K22" s="1007"/>
      <c r="L22" s="670"/>
      <c r="P22" s="1004"/>
      <c r="Q22" s="1007"/>
      <c r="R22" s="670"/>
      <c r="S22" s="670"/>
    </row>
    <row r="23" spans="1:20">
      <c r="B23" s="1039" t="s">
        <v>1005</v>
      </c>
      <c r="C23" s="1045">
        <v>125000</v>
      </c>
      <c r="D23" s="1045">
        <v>360000</v>
      </c>
      <c r="H23" s="603"/>
      <c r="I23" s="1007"/>
      <c r="J23" s="1007"/>
      <c r="K23" s="1007"/>
      <c r="L23" s="670"/>
      <c r="P23" s="1004"/>
      <c r="Q23" s="1007"/>
      <c r="R23" s="670"/>
      <c r="S23" s="670"/>
    </row>
    <row r="24" spans="1:20">
      <c r="B24" s="1039" t="s">
        <v>1371</v>
      </c>
      <c r="C24" s="1047">
        <v>10</v>
      </c>
      <c r="D24" s="1047">
        <v>10</v>
      </c>
      <c r="H24" s="603"/>
      <c r="I24" s="1007"/>
      <c r="J24" s="1007"/>
      <c r="K24" s="1007"/>
      <c r="L24" s="670"/>
      <c r="P24" s="1004"/>
      <c r="Q24" s="1007"/>
      <c r="R24" s="670"/>
      <c r="S24" s="670"/>
    </row>
    <row r="25" spans="1:20">
      <c r="A25" s="1010"/>
      <c r="B25" s="1041"/>
      <c r="C25" s="1043"/>
      <c r="D25" s="1043"/>
      <c r="H25" s="603"/>
      <c r="I25" s="1007"/>
      <c r="J25" s="1007"/>
      <c r="K25" s="1007"/>
      <c r="L25" s="670"/>
      <c r="P25" s="1004"/>
      <c r="Q25" s="1007"/>
      <c r="R25" s="670"/>
      <c r="S25" s="670"/>
    </row>
    <row r="26" spans="1:20">
      <c r="A26" s="1010"/>
      <c r="B26" s="1041" t="s">
        <v>1204</v>
      </c>
      <c r="C26" s="1038"/>
      <c r="D26" s="1038"/>
      <c r="H26" s="603"/>
      <c r="I26" s="1007"/>
      <c r="J26" s="1007"/>
      <c r="K26" s="1007"/>
      <c r="L26" s="670"/>
      <c r="P26" s="1004"/>
      <c r="Q26" s="1007"/>
      <c r="R26" s="670"/>
      <c r="S26" s="670"/>
    </row>
    <row r="27" spans="1:20">
      <c r="A27" s="1010"/>
      <c r="B27" s="1044">
        <v>2022</v>
      </c>
      <c r="C27" s="1045">
        <v>150000</v>
      </c>
      <c r="D27" s="1045">
        <v>250000</v>
      </c>
      <c r="H27" s="603"/>
      <c r="I27" s="1007"/>
      <c r="J27" s="1007"/>
      <c r="K27" s="1007"/>
      <c r="L27" s="670"/>
      <c r="P27" s="1004"/>
      <c r="Q27" s="1007"/>
      <c r="R27" s="670"/>
      <c r="S27" s="670"/>
    </row>
    <row r="28" spans="1:20">
      <c r="B28" s="1044">
        <v>2023</v>
      </c>
      <c r="C28" s="1045">
        <v>160000</v>
      </c>
      <c r="D28" s="1045">
        <v>275000</v>
      </c>
      <c r="H28" s="1004"/>
      <c r="I28" s="1009"/>
      <c r="J28" s="1009"/>
      <c r="K28" s="1007"/>
      <c r="L28" s="670"/>
      <c r="P28" s="1004"/>
      <c r="Q28" s="1007"/>
      <c r="R28" s="670"/>
      <c r="S28" s="670"/>
    </row>
    <row r="29" spans="1:20">
      <c r="B29" s="1041"/>
      <c r="C29" s="1046"/>
      <c r="D29" s="1046"/>
      <c r="K29" s="981"/>
      <c r="L29" s="670"/>
      <c r="P29" s="1004"/>
      <c r="Q29" s="1007"/>
      <c r="R29" s="670"/>
      <c r="S29" s="670"/>
    </row>
    <row r="30" spans="1:20">
      <c r="B30" s="1041" t="s">
        <v>1370</v>
      </c>
      <c r="C30" s="1042"/>
      <c r="D30" s="1042"/>
      <c r="E30" s="1033"/>
      <c r="K30" s="981"/>
      <c r="L30" s="670"/>
      <c r="P30" s="603"/>
      <c r="Q30" s="1007"/>
      <c r="R30" s="673"/>
      <c r="S30" s="673"/>
    </row>
    <row r="31" spans="1:20">
      <c r="B31" s="1044">
        <v>2022</v>
      </c>
      <c r="C31" s="1045">
        <v>50000</v>
      </c>
      <c r="D31" s="1043" t="s">
        <v>59</v>
      </c>
      <c r="P31" s="1004"/>
      <c r="Q31" s="1007"/>
      <c r="R31" s="1006"/>
      <c r="S31" s="1006"/>
      <c r="T31" s="562"/>
    </row>
    <row r="32" spans="1:20">
      <c r="B32" s="1044">
        <v>2023</v>
      </c>
      <c r="C32" s="1043" t="s">
        <v>59</v>
      </c>
      <c r="D32" s="1043" t="s">
        <v>59</v>
      </c>
      <c r="L32" s="670"/>
      <c r="Q32" s="981"/>
      <c r="R32" s="562"/>
      <c r="S32" s="562"/>
      <c r="T32" s="562"/>
    </row>
    <row r="33" spans="1:21">
      <c r="B33" s="1041"/>
      <c r="C33" s="1042"/>
      <c r="D33" s="1042"/>
      <c r="H33" s="1002"/>
      <c r="I33" s="1001"/>
      <c r="J33" s="981"/>
      <c r="K33" s="562"/>
      <c r="L33" s="670"/>
      <c r="Q33" s="981"/>
      <c r="R33" s="562"/>
      <c r="S33" s="562"/>
      <c r="T33" s="562"/>
    </row>
    <row r="34" spans="1:21">
      <c r="B34" s="1041" t="s">
        <v>84</v>
      </c>
      <c r="C34" s="1038"/>
      <c r="D34" s="1038"/>
      <c r="H34" s="1002"/>
      <c r="I34" s="1001"/>
      <c r="K34" s="562"/>
      <c r="L34" s="670"/>
      <c r="Q34" s="981"/>
      <c r="R34" s="981"/>
      <c r="S34" s="981"/>
      <c r="T34" s="1005"/>
    </row>
    <row r="35" spans="1:21">
      <c r="B35" s="1039" t="s">
        <v>1369</v>
      </c>
      <c r="C35" s="1040">
        <v>2.5000000000000001E-2</v>
      </c>
      <c r="D35" s="1040">
        <v>0.03</v>
      </c>
      <c r="H35" s="1002"/>
      <c r="I35" s="1001"/>
      <c r="K35" s="562"/>
      <c r="L35" s="670"/>
    </row>
    <row r="36" spans="1:21">
      <c r="B36" s="1039" t="s">
        <v>1368</v>
      </c>
      <c r="C36" s="1671">
        <v>2.5999999999999999E-2</v>
      </c>
      <c r="D36" s="1671"/>
      <c r="H36" s="1002"/>
      <c r="I36" s="1002"/>
      <c r="L36" s="670"/>
      <c r="P36" s="1002"/>
      <c r="Q36" s="1001"/>
    </row>
    <row r="37" spans="1:21">
      <c r="B37" s="1039" t="s">
        <v>770</v>
      </c>
      <c r="C37" s="1040">
        <v>6.5000000000000002E-2</v>
      </c>
      <c r="D37" s="1040">
        <v>6.5000000000000002E-2</v>
      </c>
      <c r="H37" s="1000"/>
      <c r="I37" s="1001"/>
      <c r="L37" s="670"/>
      <c r="P37" s="1002"/>
      <c r="Q37" s="673"/>
    </row>
    <row r="38" spans="1:21">
      <c r="B38" s="1039" t="s">
        <v>1367</v>
      </c>
      <c r="C38" s="1038" t="s">
        <v>1366</v>
      </c>
      <c r="D38" s="1038" t="s">
        <v>1366</v>
      </c>
      <c r="H38" s="1000"/>
      <c r="I38" s="1001"/>
      <c r="L38" s="670"/>
      <c r="P38" s="1004"/>
      <c r="Q38" s="1003"/>
    </row>
    <row r="39" spans="1:21">
      <c r="B39" s="1039" t="s">
        <v>1338</v>
      </c>
      <c r="C39" s="1038" t="s">
        <v>763</v>
      </c>
      <c r="D39" s="1038" t="s">
        <v>763</v>
      </c>
      <c r="H39" s="1000"/>
      <c r="I39" s="1001"/>
      <c r="L39" s="670"/>
      <c r="P39" s="1004"/>
      <c r="Q39" s="1003"/>
    </row>
    <row r="40" spans="1:21">
      <c r="B40" s="1039" t="s">
        <v>1337</v>
      </c>
      <c r="C40" s="1038" t="s">
        <v>763</v>
      </c>
      <c r="D40" s="1038" t="s">
        <v>763</v>
      </c>
      <c r="H40" s="1000"/>
      <c r="I40" s="1001"/>
      <c r="L40" s="670"/>
      <c r="P40" s="1004"/>
      <c r="Q40" s="1003"/>
    </row>
    <row r="41" spans="1:21" s="3" customFormat="1">
      <c r="A41" s="2"/>
      <c r="B41" s="2"/>
      <c r="C41" s="2"/>
      <c r="D41" s="2"/>
      <c r="E41" s="2"/>
      <c r="G41" s="560"/>
      <c r="H41" s="981"/>
      <c r="I41" s="981"/>
      <c r="J41" s="981"/>
      <c r="K41" s="981"/>
      <c r="L41" s="560"/>
      <c r="M41" s="560"/>
      <c r="N41" s="561"/>
      <c r="O41" s="560"/>
      <c r="P41" s="560"/>
      <c r="Q41" s="560"/>
      <c r="R41" s="560"/>
      <c r="S41" s="560"/>
      <c r="T41" s="560"/>
      <c r="U41" s="561"/>
    </row>
    <row r="42" spans="1:21" s="3" customFormat="1">
      <c r="A42" s="2" t="s">
        <v>6</v>
      </c>
      <c r="B42" s="1672" t="s">
        <v>1365</v>
      </c>
      <c r="C42" s="1672"/>
      <c r="D42" s="1672"/>
      <c r="E42" s="2"/>
      <c r="G42" s="560"/>
      <c r="H42" s="981"/>
      <c r="I42" s="981"/>
      <c r="J42" s="981"/>
      <c r="K42" s="981"/>
      <c r="L42" s="560"/>
      <c r="M42" s="560"/>
      <c r="N42" s="561"/>
      <c r="O42" s="560"/>
      <c r="P42" s="560"/>
      <c r="Q42" s="560"/>
      <c r="R42" s="560"/>
      <c r="S42" s="560"/>
      <c r="T42" s="560"/>
      <c r="U42" s="561"/>
    </row>
    <row r="43" spans="1:21" s="3" customFormat="1">
      <c r="A43" s="2"/>
      <c r="B43" s="1672"/>
      <c r="C43" s="1672"/>
      <c r="D43" s="1672"/>
      <c r="E43" s="2"/>
      <c r="G43" s="560"/>
      <c r="H43" s="981"/>
      <c r="I43" s="981"/>
      <c r="J43" s="981"/>
      <c r="K43" s="981"/>
      <c r="L43" s="560"/>
      <c r="M43" s="560"/>
      <c r="N43" s="561"/>
      <c r="O43" s="560"/>
      <c r="P43" s="560"/>
      <c r="Q43" s="560"/>
      <c r="R43" s="560"/>
      <c r="S43" s="560"/>
      <c r="T43" s="560"/>
      <c r="U43" s="561"/>
    </row>
    <row r="44" spans="1:21" s="3" customFormat="1">
      <c r="A44" s="2"/>
      <c r="B44" s="2"/>
      <c r="C44" s="2"/>
      <c r="D44" s="2"/>
      <c r="E44" s="2"/>
      <c r="G44" s="560"/>
      <c r="H44" s="981"/>
      <c r="I44" s="981"/>
      <c r="J44" s="981"/>
      <c r="K44" s="981"/>
      <c r="L44" s="560"/>
      <c r="M44" s="560"/>
      <c r="N44" s="561"/>
      <c r="O44" s="560"/>
      <c r="P44" s="560"/>
      <c r="Q44" s="560"/>
      <c r="R44" s="560"/>
      <c r="S44" s="560"/>
      <c r="T44" s="560"/>
      <c r="U44" s="561"/>
    </row>
    <row r="45" spans="1:21" s="3" customFormat="1">
      <c r="A45" s="2"/>
      <c r="B45" s="1010" t="s">
        <v>683</v>
      </c>
      <c r="C45" s="2"/>
      <c r="D45" s="2"/>
      <c r="E45" s="2"/>
      <c r="G45" s="560"/>
      <c r="H45" s="981"/>
      <c r="I45" s="981"/>
      <c r="J45" s="981"/>
      <c r="K45" s="981"/>
      <c r="L45" s="560"/>
      <c r="M45" s="560"/>
      <c r="N45" s="561"/>
      <c r="O45" s="560"/>
      <c r="P45" s="560"/>
      <c r="Q45" s="560"/>
      <c r="R45" s="560"/>
      <c r="S45" s="560"/>
      <c r="T45" s="560"/>
      <c r="U45" s="561"/>
    </row>
    <row r="46" spans="1:21" s="3" customFormat="1">
      <c r="A46" s="2"/>
      <c r="B46" s="1037"/>
      <c r="C46" s="2"/>
      <c r="D46" s="2"/>
      <c r="E46" s="2"/>
      <c r="G46" s="560"/>
      <c r="H46" s="981"/>
      <c r="I46" s="981"/>
      <c r="J46" s="981"/>
      <c r="K46" s="981"/>
      <c r="L46" s="560"/>
      <c r="M46" s="560"/>
      <c r="N46" s="561"/>
      <c r="O46" s="560"/>
      <c r="P46" s="560"/>
      <c r="Q46" s="560"/>
      <c r="R46" s="560"/>
      <c r="S46" s="560"/>
      <c r="T46" s="560"/>
      <c r="U46" s="561"/>
    </row>
    <row r="47" spans="1:21" s="3" customFormat="1" ht="16.2">
      <c r="A47" s="2"/>
      <c r="B47" s="29" t="s">
        <v>32</v>
      </c>
      <c r="C47" s="2"/>
      <c r="D47" s="2"/>
      <c r="E47" s="2"/>
      <c r="G47" s="560"/>
      <c r="H47" s="981"/>
      <c r="I47" s="981"/>
      <c r="J47" s="981"/>
      <c r="K47" s="981"/>
      <c r="L47" s="560"/>
      <c r="M47" s="560"/>
      <c r="N47" s="561"/>
      <c r="O47" s="560"/>
      <c r="P47" s="560"/>
      <c r="Q47" s="560"/>
      <c r="R47" s="560"/>
      <c r="S47" s="560"/>
      <c r="T47" s="560"/>
      <c r="U47" s="561"/>
    </row>
    <row r="48" spans="1:21" s="3" customFormat="1">
      <c r="A48" s="2"/>
      <c r="B48" s="2"/>
      <c r="C48" s="2"/>
      <c r="D48" s="2"/>
      <c r="E48" s="2"/>
      <c r="G48" s="560"/>
      <c r="H48" s="981"/>
      <c r="I48" s="981"/>
      <c r="J48" s="981"/>
      <c r="K48" s="981"/>
      <c r="L48" s="560"/>
      <c r="M48" s="560"/>
      <c r="N48" s="561"/>
      <c r="O48" s="560"/>
      <c r="P48" s="560"/>
      <c r="Q48" s="560"/>
      <c r="R48" s="560"/>
      <c r="S48" s="560"/>
      <c r="T48" s="560"/>
      <c r="U48" s="561"/>
    </row>
    <row r="49" spans="1:21" s="3" customFormat="1">
      <c r="A49" s="1010" t="s">
        <v>1364</v>
      </c>
      <c r="B49" s="2"/>
      <c r="C49" s="2"/>
      <c r="D49" s="2"/>
      <c r="E49" s="2"/>
      <c r="G49" s="560"/>
      <c r="H49" s="981"/>
      <c r="I49" s="981"/>
      <c r="J49" s="981"/>
      <c r="K49" s="981"/>
      <c r="L49" s="560"/>
      <c r="M49" s="560"/>
      <c r="N49" s="561"/>
      <c r="O49" s="560"/>
      <c r="P49" s="560"/>
      <c r="Q49" s="560"/>
      <c r="R49" s="560"/>
      <c r="S49" s="560"/>
      <c r="T49" s="560"/>
      <c r="U49" s="561"/>
    </row>
    <row r="50" spans="1:21" s="3" customFormat="1">
      <c r="A50" s="1010"/>
      <c r="B50" s="2"/>
      <c r="C50" s="2"/>
      <c r="D50" s="2"/>
      <c r="E50" s="2"/>
      <c r="G50" s="560"/>
      <c r="H50" s="981"/>
      <c r="I50" s="981"/>
      <c r="J50" s="981"/>
      <c r="K50" s="981"/>
      <c r="L50" s="560"/>
      <c r="M50" s="560"/>
      <c r="N50" s="561"/>
      <c r="O50" s="560"/>
      <c r="P50" s="560"/>
      <c r="Q50" s="560"/>
      <c r="R50" s="560"/>
      <c r="S50" s="560"/>
      <c r="T50" s="560"/>
      <c r="U50" s="561"/>
    </row>
    <row r="51" spans="1:21" s="3" customFormat="1">
      <c r="A51" s="1010" t="s">
        <v>1196</v>
      </c>
      <c r="B51" s="2"/>
      <c r="C51" s="2"/>
      <c r="D51" s="2"/>
      <c r="E51" s="2"/>
      <c r="G51" s="560"/>
      <c r="H51" s="981"/>
      <c r="I51" s="981"/>
      <c r="J51" s="981"/>
      <c r="K51" s="981"/>
      <c r="L51" s="560"/>
      <c r="M51" s="560"/>
      <c r="N51" s="561"/>
      <c r="O51" s="560"/>
      <c r="P51" s="560"/>
      <c r="Q51" s="560"/>
      <c r="R51" s="560"/>
      <c r="S51" s="560"/>
      <c r="T51" s="560"/>
      <c r="U51" s="561"/>
    </row>
    <row r="52" spans="1:21" s="3" customFormat="1">
      <c r="A52" s="1010"/>
      <c r="B52" s="2"/>
      <c r="C52" s="2"/>
      <c r="D52" s="2"/>
      <c r="E52" s="2"/>
      <c r="G52" s="560"/>
      <c r="H52" s="981"/>
      <c r="I52" s="981"/>
      <c r="J52" s="981"/>
      <c r="K52" s="981"/>
      <c r="L52" s="560"/>
      <c r="M52" s="560"/>
      <c r="N52" s="561"/>
      <c r="O52" s="560"/>
      <c r="P52" s="560"/>
      <c r="Q52" s="560"/>
      <c r="R52" s="560"/>
      <c r="S52" s="560"/>
      <c r="T52" s="560"/>
      <c r="U52" s="561"/>
    </row>
    <row r="53" spans="1:21" s="3" customFormat="1">
      <c r="A53" s="2"/>
      <c r="B53" s="1035"/>
      <c r="C53" s="1036" t="s">
        <v>1334</v>
      </c>
      <c r="D53" s="2"/>
      <c r="E53" s="2"/>
      <c r="G53" s="560"/>
      <c r="H53" s="981"/>
      <c r="I53" s="981"/>
      <c r="J53" s="981"/>
      <c r="K53" s="981"/>
      <c r="L53" s="560"/>
      <c r="M53" s="560"/>
      <c r="N53" s="561"/>
      <c r="O53" s="560"/>
      <c r="P53" s="560"/>
      <c r="Q53" s="560"/>
      <c r="R53" s="560"/>
      <c r="S53" s="560"/>
      <c r="T53" s="560"/>
      <c r="U53" s="561"/>
    </row>
    <row r="54" spans="1:21" s="3" customFormat="1" ht="31.2">
      <c r="A54" s="2"/>
      <c r="B54" s="590" t="s">
        <v>1363</v>
      </c>
      <c r="C54" s="713">
        <v>4250000</v>
      </c>
      <c r="D54" s="2"/>
      <c r="E54" s="2"/>
      <c r="G54" s="560"/>
      <c r="H54" s="981"/>
      <c r="I54" s="981"/>
      <c r="J54" s="981"/>
      <c r="K54" s="981"/>
      <c r="L54" s="560"/>
      <c r="M54" s="560"/>
      <c r="N54" s="561"/>
      <c r="O54" s="560"/>
      <c r="P54" s="560"/>
      <c r="Q54" s="560"/>
      <c r="R54" s="560"/>
      <c r="S54" s="560"/>
      <c r="T54" s="560"/>
      <c r="U54" s="561"/>
    </row>
    <row r="55" spans="1:21" s="3" customFormat="1">
      <c r="A55" s="2"/>
      <c r="B55" s="590" t="s">
        <v>1332</v>
      </c>
      <c r="C55" s="713">
        <v>4300000</v>
      </c>
      <c r="D55" s="2"/>
      <c r="E55" s="2"/>
      <c r="G55" s="560"/>
      <c r="H55" s="981"/>
      <c r="I55" s="981"/>
      <c r="J55" s="981"/>
      <c r="K55" s="981"/>
      <c r="L55" s="560"/>
      <c r="M55" s="560"/>
      <c r="N55" s="561"/>
      <c r="O55" s="560"/>
      <c r="P55" s="560"/>
      <c r="Q55" s="560"/>
      <c r="R55" s="560"/>
      <c r="S55" s="560"/>
      <c r="T55" s="560"/>
      <c r="U55" s="561"/>
    </row>
    <row r="56" spans="1:21" s="3" customFormat="1">
      <c r="A56" s="2"/>
      <c r="B56" s="590"/>
      <c r="C56" s="712"/>
      <c r="D56" s="2"/>
      <c r="E56" s="2"/>
      <c r="G56" s="560"/>
      <c r="H56" s="981"/>
      <c r="I56" s="981"/>
      <c r="J56" s="981"/>
      <c r="K56" s="981"/>
      <c r="L56" s="560"/>
      <c r="M56" s="560"/>
      <c r="N56" s="561"/>
      <c r="O56" s="560"/>
      <c r="P56" s="560"/>
      <c r="Q56" s="560"/>
      <c r="R56" s="560"/>
      <c r="S56" s="560"/>
      <c r="T56" s="560"/>
      <c r="U56" s="561"/>
    </row>
    <row r="57" spans="1:21" s="3" customFormat="1">
      <c r="A57" s="2"/>
      <c r="B57" s="590" t="s">
        <v>1362</v>
      </c>
      <c r="C57" s="713">
        <v>800000</v>
      </c>
      <c r="D57" s="2"/>
      <c r="E57" s="2"/>
      <c r="G57" s="560"/>
      <c r="H57" s="981"/>
      <c r="I57" s="981"/>
      <c r="J57" s="981"/>
      <c r="K57" s="981"/>
      <c r="L57" s="560"/>
      <c r="M57" s="560"/>
      <c r="N57" s="561"/>
      <c r="O57" s="560"/>
      <c r="P57" s="560"/>
      <c r="Q57" s="560"/>
      <c r="R57" s="560"/>
      <c r="S57" s="560"/>
      <c r="T57" s="560"/>
      <c r="U57" s="561"/>
    </row>
    <row r="58" spans="1:21" s="3" customFormat="1">
      <c r="A58" s="2"/>
      <c r="B58" s="590" t="s">
        <v>1361</v>
      </c>
      <c r="C58" s="713">
        <v>820000</v>
      </c>
      <c r="D58" s="2"/>
      <c r="E58" s="2"/>
      <c r="G58" s="560"/>
      <c r="H58" s="981"/>
      <c r="I58" s="981"/>
      <c r="J58" s="981"/>
      <c r="K58" s="981"/>
      <c r="L58" s="560"/>
      <c r="M58" s="560"/>
      <c r="N58" s="561"/>
      <c r="O58" s="560"/>
      <c r="P58" s="560"/>
      <c r="Q58" s="560"/>
      <c r="R58" s="560"/>
      <c r="S58" s="560"/>
      <c r="T58" s="560"/>
      <c r="U58" s="561"/>
    </row>
    <row r="59" spans="1:21" s="3" customFormat="1">
      <c r="A59" s="2"/>
      <c r="B59" s="590"/>
      <c r="C59" s="713"/>
      <c r="D59" s="2"/>
      <c r="E59" s="2"/>
      <c r="G59" s="560"/>
      <c r="H59" s="981"/>
      <c r="I59" s="981"/>
      <c r="J59" s="981"/>
      <c r="K59" s="981"/>
      <c r="L59" s="560"/>
      <c r="M59" s="560"/>
      <c r="N59" s="561"/>
      <c r="O59" s="560"/>
      <c r="P59" s="560"/>
      <c r="Q59" s="560"/>
      <c r="R59" s="560"/>
      <c r="S59" s="560"/>
      <c r="T59" s="560"/>
      <c r="U59" s="561"/>
    </row>
    <row r="60" spans="1:21" s="3" customFormat="1">
      <c r="A60" s="2"/>
      <c r="B60" s="1035" t="s">
        <v>84</v>
      </c>
      <c r="C60" s="713"/>
      <c r="D60" s="2"/>
      <c r="E60" s="2"/>
      <c r="G60" s="560"/>
      <c r="H60" s="981"/>
      <c r="I60" s="981"/>
      <c r="J60" s="981"/>
      <c r="K60" s="981"/>
      <c r="L60" s="560"/>
      <c r="M60" s="560"/>
      <c r="N60" s="561"/>
      <c r="O60" s="560"/>
      <c r="P60" s="560"/>
      <c r="Q60" s="560"/>
      <c r="R60" s="560"/>
      <c r="S60" s="560"/>
      <c r="T60" s="560"/>
      <c r="U60" s="561"/>
    </row>
    <row r="61" spans="1:21" s="3" customFormat="1">
      <c r="A61" s="2"/>
      <c r="B61" s="590" t="s">
        <v>771</v>
      </c>
      <c r="C61" s="1034">
        <v>2.5999999999999999E-2</v>
      </c>
      <c r="D61" s="2"/>
      <c r="E61" s="2"/>
      <c r="G61" s="560"/>
      <c r="H61" s="981"/>
      <c r="I61" s="981"/>
      <c r="J61" s="981"/>
      <c r="K61" s="981"/>
      <c r="L61" s="560"/>
      <c r="M61" s="560"/>
      <c r="N61" s="561"/>
      <c r="O61" s="560"/>
      <c r="P61" s="560"/>
      <c r="Q61" s="560"/>
      <c r="R61" s="560"/>
      <c r="S61" s="560"/>
      <c r="T61" s="560"/>
      <c r="U61" s="561"/>
    </row>
    <row r="62" spans="1:21" s="3" customFormat="1">
      <c r="A62" s="2"/>
      <c r="B62" s="1668" t="s">
        <v>1327</v>
      </c>
      <c r="C62" s="1669"/>
      <c r="D62" s="2"/>
      <c r="E62" s="2"/>
      <c r="G62" s="560"/>
      <c r="H62" s="981"/>
      <c r="I62" s="981"/>
      <c r="J62" s="981"/>
      <c r="K62" s="981"/>
      <c r="L62" s="560"/>
      <c r="M62" s="560"/>
      <c r="N62" s="561"/>
      <c r="O62" s="560"/>
      <c r="P62" s="560"/>
      <c r="Q62" s="560"/>
      <c r="R62" s="560"/>
      <c r="S62" s="560"/>
      <c r="T62" s="560"/>
      <c r="U62" s="561"/>
    </row>
    <row r="63" spans="1:21" s="3" customFormat="1">
      <c r="A63" s="2"/>
      <c r="B63" s="2"/>
      <c r="C63" s="2"/>
      <c r="D63" s="2"/>
      <c r="E63" s="2"/>
      <c r="G63" s="560"/>
      <c r="H63" s="981"/>
      <c r="I63" s="981"/>
      <c r="J63" s="981"/>
      <c r="K63" s="981"/>
      <c r="L63" s="560"/>
      <c r="M63" s="560"/>
      <c r="N63" s="561"/>
      <c r="O63" s="560"/>
      <c r="P63" s="560"/>
      <c r="Q63" s="560"/>
      <c r="R63" s="560"/>
      <c r="S63" s="560"/>
      <c r="T63" s="560"/>
      <c r="U63" s="561"/>
    </row>
    <row r="64" spans="1:21" s="3" customFormat="1">
      <c r="A64" s="2" t="s">
        <v>256</v>
      </c>
      <c r="B64" s="999" t="s">
        <v>1360</v>
      </c>
      <c r="C64" s="1033"/>
      <c r="D64" s="1033"/>
      <c r="E64" s="2"/>
      <c r="G64" s="560"/>
      <c r="H64" s="981"/>
      <c r="I64" s="981"/>
      <c r="J64" s="981"/>
      <c r="K64" s="981"/>
      <c r="L64" s="560"/>
      <c r="M64" s="560"/>
      <c r="N64" s="561"/>
      <c r="O64" s="560"/>
      <c r="P64" s="560"/>
      <c r="Q64" s="560"/>
      <c r="R64" s="560"/>
      <c r="S64" s="560"/>
      <c r="T64" s="560"/>
      <c r="U64" s="561"/>
    </row>
    <row r="65" spans="1:21" s="3" customFormat="1">
      <c r="A65" s="2"/>
      <c r="B65" s="998"/>
      <c r="C65" s="1033"/>
      <c r="D65" s="1033"/>
      <c r="E65" s="2"/>
      <c r="G65" s="560"/>
      <c r="H65" s="981"/>
      <c r="I65" s="981"/>
      <c r="J65" s="981"/>
      <c r="K65" s="981"/>
      <c r="L65" s="560"/>
      <c r="M65" s="560"/>
      <c r="N65" s="561"/>
      <c r="O65" s="560"/>
      <c r="P65" s="981"/>
      <c r="Q65" s="981"/>
      <c r="R65" s="981"/>
      <c r="S65" s="981"/>
      <c r="T65" s="981"/>
      <c r="U65" s="561"/>
    </row>
    <row r="66" spans="1:21" s="3" customFormat="1">
      <c r="A66" s="2"/>
      <c r="B66" s="776" t="s">
        <v>683</v>
      </c>
      <c r="C66" s="1033"/>
      <c r="D66" s="1033"/>
      <c r="E66" s="2"/>
      <c r="G66" s="560"/>
      <c r="H66" s="981"/>
      <c r="I66" s="981"/>
      <c r="J66" s="981"/>
      <c r="K66" s="981"/>
      <c r="L66" s="560"/>
      <c r="M66" s="560"/>
      <c r="N66" s="561"/>
      <c r="O66" s="560"/>
      <c r="P66" s="981"/>
      <c r="Q66" s="981"/>
      <c r="R66" s="981"/>
      <c r="S66" s="981"/>
      <c r="T66" s="981"/>
      <c r="U66" s="561"/>
    </row>
    <row r="67" spans="1:21" s="3" customFormat="1">
      <c r="A67" s="2"/>
      <c r="B67" s="776"/>
      <c r="C67" s="1033"/>
      <c r="D67" s="1033"/>
      <c r="E67" s="2"/>
      <c r="G67" s="560"/>
      <c r="H67" s="981"/>
      <c r="I67" s="981"/>
      <c r="J67" s="981"/>
      <c r="K67" s="981"/>
      <c r="L67" s="560"/>
      <c r="M67" s="560"/>
      <c r="N67" s="561"/>
      <c r="O67" s="560"/>
      <c r="P67" s="981"/>
      <c r="Q67" s="981"/>
      <c r="R67" s="981"/>
      <c r="S67" s="981"/>
      <c r="T67" s="981"/>
      <c r="U67" s="561"/>
    </row>
    <row r="68" spans="1:21" s="3" customFormat="1" ht="16.2">
      <c r="A68" s="2"/>
      <c r="B68" s="29" t="s">
        <v>32</v>
      </c>
      <c r="C68" s="2"/>
      <c r="D68" s="2"/>
      <c r="E68" s="2"/>
      <c r="G68" s="560"/>
      <c r="H68" s="981"/>
      <c r="I68" s="981"/>
      <c r="J68" s="981"/>
      <c r="K68" s="981"/>
      <c r="L68" s="560"/>
      <c r="M68" s="560"/>
      <c r="N68" s="561"/>
      <c r="O68" s="560"/>
      <c r="P68" s="981"/>
      <c r="Q68" s="981"/>
      <c r="R68" s="981"/>
      <c r="S68" s="981"/>
      <c r="T68" s="981"/>
      <c r="U68" s="561"/>
    </row>
    <row r="69" spans="1:21" s="3" customFormat="1">
      <c r="A69" s="2"/>
      <c r="B69" s="2"/>
      <c r="C69" s="2"/>
      <c r="D69" s="2"/>
      <c r="E69" s="2"/>
      <c r="G69" s="560"/>
      <c r="H69" s="560"/>
      <c r="I69" s="560"/>
      <c r="J69" s="560"/>
      <c r="K69" s="560"/>
      <c r="L69" s="560"/>
      <c r="M69" s="560"/>
      <c r="N69" s="561"/>
      <c r="O69" s="560"/>
      <c r="P69" s="981"/>
      <c r="Q69" s="981"/>
      <c r="R69" s="981"/>
      <c r="S69" s="981"/>
      <c r="T69" s="981"/>
      <c r="U69" s="561"/>
    </row>
    <row r="70" spans="1:21" s="3" customFormat="1">
      <c r="A70" s="2"/>
      <c r="B70" s="996"/>
      <c r="C70" s="996"/>
      <c r="D70" s="996"/>
      <c r="E70" s="2"/>
      <c r="G70" s="560"/>
      <c r="H70" s="560"/>
      <c r="I70" s="560"/>
      <c r="J70" s="560"/>
      <c r="K70" s="560"/>
      <c r="L70" s="560"/>
      <c r="M70" s="560"/>
      <c r="N70" s="561"/>
      <c r="O70" s="560"/>
      <c r="P70" s="981"/>
      <c r="Q70" s="981"/>
      <c r="R70" s="981"/>
      <c r="S70" s="981"/>
      <c r="T70" s="981"/>
      <c r="U70" s="561"/>
    </row>
  </sheetData>
  <sheetProtection algorithmName="SHA-512" hashValue="KQeOGrzspFwPflFA0+1+ralQfpHyKz0zWF+vKVIkQk0l52iaKWCR1ZutDmVehmcrIBV4MEREKOVs1U3K693Wsw==" saltValue="dWIjGMDAHCTDJfFh0N5LtA==" spinCount="100000" sheet="1" objects="1" scenarios="1"/>
  <mergeCells count="6">
    <mergeCell ref="B62:C62"/>
    <mergeCell ref="H7:L8"/>
    <mergeCell ref="P8:T8"/>
    <mergeCell ref="B10:D10"/>
    <mergeCell ref="C36:D36"/>
    <mergeCell ref="B42:D43"/>
  </mergeCells>
  <pageMargins left="0.7" right="0.7" top="0.75" bottom="0.75" header="0.3" footer="0.3"/>
  <pageSetup scale="84" orientation="portrait" horizontalDpi="4294967293" verticalDpi="300" r:id="rId1"/>
  <colBreaks count="1" manualBreakCount="1">
    <brk id="6"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A3488-7B67-44A1-AC75-BE8FD3CDF2AB}">
  <dimension ref="A1:X79"/>
  <sheetViews>
    <sheetView zoomScale="75" zoomScaleNormal="75" workbookViewId="0">
      <selection sqref="A1:XFD1048576"/>
    </sheetView>
  </sheetViews>
  <sheetFormatPr defaultColWidth="9.33203125" defaultRowHeight="15.6"/>
  <cols>
    <col min="1" max="1" width="3.6640625" style="2" customWidth="1"/>
    <col min="2" max="2" width="47.5546875" style="2" customWidth="1"/>
    <col min="3" max="3" width="27" style="2" customWidth="1"/>
    <col min="4" max="4" width="30.33203125" style="2" customWidth="1"/>
    <col min="5" max="5" width="9" style="2" customWidth="1"/>
    <col min="6" max="6" width="1" style="3" customWidth="1"/>
    <col min="7" max="7" width="4" style="560" customWidth="1"/>
    <col min="8" max="8" width="29.33203125" style="560" customWidth="1"/>
    <col min="9" max="9" width="21.109375" style="560" customWidth="1"/>
    <col min="10" max="10" width="27.6640625" style="560" customWidth="1"/>
    <col min="11" max="11" width="16.33203125" style="560" customWidth="1"/>
    <col min="12" max="13" width="9.33203125" style="560"/>
    <col min="14" max="14" width="1" style="561" customWidth="1"/>
    <col min="15" max="16" width="4" style="560" customWidth="1"/>
    <col min="17" max="17" width="29.33203125" style="560" customWidth="1"/>
    <col min="18" max="18" width="21.109375" style="560" customWidth="1"/>
    <col min="19" max="19" width="27.6640625" style="560" customWidth="1"/>
    <col min="20" max="20" width="16.109375" style="560" customWidth="1"/>
    <col min="21" max="21" width="16.33203125" style="560" customWidth="1"/>
    <col min="22" max="22" width="15" style="561" customWidth="1"/>
    <col min="23" max="23" width="14.44140625" style="4" customWidth="1"/>
    <col min="24" max="24" width="15.6640625" style="4" customWidth="1"/>
    <col min="25" max="16384" width="9.33203125" style="4"/>
  </cols>
  <sheetData>
    <row r="1" spans="1:24">
      <c r="A1" s="1" t="str">
        <f>'[8]Question 8'!A1</f>
        <v>Exam RETDAU:  Fall 2022</v>
      </c>
      <c r="G1" s="1" t="str">
        <f>A1</f>
        <v>Exam RETDAU:  Fall 2022</v>
      </c>
      <c r="H1" s="2"/>
      <c r="I1" s="2"/>
      <c r="J1" s="2"/>
      <c r="K1" s="2"/>
      <c r="L1" s="2"/>
      <c r="M1" s="2"/>
      <c r="O1" s="1" t="str">
        <f>G1</f>
        <v>Exam RETDAU:  Fall 2022</v>
      </c>
      <c r="P1" s="1"/>
      <c r="Q1" s="2"/>
      <c r="R1" s="2"/>
      <c r="S1" s="2"/>
      <c r="T1" s="2"/>
      <c r="U1" s="2"/>
    </row>
    <row r="2" spans="1:24">
      <c r="A2" s="1" t="str">
        <f>'[8]Question 8'!A2</f>
        <v>Design and Accounting Exam – U.S.</v>
      </c>
      <c r="G2" s="1" t="str">
        <f>A2</f>
        <v>Design and Accounting Exam – U.S.</v>
      </c>
      <c r="H2" s="2"/>
      <c r="I2" s="2"/>
      <c r="J2" s="2"/>
      <c r="K2" s="2"/>
      <c r="L2" s="2"/>
      <c r="M2" s="2"/>
      <c r="O2" s="1" t="str">
        <f>G2</f>
        <v>Design and Accounting Exam – U.S.</v>
      </c>
      <c r="P2" s="1"/>
      <c r="Q2" s="2"/>
      <c r="R2" s="2"/>
      <c r="S2" s="2"/>
      <c r="T2" s="2"/>
      <c r="U2" s="2"/>
    </row>
    <row r="3" spans="1:24">
      <c r="A3" s="1" t="s">
        <v>336</v>
      </c>
      <c r="G3" s="1" t="str">
        <f>A3</f>
        <v>Question 9</v>
      </c>
      <c r="H3" s="2"/>
      <c r="I3" s="2"/>
      <c r="J3" s="2"/>
      <c r="K3" s="2"/>
      <c r="L3" s="2"/>
      <c r="M3" s="2"/>
      <c r="O3" s="1" t="str">
        <f>G3</f>
        <v>Question 9</v>
      </c>
      <c r="P3" s="1"/>
      <c r="Q3" s="2"/>
      <c r="R3" s="2"/>
      <c r="S3" s="2"/>
      <c r="T3" s="2"/>
      <c r="U3" s="2"/>
    </row>
    <row r="4" spans="1:24">
      <c r="G4" s="2"/>
      <c r="H4" s="2"/>
      <c r="I4" s="2"/>
      <c r="J4" s="2"/>
      <c r="K4" s="2"/>
      <c r="L4" s="2"/>
      <c r="M4" s="2"/>
      <c r="O4" s="2"/>
      <c r="P4" s="2"/>
      <c r="Q4" s="2"/>
      <c r="R4" s="2"/>
      <c r="S4" s="2"/>
      <c r="T4" s="2"/>
      <c r="U4" s="2"/>
    </row>
    <row r="5" spans="1:24" ht="16.2">
      <c r="A5" s="1010" t="s">
        <v>1347</v>
      </c>
      <c r="G5" s="6" t="s">
        <v>4</v>
      </c>
      <c r="H5" s="2"/>
      <c r="I5" s="2"/>
      <c r="J5" s="2"/>
      <c r="K5" s="2"/>
      <c r="L5" s="2"/>
      <c r="M5" s="2"/>
      <c r="O5" s="6" t="s">
        <v>4</v>
      </c>
      <c r="P5" s="6"/>
      <c r="Q5" s="2"/>
      <c r="R5" s="2"/>
      <c r="S5" s="2"/>
      <c r="T5" s="2"/>
      <c r="U5" s="2"/>
    </row>
    <row r="6" spans="1:24">
      <c r="A6" s="1010"/>
      <c r="G6" s="2"/>
      <c r="H6" s="2"/>
      <c r="I6" s="2"/>
      <c r="J6" s="2"/>
      <c r="K6" s="2"/>
      <c r="L6" s="2"/>
      <c r="M6" s="2"/>
      <c r="O6" s="2"/>
      <c r="P6" s="2"/>
      <c r="Q6" s="2"/>
      <c r="R6" s="2"/>
      <c r="S6" s="2"/>
      <c r="T6" s="2"/>
      <c r="U6" s="2"/>
    </row>
    <row r="7" spans="1:24">
      <c r="A7" s="1010" t="s">
        <v>1377</v>
      </c>
      <c r="G7" s="2" t="s">
        <v>6</v>
      </c>
      <c r="H7" s="1461" t="s">
        <v>1376</v>
      </c>
      <c r="I7" s="1462"/>
      <c r="J7" s="1462"/>
      <c r="K7" s="1462"/>
      <c r="L7" s="1462"/>
      <c r="M7" s="5"/>
      <c r="O7" s="1020" t="s">
        <v>256</v>
      </c>
      <c r="P7" s="1020"/>
      <c r="Q7" s="999" t="s">
        <v>1375</v>
      </c>
      <c r="R7" s="2"/>
      <c r="S7" s="2"/>
      <c r="T7" s="2"/>
      <c r="U7" s="2"/>
    </row>
    <row r="8" spans="1:24" ht="15.6" customHeight="1">
      <c r="G8" s="2"/>
      <c r="H8" s="1462"/>
      <c r="I8" s="1462"/>
      <c r="J8" s="1462"/>
      <c r="K8" s="1462"/>
      <c r="L8" s="1462"/>
      <c r="M8" s="9"/>
      <c r="O8" s="2"/>
      <c r="P8" s="2"/>
      <c r="Q8" s="1462"/>
      <c r="R8" s="1462"/>
      <c r="S8" s="1462"/>
      <c r="T8" s="1462"/>
      <c r="U8" s="1462"/>
    </row>
    <row r="9" spans="1:24">
      <c r="B9" s="1041"/>
      <c r="C9" s="1046" t="s">
        <v>1345</v>
      </c>
      <c r="D9" s="1046" t="s">
        <v>1344</v>
      </c>
      <c r="G9" s="2"/>
      <c r="H9" s="2"/>
      <c r="I9" s="2"/>
      <c r="J9" s="2"/>
      <c r="K9" s="2"/>
      <c r="L9" s="1019"/>
      <c r="M9" s="9"/>
      <c r="O9" s="2"/>
      <c r="P9" s="2"/>
      <c r="Q9" s="2" t="s">
        <v>683</v>
      </c>
      <c r="R9" s="2"/>
      <c r="S9" s="2"/>
      <c r="T9" s="2"/>
      <c r="U9" s="1018"/>
    </row>
    <row r="10" spans="1:24">
      <c r="B10" s="1670" t="s">
        <v>1374</v>
      </c>
      <c r="C10" s="1670"/>
      <c r="D10" s="1670"/>
      <c r="G10" s="2"/>
      <c r="H10" s="2" t="s">
        <v>683</v>
      </c>
      <c r="I10" s="2"/>
      <c r="J10" s="2"/>
      <c r="K10" s="2"/>
      <c r="L10" s="2"/>
      <c r="M10" s="9"/>
      <c r="O10" s="2"/>
      <c r="P10" s="2"/>
      <c r="Q10" s="1"/>
      <c r="R10" s="2"/>
      <c r="S10" s="2"/>
      <c r="T10" s="2"/>
      <c r="U10" s="2"/>
    </row>
    <row r="11" spans="1:24">
      <c r="B11" s="1039" t="s">
        <v>769</v>
      </c>
      <c r="C11" s="1045">
        <v>1200000</v>
      </c>
      <c r="D11" s="1045">
        <v>2900000</v>
      </c>
      <c r="G11" s="2"/>
      <c r="H11" s="1016"/>
      <c r="I11" s="1017"/>
      <c r="J11" s="1017"/>
      <c r="K11" s="1017"/>
      <c r="L11" s="1016"/>
      <c r="M11" s="9"/>
      <c r="Q11" s="398"/>
      <c r="R11" s="397"/>
      <c r="S11" s="784"/>
      <c r="T11" s="784"/>
      <c r="U11" s="670"/>
    </row>
    <row r="12" spans="1:24" ht="15.9" customHeight="1">
      <c r="B12" s="1039" t="s">
        <v>1341</v>
      </c>
      <c r="C12" s="1049">
        <v>1300000</v>
      </c>
      <c r="D12" s="1045">
        <v>2700000</v>
      </c>
      <c r="G12" s="2"/>
      <c r="H12" s="1016"/>
      <c r="I12" s="1017"/>
      <c r="J12" s="1017"/>
      <c r="K12" s="1017"/>
      <c r="L12" s="1016"/>
      <c r="M12" s="9"/>
      <c r="Q12" s="1004"/>
      <c r="R12" s="1007"/>
      <c r="S12" s="1007"/>
      <c r="T12" s="1007"/>
      <c r="U12" s="1007"/>
    </row>
    <row r="13" spans="1:24" ht="16.5" customHeight="1">
      <c r="B13" s="1039" t="s">
        <v>1005</v>
      </c>
      <c r="C13" s="1045">
        <v>100000</v>
      </c>
      <c r="D13" s="1045">
        <v>300000</v>
      </c>
      <c r="G13" s="2"/>
      <c r="H13" s="1016"/>
      <c r="I13" s="1017"/>
      <c r="J13" s="1017"/>
      <c r="K13" s="1017"/>
      <c r="L13" s="1016"/>
      <c r="M13" s="9"/>
      <c r="Q13" s="603"/>
      <c r="S13" s="670"/>
      <c r="T13" s="670"/>
    </row>
    <row r="14" spans="1:24">
      <c r="B14" s="1039" t="s">
        <v>1031</v>
      </c>
      <c r="C14" s="1045">
        <v>30000</v>
      </c>
      <c r="D14" s="1045">
        <v>100000</v>
      </c>
      <c r="H14" s="1004"/>
      <c r="I14" s="1007"/>
      <c r="J14" s="1007"/>
      <c r="K14" s="1007"/>
      <c r="L14" s="670"/>
      <c r="M14" s="1014"/>
      <c r="Q14" s="560" t="s">
        <v>1397</v>
      </c>
      <c r="R14" s="981">
        <f>I73+I74</f>
        <v>598555</v>
      </c>
      <c r="V14" s="560"/>
      <c r="W14" s="560"/>
      <c r="X14" s="560"/>
    </row>
    <row r="15" spans="1:24" ht="15.6" customHeight="1">
      <c r="B15" s="1039" t="s">
        <v>1373</v>
      </c>
      <c r="C15" s="1045">
        <v>3500</v>
      </c>
      <c r="D15" s="1045">
        <v>8000</v>
      </c>
      <c r="H15" s="1064" t="s">
        <v>1345</v>
      </c>
      <c r="I15" s="1027"/>
      <c r="J15" s="1027" t="s">
        <v>533</v>
      </c>
      <c r="K15" s="1027" t="s">
        <v>534</v>
      </c>
      <c r="L15" s="670"/>
      <c r="M15" s="1014"/>
      <c r="Q15" s="560" t="s">
        <v>1396</v>
      </c>
      <c r="R15" s="981">
        <f>C57</f>
        <v>800000</v>
      </c>
      <c r="V15" s="560"/>
      <c r="W15" s="560"/>
      <c r="X15" s="560"/>
    </row>
    <row r="16" spans="1:24" ht="16.5" customHeight="1">
      <c r="B16" s="1039"/>
      <c r="C16" s="1043"/>
      <c r="D16" s="1043"/>
      <c r="H16" s="1027"/>
      <c r="I16" s="1061">
        <v>44562</v>
      </c>
      <c r="J16" s="1061">
        <v>44926</v>
      </c>
      <c r="K16" s="1061">
        <v>44927</v>
      </c>
      <c r="L16" s="670"/>
      <c r="M16" s="1013"/>
      <c r="V16" s="560"/>
      <c r="W16" s="560"/>
      <c r="X16" s="560"/>
    </row>
    <row r="17" spans="1:24">
      <c r="B17" s="1039" t="s">
        <v>762</v>
      </c>
      <c r="C17" s="1048">
        <v>-300000</v>
      </c>
      <c r="D17" s="1045">
        <v>700000</v>
      </c>
      <c r="H17" s="1027" t="s">
        <v>938</v>
      </c>
      <c r="I17" s="1026">
        <f>C11</f>
        <v>1200000</v>
      </c>
      <c r="J17" s="1026">
        <f>I17+I29-C27+I28</f>
        <v>1180625</v>
      </c>
      <c r="K17" s="1026">
        <f>C21</f>
        <v>1100000</v>
      </c>
      <c r="L17" s="670"/>
      <c r="Q17" s="1064" t="s">
        <v>1357</v>
      </c>
      <c r="R17" s="1027"/>
      <c r="S17" s="1027" t="s">
        <v>533</v>
      </c>
      <c r="T17" s="1027" t="s">
        <v>534</v>
      </c>
      <c r="U17" s="560" t="s">
        <v>1395</v>
      </c>
      <c r="V17" s="560" t="s">
        <v>1394</v>
      </c>
      <c r="W17" s="560" t="s">
        <v>1393</v>
      </c>
      <c r="X17" s="560" t="s">
        <v>1392</v>
      </c>
    </row>
    <row r="18" spans="1:24" ht="15.6" customHeight="1">
      <c r="B18" s="1039" t="s">
        <v>1371</v>
      </c>
      <c r="C18" s="1047">
        <v>10</v>
      </c>
      <c r="D18" s="1047">
        <v>10</v>
      </c>
      <c r="H18" s="1027" t="s">
        <v>541</v>
      </c>
      <c r="I18" s="1060">
        <f>C12</f>
        <v>1300000</v>
      </c>
      <c r="J18" s="1060">
        <f>C12-I30+C31-C27</f>
        <v>1281250</v>
      </c>
      <c r="K18" s="1060">
        <f>C22</f>
        <v>1400000</v>
      </c>
      <c r="L18" s="670"/>
      <c r="Q18" s="1027"/>
      <c r="R18" s="1061">
        <v>44927</v>
      </c>
      <c r="S18" s="1061">
        <v>45016</v>
      </c>
      <c r="T18" s="1061">
        <v>45016</v>
      </c>
      <c r="U18" s="1061">
        <v>45016</v>
      </c>
      <c r="V18" s="1061">
        <v>45016</v>
      </c>
      <c r="W18" s="1061">
        <v>45016</v>
      </c>
      <c r="X18" s="1061">
        <v>45016</v>
      </c>
    </row>
    <row r="19" spans="1:24">
      <c r="B19" s="1041"/>
      <c r="C19" s="1038"/>
      <c r="D19" s="1038"/>
      <c r="H19" s="1027" t="s">
        <v>937</v>
      </c>
      <c r="I19" s="1026">
        <f>I18-I17</f>
        <v>100000</v>
      </c>
      <c r="J19" s="1026">
        <f>J18-J17</f>
        <v>100625</v>
      </c>
      <c r="K19" s="1026">
        <f>K18-K17</f>
        <v>300000</v>
      </c>
      <c r="L19" s="670"/>
      <c r="Q19" s="1027" t="s">
        <v>938</v>
      </c>
      <c r="R19" s="1026">
        <f>K63</f>
        <v>4100000</v>
      </c>
      <c r="S19" s="1026">
        <f>R19+I73/4+I74/4-C28/4-D28/4</f>
        <v>4140888.75</v>
      </c>
      <c r="T19" s="1026">
        <f>C54</f>
        <v>4250000</v>
      </c>
      <c r="U19" s="981">
        <f>C58-C57</f>
        <v>20000</v>
      </c>
      <c r="V19" s="981">
        <f t="shared" ref="V19:V24" si="0">T19+U19</f>
        <v>4270000</v>
      </c>
      <c r="W19" s="981">
        <f>W20</f>
        <v>-820000</v>
      </c>
      <c r="X19" s="981">
        <f t="shared" ref="X19:X24" si="1">V19+W19</f>
        <v>3450000</v>
      </c>
    </row>
    <row r="20" spans="1:24">
      <c r="B20" s="1041" t="s">
        <v>1372</v>
      </c>
      <c r="C20" s="1038"/>
      <c r="D20" s="1038"/>
      <c r="H20" s="1027" t="s">
        <v>1031</v>
      </c>
      <c r="I20" s="1026">
        <f>C14</f>
        <v>30000</v>
      </c>
      <c r="J20" s="1026">
        <f>I20-I32</f>
        <v>26500</v>
      </c>
      <c r="K20" s="1029">
        <f>J20</f>
        <v>26500</v>
      </c>
      <c r="L20" s="670"/>
      <c r="Q20" s="1027" t="s">
        <v>541</v>
      </c>
      <c r="R20" s="1060">
        <f>K64</f>
        <v>4250000</v>
      </c>
      <c r="S20" s="1060">
        <f>R20-I75/4-(C28+D28)/4</f>
        <v>4206778.125</v>
      </c>
      <c r="T20" s="1060">
        <f>C55</f>
        <v>4300000</v>
      </c>
      <c r="U20" s="994">
        <v>0</v>
      </c>
      <c r="V20" s="1022">
        <f t="shared" si="0"/>
        <v>4300000</v>
      </c>
      <c r="W20" s="1022">
        <f>-C58</f>
        <v>-820000</v>
      </c>
      <c r="X20" s="1022">
        <f t="shared" si="1"/>
        <v>3480000</v>
      </c>
    </row>
    <row r="21" spans="1:24">
      <c r="B21" s="1039" t="s">
        <v>769</v>
      </c>
      <c r="C21" s="1045">
        <v>1100000</v>
      </c>
      <c r="D21" s="1045">
        <v>3000000</v>
      </c>
      <c r="H21" s="1027" t="s">
        <v>762</v>
      </c>
      <c r="I21" s="1060">
        <f>C17</f>
        <v>-300000</v>
      </c>
      <c r="J21" s="1060">
        <f>I21-I33</f>
        <v>-283000</v>
      </c>
      <c r="K21" s="1060">
        <f>K22-K20-K19</f>
        <v>-482375</v>
      </c>
      <c r="L21" s="670"/>
      <c r="Q21" s="1027" t="s">
        <v>937</v>
      </c>
      <c r="R21" s="1026">
        <f>R20-R19</f>
        <v>150000</v>
      </c>
      <c r="S21" s="1026">
        <f>S20-S19</f>
        <v>65889.375</v>
      </c>
      <c r="T21" s="1026">
        <f>T20-T19</f>
        <v>50000</v>
      </c>
      <c r="U21" s="1026">
        <f>U20-U19</f>
        <v>-20000</v>
      </c>
      <c r="V21" s="981">
        <f t="shared" si="0"/>
        <v>30000</v>
      </c>
      <c r="W21" s="1026">
        <f>W20-W19</f>
        <v>0</v>
      </c>
      <c r="X21" s="981">
        <f t="shared" si="1"/>
        <v>30000</v>
      </c>
    </row>
    <row r="22" spans="1:24">
      <c r="B22" s="1039" t="s">
        <v>1341</v>
      </c>
      <c r="C22" s="1045">
        <v>1400000</v>
      </c>
      <c r="D22" s="1045">
        <v>2850000</v>
      </c>
      <c r="H22" s="1027" t="s">
        <v>1030</v>
      </c>
      <c r="I22" s="1026">
        <f>SUM(I19:I21)</f>
        <v>-170000</v>
      </c>
      <c r="J22" s="1026">
        <f>SUM(J19:J21)</f>
        <v>-155875</v>
      </c>
      <c r="K22" s="1026">
        <f>J22</f>
        <v>-155875</v>
      </c>
      <c r="L22" s="670"/>
      <c r="Q22" s="1027" t="s">
        <v>1031</v>
      </c>
      <c r="R22" s="1026">
        <f>K66</f>
        <v>118500</v>
      </c>
      <c r="S22" s="1026">
        <f>R22-I77/4</f>
        <v>115625</v>
      </c>
      <c r="T22" s="1029">
        <f>S22</f>
        <v>115625</v>
      </c>
      <c r="U22" s="560">
        <v>0</v>
      </c>
      <c r="V22" s="981">
        <f t="shared" si="0"/>
        <v>115625</v>
      </c>
      <c r="W22" s="1024">
        <v>0</v>
      </c>
      <c r="X22" s="981">
        <f t="shared" si="1"/>
        <v>115625</v>
      </c>
    </row>
    <row r="23" spans="1:24">
      <c r="B23" s="1039" t="s">
        <v>1005</v>
      </c>
      <c r="C23" s="1045">
        <v>125000</v>
      </c>
      <c r="D23" s="1045">
        <v>360000</v>
      </c>
      <c r="H23" s="1027"/>
      <c r="I23" s="1059" t="s">
        <v>112</v>
      </c>
      <c r="J23" s="1058">
        <f>I22-I34+C31</f>
        <v>-155875</v>
      </c>
      <c r="K23" s="1028"/>
      <c r="L23" s="670"/>
      <c r="Q23" s="1027" t="s">
        <v>762</v>
      </c>
      <c r="R23" s="1060">
        <f>K67</f>
        <v>-98250</v>
      </c>
      <c r="S23" s="1060">
        <f>R23-I78/4</f>
        <v>-98250</v>
      </c>
      <c r="T23" s="1060">
        <f>T24-T22-T21</f>
        <v>-82360.625</v>
      </c>
      <c r="U23" s="1060">
        <f>U24-U22-U21</f>
        <v>20000</v>
      </c>
      <c r="V23" s="1022">
        <f t="shared" si="0"/>
        <v>-62360.625</v>
      </c>
      <c r="W23" s="1065">
        <f>ROUND(W19/V19*V23,0)</f>
        <v>11976</v>
      </c>
      <c r="X23" s="1022">
        <f t="shared" si="1"/>
        <v>-50384.625</v>
      </c>
    </row>
    <row r="24" spans="1:24">
      <c r="B24" s="1039" t="s">
        <v>1371</v>
      </c>
      <c r="C24" s="1047">
        <v>10</v>
      </c>
      <c r="D24" s="1047">
        <v>10</v>
      </c>
      <c r="H24" s="1027"/>
      <c r="J24" s="1057"/>
      <c r="K24" s="1052"/>
      <c r="L24" s="670"/>
      <c r="Q24" s="1027" t="s">
        <v>1030</v>
      </c>
      <c r="R24" s="1026">
        <f>SUM(R21:R23)</f>
        <v>170250</v>
      </c>
      <c r="S24" s="1026">
        <f>SUM(S21:S23)</f>
        <v>83264.375</v>
      </c>
      <c r="T24" s="1026">
        <f>S24</f>
        <v>83264.375</v>
      </c>
      <c r="U24" s="560">
        <v>0</v>
      </c>
      <c r="V24" s="981">
        <f t="shared" si="0"/>
        <v>83264.375</v>
      </c>
      <c r="W24" s="981">
        <f>W23</f>
        <v>11976</v>
      </c>
      <c r="X24" s="981">
        <f t="shared" si="1"/>
        <v>95240.375</v>
      </c>
    </row>
    <row r="25" spans="1:24">
      <c r="A25" s="1010"/>
      <c r="B25" s="1041"/>
      <c r="C25" s="1043"/>
      <c r="D25" s="1043"/>
      <c r="H25" s="1027"/>
      <c r="J25" s="1057"/>
      <c r="K25" s="1052"/>
      <c r="L25" s="670"/>
      <c r="Q25" s="1027"/>
      <c r="S25" s="981"/>
      <c r="T25" s="1028"/>
      <c r="V25" s="560"/>
      <c r="W25" s="560"/>
      <c r="X25" s="981"/>
    </row>
    <row r="26" spans="1:24">
      <c r="A26" s="1010"/>
      <c r="B26" s="1041" t="s">
        <v>1204</v>
      </c>
      <c r="C26" s="1038"/>
      <c r="D26" s="1038"/>
      <c r="H26" s="1064"/>
      <c r="J26" s="981"/>
      <c r="K26" s="1028"/>
      <c r="L26" s="670"/>
      <c r="Q26" s="560" t="s">
        <v>51</v>
      </c>
      <c r="R26" s="565">
        <f>K45</f>
        <v>2.5999999999999999E-2</v>
      </c>
      <c r="S26" s="565"/>
      <c r="T26" s="565"/>
      <c r="V26" s="560"/>
      <c r="W26" s="560"/>
      <c r="X26" s="560"/>
    </row>
    <row r="27" spans="1:24" ht="31.2">
      <c r="A27" s="1010"/>
      <c r="B27" s="1044">
        <v>2022</v>
      </c>
      <c r="C27" s="1045">
        <v>150000</v>
      </c>
      <c r="D27" s="1045">
        <v>250000</v>
      </c>
      <c r="H27" s="1063" t="s">
        <v>1381</v>
      </c>
      <c r="I27" s="993"/>
      <c r="J27" s="993"/>
      <c r="K27" s="1028"/>
      <c r="L27" s="670"/>
      <c r="V27" s="673" t="s">
        <v>1391</v>
      </c>
      <c r="W27" s="1062">
        <f>ROUND(W19/V19,4)</f>
        <v>-0.192</v>
      </c>
      <c r="X27" s="560"/>
    </row>
    <row r="28" spans="1:24">
      <c r="B28" s="1044">
        <v>2023</v>
      </c>
      <c r="C28" s="1045">
        <v>160000</v>
      </c>
      <c r="D28" s="1045">
        <v>275000</v>
      </c>
      <c r="H28" s="993" t="s">
        <v>1005</v>
      </c>
      <c r="I28" s="990">
        <f>C13*(1+C35)</f>
        <v>102499.99999999999</v>
      </c>
      <c r="L28" s="670"/>
      <c r="Q28" s="560" t="s">
        <v>1390</v>
      </c>
      <c r="V28" s="560"/>
      <c r="W28" s="1005"/>
      <c r="X28" s="560"/>
    </row>
    <row r="29" spans="1:24">
      <c r="B29" s="1041"/>
      <c r="C29" s="1046"/>
      <c r="D29" s="1046"/>
      <c r="H29" s="993" t="s">
        <v>1041</v>
      </c>
      <c r="I29" s="990">
        <f>(C11*C35-C27*C35/2)</f>
        <v>28125</v>
      </c>
      <c r="L29" s="670"/>
      <c r="V29" s="560"/>
      <c r="W29" s="560"/>
      <c r="X29" s="560"/>
    </row>
    <row r="30" spans="1:24">
      <c r="B30" s="1041" t="s">
        <v>1370</v>
      </c>
      <c r="C30" s="1042"/>
      <c r="D30" s="1042"/>
      <c r="E30" s="1033"/>
      <c r="H30" s="993" t="s">
        <v>770</v>
      </c>
      <c r="I30" s="990">
        <f>-C12*C37+C27/2*C37-C31*C37/2</f>
        <v>-81250</v>
      </c>
      <c r="J30" s="1054"/>
      <c r="L30" s="670"/>
      <c r="V30" s="560"/>
      <c r="W30" s="560"/>
      <c r="X30" s="560"/>
    </row>
    <row r="31" spans="1:24">
      <c r="B31" s="1044">
        <v>2022</v>
      </c>
      <c r="C31" s="1045">
        <v>50000</v>
      </c>
      <c r="D31" s="1043" t="s">
        <v>59</v>
      </c>
      <c r="H31" s="993" t="s">
        <v>1379</v>
      </c>
      <c r="I31" s="993"/>
      <c r="L31" s="670"/>
      <c r="V31" s="560"/>
      <c r="W31" s="560"/>
      <c r="X31" s="560"/>
    </row>
    <row r="32" spans="1:24">
      <c r="B32" s="1044">
        <v>2023</v>
      </c>
      <c r="C32" s="1043" t="s">
        <v>59</v>
      </c>
      <c r="D32" s="1043" t="s">
        <v>59</v>
      </c>
      <c r="H32" s="1051" t="s">
        <v>1380</v>
      </c>
      <c r="I32" s="990">
        <f>C15</f>
        <v>3500</v>
      </c>
      <c r="L32" s="670"/>
      <c r="Q32" s="573" t="s">
        <v>1389</v>
      </c>
      <c r="S32" s="981">
        <f>T23</f>
        <v>-82360.625</v>
      </c>
      <c r="V32" s="560"/>
      <c r="W32" s="560"/>
      <c r="X32" s="560"/>
    </row>
    <row r="33" spans="1:24">
      <c r="B33" s="1041"/>
      <c r="C33" s="1042"/>
      <c r="D33" s="1042"/>
      <c r="H33" s="1051" t="s">
        <v>1378</v>
      </c>
      <c r="I33" s="990">
        <f>-ROUND((ABS(C17)-0.1*MAX(C12,C11))/C18,0)</f>
        <v>-17000</v>
      </c>
      <c r="Q33" s="560" t="s">
        <v>1388</v>
      </c>
      <c r="S33" s="981">
        <f>U23</f>
        <v>20000</v>
      </c>
      <c r="V33" s="560"/>
      <c r="W33" s="560"/>
      <c r="X33" s="560"/>
    </row>
    <row r="34" spans="1:24">
      <c r="B34" s="1041" t="s">
        <v>84</v>
      </c>
      <c r="C34" s="1038"/>
      <c r="D34" s="1038"/>
      <c r="H34" s="993" t="s">
        <v>1205</v>
      </c>
      <c r="I34" s="990">
        <f>SUM(I28:I33)</f>
        <v>35874.999999999985</v>
      </c>
      <c r="L34" s="670"/>
      <c r="Q34" s="560" t="s">
        <v>1387</v>
      </c>
      <c r="S34" s="981">
        <f>SUM(S32:S33)</f>
        <v>-62360.625</v>
      </c>
      <c r="V34" s="560"/>
      <c r="W34" s="560"/>
      <c r="X34" s="560"/>
    </row>
    <row r="35" spans="1:24">
      <c r="B35" s="1039" t="s">
        <v>1369</v>
      </c>
      <c r="C35" s="1040">
        <v>2.5000000000000001E-2</v>
      </c>
      <c r="D35" s="1040">
        <v>0.03</v>
      </c>
      <c r="L35" s="670"/>
      <c r="V35" s="560"/>
      <c r="W35" s="560"/>
      <c r="X35" s="560"/>
    </row>
    <row r="36" spans="1:24">
      <c r="B36" s="1039" t="s">
        <v>1368</v>
      </c>
      <c r="C36" s="1671">
        <v>2.5999999999999999E-2</v>
      </c>
      <c r="D36" s="1671"/>
      <c r="J36" s="562"/>
      <c r="L36" s="670"/>
      <c r="Q36" s="560" t="s">
        <v>1386</v>
      </c>
      <c r="S36" s="981">
        <f>T19</f>
        <v>4250000</v>
      </c>
      <c r="V36" s="560"/>
      <c r="W36" s="560"/>
      <c r="X36" s="560"/>
    </row>
    <row r="37" spans="1:24">
      <c r="B37" s="1039" t="s">
        <v>770</v>
      </c>
      <c r="C37" s="1040">
        <v>6.5000000000000002E-2</v>
      </c>
      <c r="D37" s="1040">
        <v>6.5000000000000002E-2</v>
      </c>
      <c r="H37" s="603" t="s">
        <v>1385</v>
      </c>
      <c r="J37" s="560" t="s">
        <v>533</v>
      </c>
      <c r="K37" s="560" t="s">
        <v>534</v>
      </c>
      <c r="L37" s="670"/>
      <c r="Q37" s="560" t="s">
        <v>1384</v>
      </c>
      <c r="S37" s="981">
        <f>S33</f>
        <v>20000</v>
      </c>
      <c r="V37" s="560"/>
      <c r="W37" s="560"/>
      <c r="X37" s="560"/>
    </row>
    <row r="38" spans="1:24">
      <c r="B38" s="1039" t="s">
        <v>1367</v>
      </c>
      <c r="C38" s="1038" t="s">
        <v>1366</v>
      </c>
      <c r="D38" s="1038" t="s">
        <v>1366</v>
      </c>
      <c r="H38" s="1027"/>
      <c r="I38" s="1061">
        <v>44562</v>
      </c>
      <c r="J38" s="1061">
        <v>44926</v>
      </c>
      <c r="K38" s="1061">
        <v>44927</v>
      </c>
      <c r="L38" s="670"/>
      <c r="Q38" s="560" t="s">
        <v>1383</v>
      </c>
      <c r="S38" s="981">
        <f>SUM(S36:S37)</f>
        <v>4270000</v>
      </c>
      <c r="V38" s="560"/>
      <c r="W38" s="560"/>
      <c r="X38" s="560"/>
    </row>
    <row r="39" spans="1:24">
      <c r="B39" s="1039" t="s">
        <v>1338</v>
      </c>
      <c r="C39" s="1038" t="s">
        <v>763</v>
      </c>
      <c r="D39" s="1038" t="s">
        <v>763</v>
      </c>
      <c r="H39" s="1027" t="s">
        <v>938</v>
      </c>
      <c r="I39" s="1026">
        <f>D11</f>
        <v>2900000</v>
      </c>
      <c r="J39" s="1026">
        <f>I39+I52-D27+I51</f>
        <v>3042250</v>
      </c>
      <c r="K39" s="1026">
        <f>D21</f>
        <v>3000000</v>
      </c>
      <c r="L39" s="670"/>
      <c r="Q39" s="560" t="s">
        <v>1382</v>
      </c>
      <c r="S39" s="981">
        <f>X19</f>
        <v>3450000</v>
      </c>
      <c r="V39" s="560"/>
      <c r="W39" s="560"/>
      <c r="X39" s="560"/>
    </row>
    <row r="40" spans="1:24">
      <c r="B40" s="1039" t="s">
        <v>1337</v>
      </c>
      <c r="C40" s="1038" t="s">
        <v>763</v>
      </c>
      <c r="D40" s="1038" t="s">
        <v>763</v>
      </c>
      <c r="H40" s="1027" t="s">
        <v>541</v>
      </c>
      <c r="I40" s="1060">
        <f>D12</f>
        <v>2700000</v>
      </c>
      <c r="J40" s="1060">
        <f>I40-I53-D27+0</f>
        <v>2617375</v>
      </c>
      <c r="K40" s="1060">
        <f>D22</f>
        <v>2850000</v>
      </c>
      <c r="L40" s="670"/>
      <c r="Q40" s="560" t="s">
        <v>1032</v>
      </c>
      <c r="S40" s="981">
        <f>S36-S39+S37</f>
        <v>820000</v>
      </c>
      <c r="V40" s="560"/>
      <c r="W40" s="560"/>
      <c r="X40" s="560"/>
    </row>
    <row r="41" spans="1:24" s="3" customFormat="1">
      <c r="A41" s="2"/>
      <c r="B41" s="2"/>
      <c r="C41" s="2"/>
      <c r="D41" s="2"/>
      <c r="E41" s="2"/>
      <c r="G41" s="560"/>
      <c r="H41" s="1027" t="s">
        <v>937</v>
      </c>
      <c r="I41" s="1026">
        <f>I40-I39</f>
        <v>-200000</v>
      </c>
      <c r="J41" s="1026">
        <f>J40-J39</f>
        <v>-424875</v>
      </c>
      <c r="K41" s="1026">
        <f>K40-K39</f>
        <v>-150000</v>
      </c>
      <c r="L41" s="670"/>
      <c r="M41" s="560"/>
      <c r="N41" s="561"/>
      <c r="O41" s="560"/>
      <c r="P41" s="560"/>
      <c r="Q41" s="560" t="s">
        <v>1350</v>
      </c>
      <c r="R41" s="560"/>
      <c r="S41" s="1005">
        <f>S40/(S38)*S34</f>
        <v>-11975.576697892271</v>
      </c>
      <c r="T41" s="560"/>
      <c r="U41" s="560"/>
      <c r="V41" s="560"/>
      <c r="W41" s="560"/>
      <c r="X41" s="560"/>
    </row>
    <row r="42" spans="1:24" s="3" customFormat="1">
      <c r="A42" s="2" t="s">
        <v>6</v>
      </c>
      <c r="B42" s="1672" t="s">
        <v>1365</v>
      </c>
      <c r="C42" s="1672"/>
      <c r="D42" s="1672"/>
      <c r="E42" s="2"/>
      <c r="G42" s="560"/>
      <c r="H42" s="1027" t="s">
        <v>1031</v>
      </c>
      <c r="I42" s="1026">
        <f>D14</f>
        <v>100000</v>
      </c>
      <c r="J42" s="1026">
        <f>I42-I55</f>
        <v>92000</v>
      </c>
      <c r="K42" s="1029">
        <f>J42</f>
        <v>92000</v>
      </c>
      <c r="L42" s="670"/>
      <c r="M42" s="560"/>
      <c r="N42" s="561"/>
      <c r="O42" s="560"/>
      <c r="P42" s="560"/>
      <c r="Q42" s="560"/>
      <c r="R42" s="560"/>
      <c r="S42" s="560"/>
      <c r="T42" s="560"/>
      <c r="U42" s="560"/>
      <c r="V42" s="560"/>
      <c r="W42" s="560"/>
      <c r="X42" s="560"/>
    </row>
    <row r="43" spans="1:24" s="3" customFormat="1">
      <c r="A43" s="2"/>
      <c r="B43" s="1672"/>
      <c r="C43" s="1672"/>
      <c r="D43" s="1672"/>
      <c r="E43" s="2"/>
      <c r="G43" s="560"/>
      <c r="H43" s="1027" t="s">
        <v>762</v>
      </c>
      <c r="I43" s="1060">
        <f>D17</f>
        <v>700000</v>
      </c>
      <c r="J43" s="1060">
        <f>I43-I56</f>
        <v>659000</v>
      </c>
      <c r="K43" s="1060">
        <f>K44-K42-K41</f>
        <v>384125</v>
      </c>
      <c r="L43" s="560"/>
      <c r="M43" s="560"/>
      <c r="N43" s="561"/>
      <c r="O43" s="560"/>
      <c r="P43" s="560"/>
      <c r="Q43" s="560"/>
      <c r="R43" s="560"/>
      <c r="S43" s="560"/>
      <c r="T43" s="560"/>
      <c r="U43" s="560"/>
      <c r="V43" s="560"/>
      <c r="W43" s="560"/>
      <c r="X43" s="560"/>
    </row>
    <row r="44" spans="1:24" s="3" customFormat="1">
      <c r="A44" s="2"/>
      <c r="B44" s="2"/>
      <c r="C44" s="2"/>
      <c r="D44" s="2"/>
      <c r="E44" s="2"/>
      <c r="G44" s="560"/>
      <c r="H44" s="1027" t="s">
        <v>1030</v>
      </c>
      <c r="I44" s="1026">
        <f>SUM(I41:I43)</f>
        <v>600000</v>
      </c>
      <c r="J44" s="1026">
        <f>SUM(J41:J43)</f>
        <v>326125</v>
      </c>
      <c r="K44" s="1026">
        <f>J44</f>
        <v>326125</v>
      </c>
      <c r="L44" s="560"/>
      <c r="M44" s="560"/>
      <c r="N44" s="561"/>
      <c r="O44" s="560"/>
      <c r="P44" s="560"/>
      <c r="Q44" s="560"/>
      <c r="R44" s="560"/>
      <c r="S44" s="560"/>
      <c r="T44" s="560"/>
      <c r="U44" s="560"/>
      <c r="V44" s="561"/>
    </row>
    <row r="45" spans="1:24" s="3" customFormat="1">
      <c r="A45" s="2"/>
      <c r="B45" s="1010" t="s">
        <v>683</v>
      </c>
      <c r="C45" s="2"/>
      <c r="D45" s="2"/>
      <c r="E45" s="2"/>
      <c r="G45" s="560"/>
      <c r="H45" s="1027" t="s">
        <v>771</v>
      </c>
      <c r="I45" s="1028">
        <f>D35</f>
        <v>0.03</v>
      </c>
      <c r="J45" s="1028">
        <f>I45</f>
        <v>0.03</v>
      </c>
      <c r="K45" s="1028">
        <f>+C36</f>
        <v>2.5999999999999999E-2</v>
      </c>
      <c r="L45" s="560"/>
      <c r="M45" s="560"/>
      <c r="N45" s="561"/>
      <c r="O45" s="560"/>
      <c r="P45" s="560"/>
      <c r="Q45" s="560"/>
      <c r="R45" s="560"/>
      <c r="S45" s="560"/>
      <c r="T45" s="560"/>
      <c r="U45" s="560"/>
      <c r="V45" s="561"/>
    </row>
    <row r="46" spans="1:24" s="3" customFormat="1">
      <c r="A46" s="2"/>
      <c r="B46" s="1037"/>
      <c r="C46" s="2"/>
      <c r="D46" s="2"/>
      <c r="E46" s="2"/>
      <c r="G46" s="560"/>
      <c r="H46" s="560"/>
      <c r="I46" s="1059" t="s">
        <v>112</v>
      </c>
      <c r="J46" s="1058">
        <f>I44-I57+D33</f>
        <v>326125</v>
      </c>
      <c r="K46" s="560"/>
      <c r="L46" s="560"/>
      <c r="M46" s="560"/>
      <c r="N46" s="561"/>
      <c r="O46" s="560"/>
      <c r="P46" s="560"/>
      <c r="Q46" s="560"/>
      <c r="R46" s="560"/>
      <c r="S46" s="560"/>
      <c r="T46" s="560"/>
      <c r="U46" s="560"/>
      <c r="V46" s="561"/>
    </row>
    <row r="47" spans="1:24" s="3" customFormat="1" ht="16.2">
      <c r="A47" s="2"/>
      <c r="B47" s="29" t="s">
        <v>32</v>
      </c>
      <c r="C47" s="2"/>
      <c r="D47" s="2"/>
      <c r="E47" s="2"/>
      <c r="G47" s="560"/>
      <c r="H47" s="560"/>
      <c r="I47" s="560"/>
      <c r="J47" s="1057"/>
      <c r="K47" s="1052"/>
      <c r="L47" s="560"/>
      <c r="M47" s="560"/>
      <c r="N47" s="561"/>
      <c r="O47" s="560"/>
      <c r="P47" s="560"/>
      <c r="Q47" s="560"/>
      <c r="R47" s="560"/>
      <c r="S47" s="560"/>
      <c r="T47" s="560"/>
      <c r="U47" s="560"/>
      <c r="V47" s="561"/>
    </row>
    <row r="48" spans="1:24" s="3" customFormat="1">
      <c r="A48" s="2"/>
      <c r="B48" s="2"/>
      <c r="C48" s="2"/>
      <c r="D48" s="2"/>
      <c r="E48" s="2"/>
      <c r="G48" s="560"/>
      <c r="H48" s="560"/>
      <c r="I48" s="560"/>
      <c r="J48" s="1057"/>
      <c r="K48" s="1052"/>
      <c r="L48" s="560"/>
      <c r="M48" s="560"/>
      <c r="N48" s="561"/>
      <c r="O48" s="560"/>
      <c r="P48" s="560"/>
      <c r="Q48" s="560"/>
      <c r="R48" s="560"/>
      <c r="S48" s="560"/>
      <c r="T48" s="560"/>
      <c r="U48" s="560"/>
      <c r="V48" s="561"/>
    </row>
    <row r="49" spans="1:22" s="3" customFormat="1">
      <c r="A49" s="1010" t="s">
        <v>1364</v>
      </c>
      <c r="B49" s="2"/>
      <c r="C49" s="2"/>
      <c r="D49" s="2"/>
      <c r="E49" s="2"/>
      <c r="G49" s="560"/>
      <c r="H49" s="1056" t="s">
        <v>1381</v>
      </c>
      <c r="I49" s="560"/>
      <c r="J49" s="560"/>
      <c r="K49" s="560"/>
      <c r="L49" s="560"/>
      <c r="M49" s="560"/>
      <c r="N49" s="561"/>
      <c r="O49" s="560"/>
      <c r="P49" s="560"/>
      <c r="Q49" s="560"/>
      <c r="R49" s="560"/>
      <c r="S49" s="560"/>
      <c r="T49" s="560"/>
      <c r="U49" s="560"/>
      <c r="V49" s="561"/>
    </row>
    <row r="50" spans="1:22" s="3" customFormat="1">
      <c r="A50" s="1010"/>
      <c r="B50" s="2"/>
      <c r="C50" s="2"/>
      <c r="D50" s="2"/>
      <c r="E50" s="2"/>
      <c r="G50" s="560"/>
      <c r="H50" s="560"/>
      <c r="I50" s="560"/>
      <c r="J50" s="560"/>
      <c r="K50" s="560"/>
      <c r="L50" s="560"/>
      <c r="M50" s="560"/>
      <c r="N50" s="561"/>
      <c r="O50" s="560"/>
      <c r="P50" s="560"/>
      <c r="Q50" s="560"/>
      <c r="R50" s="560"/>
      <c r="S50" s="560"/>
      <c r="T50" s="560"/>
      <c r="U50" s="560"/>
      <c r="V50" s="561"/>
    </row>
    <row r="51" spans="1:22" s="3" customFormat="1">
      <c r="A51" s="1010" t="s">
        <v>1196</v>
      </c>
      <c r="B51" s="2"/>
      <c r="C51" s="2"/>
      <c r="D51" s="2"/>
      <c r="E51" s="2"/>
      <c r="G51" s="560"/>
      <c r="H51" s="993" t="s">
        <v>1005</v>
      </c>
      <c r="I51" s="990">
        <f>D13*(1+D35)</f>
        <v>309000</v>
      </c>
      <c r="J51" s="1054"/>
      <c r="K51" s="560"/>
      <c r="L51" s="560"/>
      <c r="M51" s="560"/>
      <c r="N51" s="561"/>
      <c r="O51" s="560"/>
      <c r="P51" s="560"/>
      <c r="Q51" s="560"/>
      <c r="R51" s="560"/>
      <c r="S51" s="560"/>
      <c r="T51" s="560"/>
      <c r="U51" s="560"/>
      <c r="V51" s="561"/>
    </row>
    <row r="52" spans="1:22" s="3" customFormat="1">
      <c r="A52" s="1010"/>
      <c r="B52" s="2"/>
      <c r="C52" s="2"/>
      <c r="D52" s="2"/>
      <c r="E52" s="2"/>
      <c r="G52" s="560"/>
      <c r="H52" s="993" t="s">
        <v>1041</v>
      </c>
      <c r="I52" s="990">
        <f>ROUND(D11*D35-D35/2*D27,0)</f>
        <v>83250</v>
      </c>
      <c r="J52" s="560"/>
      <c r="K52" s="560"/>
      <c r="L52" s="560"/>
      <c r="M52" s="560"/>
      <c r="N52" s="561"/>
      <c r="O52" s="560"/>
      <c r="P52" s="560"/>
      <c r="Q52" s="560"/>
      <c r="R52" s="560"/>
      <c r="S52" s="560"/>
      <c r="T52" s="560"/>
      <c r="U52" s="560"/>
      <c r="V52" s="561"/>
    </row>
    <row r="53" spans="1:22" s="3" customFormat="1">
      <c r="A53" s="2"/>
      <c r="B53" s="1035"/>
      <c r="C53" s="1036" t="s">
        <v>1334</v>
      </c>
      <c r="D53" s="2"/>
      <c r="E53" s="2"/>
      <c r="G53" s="560"/>
      <c r="H53" s="993" t="s">
        <v>770</v>
      </c>
      <c r="I53" s="1055">
        <f>-D12*D37+D27/2*D37-0*D37</f>
        <v>-167375</v>
      </c>
      <c r="J53" s="1054"/>
      <c r="K53" s="560"/>
      <c r="L53" s="560"/>
      <c r="M53" s="560"/>
      <c r="N53" s="561"/>
      <c r="O53" s="560"/>
      <c r="P53" s="560"/>
      <c r="Q53" s="560"/>
      <c r="R53" s="560"/>
      <c r="S53" s="560"/>
      <c r="T53" s="560"/>
      <c r="U53" s="560"/>
      <c r="V53" s="561"/>
    </row>
    <row r="54" spans="1:22" s="3" customFormat="1" ht="31.2">
      <c r="A54" s="2"/>
      <c r="B54" s="590" t="s">
        <v>1363</v>
      </c>
      <c r="C54" s="713">
        <v>4250000</v>
      </c>
      <c r="D54" s="2"/>
      <c r="E54" s="2"/>
      <c r="G54" s="560"/>
      <c r="H54" s="993" t="s">
        <v>1379</v>
      </c>
      <c r="I54" s="993"/>
      <c r="J54" s="560"/>
      <c r="K54" s="560"/>
      <c r="L54" s="560"/>
      <c r="M54" s="560"/>
      <c r="N54" s="561"/>
      <c r="O54" s="560"/>
      <c r="P54" s="560"/>
      <c r="Q54" s="560"/>
      <c r="R54" s="560"/>
      <c r="S54" s="560"/>
      <c r="T54" s="560"/>
      <c r="U54" s="560"/>
      <c r="V54" s="561"/>
    </row>
    <row r="55" spans="1:22" s="3" customFormat="1">
      <c r="A55" s="2"/>
      <c r="B55" s="590" t="s">
        <v>1332</v>
      </c>
      <c r="C55" s="713">
        <v>4300000</v>
      </c>
      <c r="D55" s="2"/>
      <c r="E55" s="2"/>
      <c r="G55" s="560"/>
      <c r="H55" s="1051" t="s">
        <v>1380</v>
      </c>
      <c r="I55" s="990">
        <f>D15</f>
        <v>8000</v>
      </c>
      <c r="J55" s="560"/>
      <c r="K55" s="560"/>
      <c r="L55" s="560"/>
      <c r="M55" s="560"/>
      <c r="N55" s="561"/>
      <c r="O55" s="560"/>
      <c r="P55" s="560"/>
      <c r="Q55" s="560"/>
      <c r="R55" s="560"/>
      <c r="S55" s="560"/>
      <c r="T55" s="560"/>
      <c r="U55" s="560"/>
      <c r="V55" s="561"/>
    </row>
    <row r="56" spans="1:22" s="3" customFormat="1">
      <c r="A56" s="2"/>
      <c r="B56" s="590"/>
      <c r="C56" s="712"/>
      <c r="D56" s="2"/>
      <c r="E56" s="2"/>
      <c r="G56" s="560"/>
      <c r="H56" s="1051" t="s">
        <v>1378</v>
      </c>
      <c r="I56" s="990">
        <f>ROUND((D17-0.1*MAX(D12,D11))/D18,0)</f>
        <v>41000</v>
      </c>
      <c r="J56" s="560"/>
      <c r="K56" s="560"/>
      <c r="L56" s="560"/>
      <c r="M56" s="560"/>
      <c r="N56" s="561"/>
      <c r="O56" s="560"/>
      <c r="P56" s="560"/>
      <c r="Q56" s="560"/>
      <c r="R56" s="560"/>
      <c r="S56" s="560"/>
      <c r="T56" s="560"/>
      <c r="U56" s="560"/>
      <c r="V56" s="561"/>
    </row>
    <row r="57" spans="1:22" s="3" customFormat="1">
      <c r="A57" s="2"/>
      <c r="B57" s="590" t="s">
        <v>1362</v>
      </c>
      <c r="C57" s="713">
        <v>800000</v>
      </c>
      <c r="D57" s="2"/>
      <c r="E57" s="2"/>
      <c r="G57" s="560"/>
      <c r="H57" s="993" t="s">
        <v>1205</v>
      </c>
      <c r="I57" s="990">
        <f>SUM(I51:I56)</f>
        <v>273875</v>
      </c>
      <c r="J57" s="560"/>
      <c r="K57" s="560"/>
      <c r="L57" s="560"/>
      <c r="M57" s="560"/>
      <c r="N57" s="561"/>
      <c r="O57" s="560"/>
      <c r="P57" s="560"/>
      <c r="Q57" s="560"/>
      <c r="R57" s="560"/>
      <c r="S57" s="560"/>
      <c r="T57" s="560"/>
      <c r="U57" s="560"/>
      <c r="V57" s="561"/>
    </row>
    <row r="58" spans="1:22" s="3" customFormat="1">
      <c r="A58" s="2"/>
      <c r="B58" s="590" t="s">
        <v>1361</v>
      </c>
      <c r="C58" s="713">
        <v>820000</v>
      </c>
      <c r="D58" s="2"/>
      <c r="E58" s="2"/>
      <c r="G58" s="560"/>
      <c r="H58" s="560"/>
      <c r="I58" s="560"/>
      <c r="J58" s="560"/>
      <c r="K58" s="560"/>
      <c r="L58" s="560"/>
      <c r="M58" s="560"/>
      <c r="N58" s="561"/>
      <c r="O58" s="560"/>
      <c r="P58" s="560"/>
      <c r="Q58" s="560"/>
      <c r="R58" s="560"/>
      <c r="S58" s="560"/>
      <c r="T58" s="560"/>
      <c r="U58" s="560"/>
      <c r="V58" s="561"/>
    </row>
    <row r="59" spans="1:22" s="3" customFormat="1">
      <c r="A59" s="2"/>
      <c r="B59" s="590"/>
      <c r="C59" s="713"/>
      <c r="D59" s="2"/>
      <c r="E59" s="2"/>
      <c r="G59" s="560"/>
      <c r="H59" s="560"/>
      <c r="I59" s="560"/>
      <c r="J59" s="560"/>
      <c r="K59" s="560"/>
      <c r="L59" s="560"/>
      <c r="M59" s="560"/>
      <c r="N59" s="561"/>
      <c r="O59" s="560"/>
      <c r="P59" s="560"/>
      <c r="Q59" s="560"/>
      <c r="R59" s="560"/>
      <c r="S59" s="560"/>
      <c r="T59" s="560"/>
      <c r="U59" s="560"/>
      <c r="V59" s="561"/>
    </row>
    <row r="60" spans="1:22" s="3" customFormat="1">
      <c r="A60" s="2"/>
      <c r="B60" s="1035" t="s">
        <v>84</v>
      </c>
      <c r="C60" s="713"/>
      <c r="D60" s="2"/>
      <c r="E60" s="2"/>
      <c r="G60" s="560"/>
      <c r="H60" s="560"/>
      <c r="I60" s="560"/>
      <c r="J60" s="560"/>
      <c r="K60" s="560"/>
      <c r="L60" s="560"/>
      <c r="M60" s="560"/>
      <c r="N60" s="561"/>
      <c r="O60" s="560"/>
      <c r="P60" s="560"/>
      <c r="Q60" s="560"/>
      <c r="R60" s="560"/>
      <c r="S60" s="560"/>
      <c r="T60" s="560"/>
      <c r="U60" s="560"/>
      <c r="V60" s="561"/>
    </row>
    <row r="61" spans="1:22" s="3" customFormat="1">
      <c r="A61" s="2"/>
      <c r="B61" s="590" t="s">
        <v>771</v>
      </c>
      <c r="C61" s="1034">
        <v>2.5999999999999999E-2</v>
      </c>
      <c r="D61" s="2"/>
      <c r="E61" s="2"/>
      <c r="G61" s="560"/>
      <c r="H61" s="603" t="s">
        <v>1359</v>
      </c>
      <c r="I61" s="560"/>
      <c r="J61" s="560"/>
      <c r="K61" s="560" t="s">
        <v>534</v>
      </c>
      <c r="L61" s="560"/>
      <c r="M61" s="560"/>
      <c r="N61" s="561"/>
      <c r="O61" s="560"/>
      <c r="P61" s="560"/>
      <c r="Q61" s="560"/>
      <c r="R61" s="560"/>
      <c r="S61" s="560"/>
      <c r="T61" s="560"/>
      <c r="U61" s="560"/>
      <c r="V61" s="561"/>
    </row>
    <row r="62" spans="1:22" s="3" customFormat="1">
      <c r="A62" s="2"/>
      <c r="B62" s="1668" t="s">
        <v>1327</v>
      </c>
      <c r="C62" s="1669"/>
      <c r="D62" s="2"/>
      <c r="E62" s="2"/>
      <c r="G62" s="560"/>
      <c r="H62" s="1027"/>
      <c r="I62" s="1031"/>
      <c r="J62" s="1031"/>
      <c r="K62" s="1031">
        <v>44927</v>
      </c>
      <c r="L62" s="560"/>
      <c r="M62" s="560"/>
      <c r="N62" s="561"/>
      <c r="O62" s="560"/>
      <c r="P62" s="560"/>
      <c r="Q62" s="560"/>
      <c r="R62" s="560"/>
      <c r="S62" s="560"/>
      <c r="T62" s="560"/>
      <c r="U62" s="560"/>
      <c r="V62" s="561"/>
    </row>
    <row r="63" spans="1:22" s="3" customFormat="1">
      <c r="A63" s="2"/>
      <c r="B63" s="2"/>
      <c r="C63" s="2"/>
      <c r="D63" s="2"/>
      <c r="E63" s="2"/>
      <c r="G63" s="560"/>
      <c r="H63" s="1027" t="s">
        <v>938</v>
      </c>
      <c r="I63" s="1026"/>
      <c r="J63" s="1026"/>
      <c r="K63" s="1026">
        <f t="shared" ref="K63:K68" si="2">K39+K17</f>
        <v>4100000</v>
      </c>
      <c r="L63" s="560"/>
      <c r="M63" s="560"/>
      <c r="N63" s="561"/>
      <c r="O63" s="560"/>
      <c r="P63" s="560"/>
      <c r="Q63" s="560"/>
      <c r="R63" s="560"/>
      <c r="S63" s="560"/>
      <c r="T63" s="560"/>
      <c r="U63" s="560"/>
      <c r="V63" s="561"/>
    </row>
    <row r="64" spans="1:22" s="3" customFormat="1">
      <c r="A64" s="2" t="s">
        <v>256</v>
      </c>
      <c r="B64" s="999" t="s">
        <v>1360</v>
      </c>
      <c r="C64" s="1033"/>
      <c r="D64" s="1033"/>
      <c r="E64" s="2"/>
      <c r="G64" s="560"/>
      <c r="H64" s="1027" t="s">
        <v>541</v>
      </c>
      <c r="I64" s="1026"/>
      <c r="J64" s="1032"/>
      <c r="K64" s="1026">
        <f t="shared" si="2"/>
        <v>4250000</v>
      </c>
      <c r="L64" s="560"/>
      <c r="M64" s="560"/>
      <c r="N64" s="561"/>
      <c r="O64" s="560"/>
      <c r="P64" s="560"/>
      <c r="Q64" s="560"/>
      <c r="R64" s="560"/>
      <c r="S64" s="560"/>
      <c r="T64" s="560"/>
      <c r="U64" s="560"/>
      <c r="V64" s="561"/>
    </row>
    <row r="65" spans="1:22" s="3" customFormat="1">
      <c r="A65" s="2"/>
      <c r="B65" s="998"/>
      <c r="C65" s="1033"/>
      <c r="D65" s="1033"/>
      <c r="E65" s="2"/>
      <c r="G65" s="560"/>
      <c r="H65" s="1027" t="s">
        <v>937</v>
      </c>
      <c r="I65" s="1026"/>
      <c r="J65" s="1026"/>
      <c r="K65" s="1026">
        <f t="shared" si="2"/>
        <v>150000</v>
      </c>
      <c r="L65" s="560"/>
      <c r="M65" s="560"/>
      <c r="N65" s="561"/>
      <c r="O65" s="560"/>
      <c r="P65" s="560"/>
      <c r="Q65" s="981"/>
      <c r="R65" s="981"/>
      <c r="S65" s="981"/>
      <c r="T65" s="981"/>
      <c r="U65" s="981"/>
      <c r="V65" s="561"/>
    </row>
    <row r="66" spans="1:22" s="3" customFormat="1">
      <c r="A66" s="2"/>
      <c r="B66" s="776" t="s">
        <v>683</v>
      </c>
      <c r="C66" s="1033"/>
      <c r="D66" s="1033"/>
      <c r="E66" s="2"/>
      <c r="G66" s="560"/>
      <c r="H66" s="1027" t="s">
        <v>1031</v>
      </c>
      <c r="I66" s="1026"/>
      <c r="J66" s="1029"/>
      <c r="K66" s="1026">
        <f t="shared" si="2"/>
        <v>118500</v>
      </c>
      <c r="L66" s="560"/>
      <c r="M66" s="560"/>
      <c r="N66" s="561"/>
      <c r="O66" s="560"/>
      <c r="P66" s="560"/>
      <c r="Q66" s="981"/>
      <c r="R66" s="981"/>
      <c r="S66" s="981"/>
      <c r="T66" s="981"/>
      <c r="U66" s="981"/>
      <c r="V66" s="561"/>
    </row>
    <row r="67" spans="1:22" s="3" customFormat="1">
      <c r="A67" s="2"/>
      <c r="B67" s="776"/>
      <c r="C67" s="1033"/>
      <c r="D67" s="1033"/>
      <c r="E67" s="2"/>
      <c r="G67" s="560"/>
      <c r="H67" s="1027" t="s">
        <v>762</v>
      </c>
      <c r="I67" s="1026"/>
      <c r="J67" s="1029"/>
      <c r="K67" s="1026">
        <f t="shared" si="2"/>
        <v>-98250</v>
      </c>
      <c r="L67" s="560"/>
      <c r="M67" s="560"/>
      <c r="N67" s="561"/>
      <c r="O67" s="560"/>
      <c r="P67" s="560"/>
      <c r="Q67" s="981"/>
      <c r="R67" s="981"/>
      <c r="S67" s="981"/>
      <c r="T67" s="981"/>
      <c r="U67" s="981"/>
      <c r="V67" s="561"/>
    </row>
    <row r="68" spans="1:22" s="3" customFormat="1" ht="16.2">
      <c r="A68" s="2"/>
      <c r="B68" s="29" t="s">
        <v>32</v>
      </c>
      <c r="C68" s="2"/>
      <c r="D68" s="2"/>
      <c r="E68" s="2"/>
      <c r="G68" s="560"/>
      <c r="H68" s="1027" t="s">
        <v>1030</v>
      </c>
      <c r="I68" s="1026"/>
      <c r="J68" s="1026"/>
      <c r="K68" s="1026">
        <f t="shared" si="2"/>
        <v>170250</v>
      </c>
      <c r="L68" s="560"/>
      <c r="M68" s="560"/>
      <c r="N68" s="561"/>
      <c r="O68" s="560"/>
      <c r="P68" s="560"/>
      <c r="Q68" s="981"/>
      <c r="R68" s="981"/>
      <c r="S68" s="981"/>
      <c r="T68" s="981"/>
      <c r="U68" s="981"/>
      <c r="V68" s="561"/>
    </row>
    <row r="69" spans="1:22" s="3" customFormat="1">
      <c r="A69" s="2"/>
      <c r="B69" s="2"/>
      <c r="C69" s="2"/>
      <c r="D69" s="2"/>
      <c r="E69" s="2"/>
      <c r="G69" s="560"/>
      <c r="H69" s="1027"/>
      <c r="I69" s="1028"/>
      <c r="J69" s="1028"/>
      <c r="K69" s="1028"/>
      <c r="L69" s="560"/>
      <c r="M69" s="560"/>
      <c r="N69" s="561"/>
      <c r="O69" s="560"/>
      <c r="P69" s="560"/>
      <c r="Q69" s="981"/>
      <c r="R69" s="981"/>
      <c r="S69" s="981"/>
      <c r="T69" s="981"/>
      <c r="U69" s="981"/>
      <c r="V69" s="561"/>
    </row>
    <row r="70" spans="1:22" s="3" customFormat="1">
      <c r="A70" s="2"/>
      <c r="B70" s="996"/>
      <c r="C70" s="996"/>
      <c r="D70" s="996"/>
      <c r="E70" s="2"/>
      <c r="G70" s="560"/>
      <c r="H70" s="560"/>
      <c r="I70" s="560"/>
      <c r="J70" s="560"/>
      <c r="K70" s="560"/>
      <c r="L70" s="560"/>
      <c r="M70" s="560"/>
      <c r="N70" s="561"/>
      <c r="O70" s="560"/>
      <c r="P70" s="560"/>
      <c r="Q70" s="981"/>
      <c r="R70" s="981"/>
      <c r="S70" s="981"/>
      <c r="T70" s="981"/>
      <c r="U70" s="981"/>
      <c r="V70" s="561"/>
    </row>
    <row r="72" spans="1:22">
      <c r="H72" s="603" t="s">
        <v>1356</v>
      </c>
      <c r="J72" s="1053"/>
    </row>
    <row r="73" spans="1:22">
      <c r="H73" s="993" t="s">
        <v>1005</v>
      </c>
      <c r="I73" s="990">
        <f>(C23+D23)*(1+C36)</f>
        <v>497610</v>
      </c>
      <c r="J73" s="1052"/>
    </row>
    <row r="74" spans="1:22">
      <c r="H74" s="993" t="s">
        <v>1041</v>
      </c>
      <c r="I74" s="990">
        <f>K63*C36-(C28+D28)*C36/2</f>
        <v>100945</v>
      </c>
      <c r="J74" s="1052"/>
    </row>
    <row r="75" spans="1:22">
      <c r="H75" s="993" t="s">
        <v>770</v>
      </c>
      <c r="I75" s="990">
        <f>-K64*D37+(D28+C28)*D37/2</f>
        <v>-262112.5</v>
      </c>
    </row>
    <row r="76" spans="1:22">
      <c r="H76" s="993" t="s">
        <v>1379</v>
      </c>
      <c r="I76" s="993"/>
    </row>
    <row r="77" spans="1:22">
      <c r="H77" s="1051" t="s">
        <v>1085</v>
      </c>
      <c r="I77" s="990">
        <f>C15+D15</f>
        <v>11500</v>
      </c>
    </row>
    <row r="78" spans="1:22">
      <c r="H78" s="1051" t="s">
        <v>1378</v>
      </c>
      <c r="I78" s="1050">
        <f>MAX(K67-MAX(K64,K63)*0.1,0)/C24</f>
        <v>0</v>
      </c>
    </row>
    <row r="79" spans="1:22">
      <c r="H79" s="993" t="s">
        <v>1205</v>
      </c>
      <c r="I79" s="990">
        <f>SUM(I73:I78)</f>
        <v>347942.5</v>
      </c>
    </row>
  </sheetData>
  <sheetProtection algorithmName="SHA-512" hashValue="08FLcdzQ88eyeocqHqz9g5wRxQZmjU+a27rnmowDrVZ1vjSckVMp6wKMcauVS7PiXCWzOADtg2otWkswk8HmsA==" saltValue="Wwf8pBNgvStVAm6uR9pgPA==" spinCount="100000" sheet="1" objects="1" scenarios="1"/>
  <mergeCells count="6">
    <mergeCell ref="B62:C62"/>
    <mergeCell ref="H7:L8"/>
    <mergeCell ref="Q8:U8"/>
    <mergeCell ref="B10:D10"/>
    <mergeCell ref="C36:D36"/>
    <mergeCell ref="B42:D43"/>
  </mergeCells>
  <pageMargins left="0.7" right="0.7" top="0.75" bottom="0.75" header="0.3" footer="0.3"/>
  <pageSetup scale="84" orientation="portrait" horizontalDpi="4294967293" verticalDpi="300" r:id="rId1"/>
  <colBreaks count="1" manualBreakCount="1">
    <brk id="6"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74596-AF83-4091-8137-2EF7E7E71144}">
  <dimension ref="A1:N76"/>
  <sheetViews>
    <sheetView zoomScale="98" zoomScaleNormal="98" workbookViewId="0">
      <selection sqref="A1:XFD1048576"/>
    </sheetView>
  </sheetViews>
  <sheetFormatPr defaultColWidth="8.6640625" defaultRowHeight="13.8"/>
  <cols>
    <col min="1" max="1" width="2.5546875" style="162" customWidth="1"/>
    <col min="2" max="2" width="12.44140625" style="162" customWidth="1"/>
    <col min="3" max="4" width="10.5546875" style="162" customWidth="1"/>
    <col min="5" max="5" width="15.6640625" style="162" customWidth="1"/>
    <col min="6" max="6" width="12.6640625" style="162" customWidth="1"/>
    <col min="7" max="8" width="10.5546875" style="162" customWidth="1"/>
    <col min="9" max="10" width="13.109375" style="162" customWidth="1"/>
    <col min="11" max="13" width="8.6640625" style="162"/>
    <col min="14" max="16384" width="8.6640625" style="1066"/>
  </cols>
  <sheetData>
    <row r="1" spans="1:14">
      <c r="A1" s="1085" t="s">
        <v>1446</v>
      </c>
      <c r="N1" s="123" t="s">
        <v>1446</v>
      </c>
    </row>
    <row r="2" spans="1:14">
      <c r="A2" s="1085" t="s">
        <v>162</v>
      </c>
      <c r="N2" s="123" t="s">
        <v>162</v>
      </c>
    </row>
    <row r="3" spans="1:14" ht="15.6">
      <c r="A3" s="1087"/>
    </row>
    <row r="4" spans="1:14">
      <c r="A4" s="1086"/>
    </row>
    <row r="5" spans="1:14">
      <c r="A5" s="1086"/>
      <c r="B5" s="1078" t="s">
        <v>164</v>
      </c>
    </row>
    <row r="6" spans="1:14">
      <c r="A6" s="1086"/>
    </row>
    <row r="7" spans="1:14">
      <c r="A7" s="1086"/>
    </row>
    <row r="8" spans="1:14">
      <c r="A8" s="1086"/>
      <c r="B8" s="162" t="s">
        <v>246</v>
      </c>
      <c r="C8" s="1078" t="s">
        <v>680</v>
      </c>
      <c r="D8" s="162" t="s">
        <v>1445</v>
      </c>
    </row>
    <row r="9" spans="1:14">
      <c r="A9" s="1086"/>
    </row>
    <row r="10" spans="1:14">
      <c r="A10" s="1085"/>
      <c r="D10" s="162" t="s">
        <v>1418</v>
      </c>
    </row>
    <row r="11" spans="1:14">
      <c r="A11" s="1085"/>
    </row>
    <row r="12" spans="1:14" ht="15.6">
      <c r="A12" s="1085"/>
      <c r="D12" s="1673" t="s">
        <v>1417</v>
      </c>
      <c r="E12" s="1674"/>
      <c r="F12" s="1674"/>
      <c r="G12" s="1674"/>
      <c r="H12" s="1674"/>
      <c r="I12" s="1674"/>
      <c r="J12" s="1674"/>
      <c r="K12" s="1674"/>
      <c r="L12" s="1675"/>
    </row>
    <row r="13" spans="1:14">
      <c r="A13" s="1085"/>
    </row>
    <row r="14" spans="1:14">
      <c r="A14" s="1085"/>
    </row>
    <row r="15" spans="1:14">
      <c r="B15" s="1077" t="s">
        <v>1444</v>
      </c>
    </row>
    <row r="16" spans="1:14">
      <c r="B16" s="1077"/>
    </row>
    <row r="17" spans="1:13">
      <c r="B17" s="1077" t="s">
        <v>78</v>
      </c>
    </row>
    <row r="18" spans="1:13">
      <c r="B18" s="1076" t="s">
        <v>1443</v>
      </c>
    </row>
    <row r="19" spans="1:13">
      <c r="B19" s="1076" t="s">
        <v>1442</v>
      </c>
    </row>
    <row r="20" spans="1:13">
      <c r="B20" s="1076" t="s">
        <v>1441</v>
      </c>
    </row>
    <row r="21" spans="1:13">
      <c r="A21" s="1085"/>
      <c r="B21" s="1079" t="s">
        <v>1440</v>
      </c>
    </row>
    <row r="22" spans="1:13">
      <c r="A22" s="1085"/>
      <c r="B22" s="1079"/>
    </row>
    <row r="23" spans="1:13">
      <c r="A23" s="1085"/>
      <c r="B23" s="1079" t="s">
        <v>6</v>
      </c>
      <c r="C23" s="1078" t="s">
        <v>257</v>
      </c>
      <c r="D23" s="162" t="s">
        <v>1439</v>
      </c>
    </row>
    <row r="24" spans="1:13">
      <c r="A24" s="1085"/>
      <c r="B24" s="1079"/>
      <c r="D24" s="162" t="s">
        <v>1438</v>
      </c>
    </row>
    <row r="25" spans="1:13" ht="13.35" customHeight="1">
      <c r="A25" s="1085"/>
    </row>
    <row r="26" spans="1:13" ht="13.35" customHeight="1">
      <c r="A26" s="1085"/>
      <c r="D26" s="1676" t="s">
        <v>1406</v>
      </c>
      <c r="E26" s="1677"/>
      <c r="F26" s="1677"/>
      <c r="G26" s="1677"/>
      <c r="H26" s="1677"/>
      <c r="I26" s="1677"/>
      <c r="J26" s="1677"/>
      <c r="K26" s="1677"/>
      <c r="L26" s="1678"/>
    </row>
    <row r="27" spans="1:13">
      <c r="A27" s="1077"/>
    </row>
    <row r="28" spans="1:13" s="1083" customFormat="1" ht="68.400000000000006" customHeight="1">
      <c r="A28" s="1084"/>
      <c r="B28" s="1084"/>
      <c r="C28" s="1084"/>
      <c r="D28" s="1075" t="s">
        <v>1437</v>
      </c>
      <c r="E28" s="1081" t="s">
        <v>1436</v>
      </c>
      <c r="F28" s="1081" t="s">
        <v>1435</v>
      </c>
      <c r="G28" s="1081" t="s">
        <v>1434</v>
      </c>
      <c r="H28" s="1081" t="s">
        <v>1433</v>
      </c>
      <c r="I28" s="1081" t="s">
        <v>1404</v>
      </c>
      <c r="J28" s="1081" t="s">
        <v>938</v>
      </c>
      <c r="K28" s="1084"/>
      <c r="L28" s="1084"/>
      <c r="M28" s="1084"/>
    </row>
    <row r="29" spans="1:13">
      <c r="D29" s="1080" t="s">
        <v>1298</v>
      </c>
      <c r="E29" s="1082">
        <v>50.5</v>
      </c>
      <c r="F29" s="1082">
        <v>40.6</v>
      </c>
      <c r="G29" s="1082">
        <v>9.8999999999999986</v>
      </c>
      <c r="H29" s="1082">
        <v>20.100000000000001</v>
      </c>
      <c r="I29" s="1082">
        <v>6.57</v>
      </c>
      <c r="J29" s="1082">
        <v>8.6999999999999993</v>
      </c>
    </row>
    <row r="30" spans="1:13">
      <c r="D30" s="1080" t="s">
        <v>1297</v>
      </c>
      <c r="E30" s="1082">
        <v>200.3</v>
      </c>
      <c r="F30" s="1082">
        <v>160.4</v>
      </c>
      <c r="G30" s="1082">
        <v>39.900000000000006</v>
      </c>
      <c r="H30" s="1082">
        <v>30.2</v>
      </c>
      <c r="I30" s="1082">
        <v>30.6</v>
      </c>
      <c r="J30" s="1082">
        <v>27.8</v>
      </c>
    </row>
    <row r="31" spans="1:13">
      <c r="D31" s="1080" t="s">
        <v>1423</v>
      </c>
      <c r="E31" s="1082">
        <v>10.5</v>
      </c>
      <c r="F31" s="1082">
        <v>9.8000000000000007</v>
      </c>
      <c r="G31" s="1082">
        <v>0.69999999999999929</v>
      </c>
      <c r="H31" s="1082">
        <v>0.5</v>
      </c>
      <c r="I31" s="1082">
        <v>0.42</v>
      </c>
      <c r="J31" s="1082">
        <v>0.28999999999999998</v>
      </c>
    </row>
    <row r="32" spans="1:13">
      <c r="D32" s="1080" t="s">
        <v>1422</v>
      </c>
      <c r="E32" s="1082">
        <v>800.8</v>
      </c>
      <c r="F32" s="1082">
        <v>600.9</v>
      </c>
      <c r="G32" s="1082">
        <v>199.89999999999998</v>
      </c>
      <c r="H32" s="1082">
        <v>150.9</v>
      </c>
      <c r="I32" s="1082">
        <v>240.24</v>
      </c>
      <c r="J32" s="1082">
        <v>210.32</v>
      </c>
    </row>
    <row r="33" spans="1:10">
      <c r="D33" s="1080" t="s">
        <v>1421</v>
      </c>
      <c r="E33" s="1082">
        <v>100.7</v>
      </c>
      <c r="F33" s="1082">
        <v>90.2</v>
      </c>
      <c r="G33" s="1082">
        <v>10.5</v>
      </c>
      <c r="H33" s="1082">
        <v>10.7</v>
      </c>
      <c r="I33" s="1082">
        <v>5.04</v>
      </c>
      <c r="J33" s="1082">
        <v>5.61</v>
      </c>
    </row>
    <row r="34" spans="1:10">
      <c r="A34" s="1077"/>
      <c r="B34" s="1069"/>
      <c r="C34" s="1069"/>
      <c r="D34" s="1069"/>
      <c r="E34" s="1069"/>
      <c r="F34" s="1069"/>
      <c r="G34" s="1069"/>
      <c r="H34" s="1069"/>
      <c r="I34" s="1069"/>
      <c r="J34" s="1069"/>
    </row>
    <row r="35" spans="1:10" ht="41.4">
      <c r="A35" s="1077"/>
      <c r="B35" s="1069"/>
      <c r="C35" s="1069"/>
      <c r="D35" s="1082"/>
      <c r="E35" s="1081" t="s">
        <v>1432</v>
      </c>
      <c r="F35" s="1081" t="s">
        <v>1431</v>
      </c>
      <c r="G35" s="1081" t="s">
        <v>1430</v>
      </c>
      <c r="H35" s="1081" t="s">
        <v>1429</v>
      </c>
      <c r="I35" s="1081" t="s">
        <v>1428</v>
      </c>
      <c r="J35" s="1081" t="s">
        <v>1427</v>
      </c>
    </row>
    <row r="36" spans="1:10">
      <c r="A36" s="1077"/>
      <c r="B36" s="1069"/>
      <c r="C36" s="1069"/>
      <c r="D36" s="1080" t="s">
        <v>1298</v>
      </c>
      <c r="E36" s="1070"/>
      <c r="F36" s="1070"/>
      <c r="G36" s="1070"/>
      <c r="H36" s="1070"/>
      <c r="I36" s="1070"/>
      <c r="J36" s="1070"/>
    </row>
    <row r="37" spans="1:10">
      <c r="A37" s="1077"/>
      <c r="B37" s="1069"/>
      <c r="C37" s="1069"/>
      <c r="D37" s="1080" t="s">
        <v>1297</v>
      </c>
      <c r="E37" s="1070"/>
      <c r="F37" s="1070"/>
      <c r="G37" s="1070"/>
      <c r="H37" s="1070"/>
      <c r="I37" s="1070"/>
      <c r="J37" s="1070"/>
    </row>
    <row r="38" spans="1:10">
      <c r="A38" s="1077"/>
      <c r="B38" s="1069"/>
      <c r="C38" s="1069"/>
      <c r="D38" s="1080" t="s">
        <v>1423</v>
      </c>
      <c r="E38" s="1070"/>
      <c r="F38" s="1070"/>
      <c r="G38" s="1070"/>
      <c r="H38" s="1070"/>
      <c r="I38" s="1070"/>
      <c r="J38" s="1070"/>
    </row>
    <row r="39" spans="1:10">
      <c r="A39" s="1077"/>
      <c r="B39" s="1069"/>
      <c r="C39" s="1069"/>
      <c r="D39" s="1080" t="s">
        <v>1422</v>
      </c>
      <c r="E39" s="1070"/>
      <c r="F39" s="1070"/>
      <c r="G39" s="1070"/>
      <c r="H39" s="1070"/>
      <c r="I39" s="1070"/>
      <c r="J39" s="1070"/>
    </row>
    <row r="40" spans="1:10">
      <c r="A40" s="1077"/>
      <c r="B40" s="1069"/>
      <c r="C40" s="1069"/>
      <c r="D40" s="1080" t="s">
        <v>1421</v>
      </c>
      <c r="E40" s="1070"/>
      <c r="F40" s="1070"/>
      <c r="G40" s="1070"/>
      <c r="H40" s="1070"/>
      <c r="I40" s="1070"/>
      <c r="J40" s="1070"/>
    </row>
    <row r="41" spans="1:10">
      <c r="A41" s="1077"/>
      <c r="B41" s="1069"/>
      <c r="C41" s="1069"/>
      <c r="D41" s="1069"/>
      <c r="E41" s="1069"/>
      <c r="F41" s="1069"/>
      <c r="G41" s="1069"/>
      <c r="H41" s="1069"/>
      <c r="I41" s="1069"/>
      <c r="J41" s="1069"/>
    </row>
    <row r="42" spans="1:10" ht="41.4">
      <c r="A42" s="1077"/>
      <c r="B42" s="1069"/>
      <c r="C42" s="1069"/>
      <c r="D42" s="1082"/>
      <c r="E42" s="1081" t="s">
        <v>1426</v>
      </c>
      <c r="F42" s="1081" t="s">
        <v>1398</v>
      </c>
      <c r="G42" s="1081" t="s">
        <v>1425</v>
      </c>
      <c r="H42" s="1081" t="s">
        <v>1424</v>
      </c>
      <c r="I42" s="1069"/>
      <c r="J42" s="1069"/>
    </row>
    <row r="43" spans="1:10">
      <c r="A43" s="1077"/>
      <c r="B43" s="1069"/>
      <c r="C43" s="1069"/>
      <c r="D43" s="1080" t="s">
        <v>1298</v>
      </c>
      <c r="E43" s="1070"/>
      <c r="F43" s="1070"/>
      <c r="G43" s="1070"/>
      <c r="H43" s="1070"/>
      <c r="I43" s="1069"/>
      <c r="J43" s="1069"/>
    </row>
    <row r="44" spans="1:10">
      <c r="A44" s="1077"/>
      <c r="B44" s="1069"/>
      <c r="C44" s="1069"/>
      <c r="D44" s="1080" t="s">
        <v>1297</v>
      </c>
      <c r="E44" s="1070"/>
      <c r="F44" s="1070"/>
      <c r="G44" s="1070"/>
      <c r="H44" s="1070"/>
      <c r="I44" s="1069"/>
      <c r="J44" s="1069"/>
    </row>
    <row r="45" spans="1:10">
      <c r="A45" s="1077"/>
      <c r="B45" s="1069"/>
      <c r="C45" s="1069"/>
      <c r="D45" s="1080" t="s">
        <v>1423</v>
      </c>
      <c r="E45" s="1070"/>
      <c r="F45" s="1070"/>
      <c r="G45" s="1070"/>
      <c r="H45" s="1070"/>
      <c r="I45" s="1069"/>
      <c r="J45" s="1069"/>
    </row>
    <row r="46" spans="1:10">
      <c r="A46" s="1077"/>
      <c r="B46" s="1069"/>
      <c r="C46" s="1069"/>
      <c r="D46" s="1080" t="s">
        <v>1422</v>
      </c>
      <c r="E46" s="1070"/>
      <c r="F46" s="1070"/>
      <c r="G46" s="1070"/>
      <c r="H46" s="1070"/>
      <c r="I46" s="1069"/>
      <c r="J46" s="1069"/>
    </row>
    <row r="47" spans="1:10">
      <c r="A47" s="1077"/>
      <c r="B47" s="1069"/>
      <c r="C47" s="1069"/>
      <c r="D47" s="1080" t="s">
        <v>1421</v>
      </c>
      <c r="E47" s="1070"/>
      <c r="F47" s="1070"/>
      <c r="G47" s="1070"/>
      <c r="H47" s="1070"/>
      <c r="I47" s="1069"/>
      <c r="J47" s="1069"/>
    </row>
    <row r="48" spans="1:10">
      <c r="A48" s="1077"/>
      <c r="B48" s="1069"/>
      <c r="C48" s="1069"/>
      <c r="D48" s="1069"/>
      <c r="E48" s="1069"/>
      <c r="F48" s="1069"/>
      <c r="G48" s="1069"/>
      <c r="H48" s="1069"/>
      <c r="I48" s="1069"/>
      <c r="J48" s="1069"/>
    </row>
    <row r="49" spans="1:12">
      <c r="A49" s="1077"/>
      <c r="B49" s="1079" t="s">
        <v>256</v>
      </c>
      <c r="C49" s="1078" t="s">
        <v>680</v>
      </c>
      <c r="D49" s="1069" t="s">
        <v>1420</v>
      </c>
      <c r="E49" s="1069"/>
      <c r="F49" s="1069"/>
      <c r="G49" s="1069"/>
      <c r="H49" s="1069"/>
      <c r="I49" s="1069"/>
      <c r="J49" s="1069"/>
    </row>
    <row r="50" spans="1:12">
      <c r="A50" s="1077"/>
      <c r="B50" s="1069"/>
      <c r="C50" s="1069"/>
      <c r="D50" s="1069" t="s">
        <v>1419</v>
      </c>
      <c r="E50" s="1069"/>
      <c r="F50" s="1069"/>
      <c r="G50" s="1069"/>
      <c r="H50" s="1069"/>
      <c r="I50" s="1069"/>
      <c r="J50" s="1069"/>
    </row>
    <row r="51" spans="1:12">
      <c r="A51" s="1077"/>
      <c r="B51" s="1069"/>
      <c r="C51" s="1069"/>
      <c r="D51" s="1069"/>
      <c r="E51" s="1069"/>
      <c r="F51" s="1069"/>
      <c r="G51" s="1069"/>
      <c r="H51" s="1069"/>
      <c r="I51" s="1069"/>
      <c r="J51" s="1069"/>
    </row>
    <row r="52" spans="1:12">
      <c r="A52" s="1077"/>
      <c r="B52" s="1069"/>
      <c r="C52" s="1069"/>
      <c r="D52" s="1069" t="s">
        <v>1418</v>
      </c>
      <c r="E52" s="1069"/>
      <c r="F52" s="1069"/>
      <c r="G52" s="1069"/>
      <c r="H52" s="1069"/>
      <c r="I52" s="1069"/>
      <c r="J52" s="1069"/>
    </row>
    <row r="53" spans="1:12">
      <c r="A53" s="1077"/>
      <c r="B53" s="1069"/>
      <c r="C53" s="1069"/>
      <c r="D53" s="1069"/>
      <c r="E53" s="1069"/>
      <c r="F53" s="1069"/>
      <c r="G53" s="1069"/>
      <c r="H53" s="1069"/>
      <c r="I53" s="1069"/>
      <c r="J53" s="1069"/>
    </row>
    <row r="54" spans="1:12" ht="15.6">
      <c r="A54" s="1077"/>
      <c r="B54" s="1069"/>
      <c r="C54" s="1069"/>
      <c r="D54" s="1673" t="s">
        <v>1417</v>
      </c>
      <c r="E54" s="1674"/>
      <c r="F54" s="1674"/>
      <c r="G54" s="1674"/>
      <c r="H54" s="1674"/>
      <c r="I54" s="1674"/>
      <c r="J54" s="1674"/>
      <c r="K54" s="1674"/>
      <c r="L54" s="1675"/>
    </row>
    <row r="55" spans="1:12">
      <c r="A55" s="1077"/>
      <c r="B55" s="1069"/>
      <c r="C55" s="1069"/>
      <c r="D55" s="1069"/>
      <c r="E55" s="1069"/>
      <c r="F55" s="1069"/>
      <c r="G55" s="1069"/>
      <c r="H55" s="1069"/>
      <c r="I55" s="1069"/>
      <c r="J55" s="1069"/>
    </row>
    <row r="56" spans="1:12">
      <c r="B56" s="1077" t="s">
        <v>1416</v>
      </c>
    </row>
    <row r="57" spans="1:12">
      <c r="B57" s="1076" t="s">
        <v>1415</v>
      </c>
      <c r="E57" s="1068">
        <v>0.45</v>
      </c>
    </row>
    <row r="58" spans="1:12">
      <c r="B58" s="1076" t="s">
        <v>1414</v>
      </c>
      <c r="E58" s="1067">
        <v>33</v>
      </c>
      <c r="F58" s="162" t="s">
        <v>1409</v>
      </c>
    </row>
    <row r="59" spans="1:12">
      <c r="B59" s="1076" t="s">
        <v>1413</v>
      </c>
      <c r="E59" s="162">
        <v>52.1</v>
      </c>
      <c r="F59" s="162" t="s">
        <v>1409</v>
      </c>
    </row>
    <row r="60" spans="1:12">
      <c r="B60" s="1076" t="s">
        <v>1412</v>
      </c>
      <c r="E60" s="162">
        <v>38.299999999999997</v>
      </c>
      <c r="F60" s="162" t="s">
        <v>1409</v>
      </c>
    </row>
    <row r="61" spans="1:12">
      <c r="B61" s="1076" t="s">
        <v>1411</v>
      </c>
      <c r="E61" s="162">
        <v>2.1</v>
      </c>
    </row>
    <row r="62" spans="1:12">
      <c r="B62" s="1076" t="s">
        <v>1410</v>
      </c>
      <c r="E62" s="1067">
        <v>35</v>
      </c>
      <c r="F62" s="162" t="s">
        <v>1409</v>
      </c>
    </row>
    <row r="63" spans="1:12">
      <c r="A63" s="1076"/>
    </row>
    <row r="64" spans="1:12">
      <c r="A64" s="1076"/>
    </row>
    <row r="65" spans="1:12">
      <c r="A65" s="1076"/>
      <c r="B65" s="162" t="s">
        <v>449</v>
      </c>
      <c r="C65" s="162" t="s">
        <v>331</v>
      </c>
      <c r="D65" s="162" t="s">
        <v>1408</v>
      </c>
    </row>
    <row r="66" spans="1:12">
      <c r="A66" s="1076"/>
      <c r="D66" s="162" t="s">
        <v>1407</v>
      </c>
    </row>
    <row r="67" spans="1:12">
      <c r="A67" s="1076"/>
    </row>
    <row r="68" spans="1:12" ht="15.6">
      <c r="A68" s="1076"/>
      <c r="D68" s="1676" t="s">
        <v>1406</v>
      </c>
      <c r="E68" s="1677"/>
      <c r="F68" s="1677"/>
      <c r="G68" s="1677"/>
      <c r="H68" s="1677"/>
      <c r="I68" s="1677"/>
      <c r="J68" s="1677"/>
      <c r="K68" s="1677"/>
      <c r="L68" s="1678"/>
    </row>
    <row r="69" spans="1:12">
      <c r="A69" s="1076"/>
    </row>
    <row r="70" spans="1:12" ht="60" customHeight="1">
      <c r="D70" s="1075" t="s">
        <v>1405</v>
      </c>
      <c r="E70" s="1075" t="s">
        <v>1404</v>
      </c>
      <c r="F70" s="1075" t="s">
        <v>1403</v>
      </c>
      <c r="G70" s="1075" t="s">
        <v>1402</v>
      </c>
      <c r="H70" s="1075" t="s">
        <v>1401</v>
      </c>
      <c r="I70" s="1075" t="s">
        <v>1400</v>
      </c>
      <c r="J70" s="1075" t="s">
        <v>645</v>
      </c>
      <c r="K70" s="1075" t="s">
        <v>1399</v>
      </c>
      <c r="L70" s="1075" t="s">
        <v>1398</v>
      </c>
    </row>
    <row r="71" spans="1:12">
      <c r="D71" s="1074">
        <v>0.45</v>
      </c>
      <c r="E71" s="1073">
        <v>38.299999999999997</v>
      </c>
      <c r="F71" s="1073">
        <v>2.1</v>
      </c>
      <c r="G71" s="1073">
        <v>35</v>
      </c>
      <c r="H71" s="1072"/>
      <c r="I71" s="1073" t="s">
        <v>409</v>
      </c>
      <c r="J71" s="1072"/>
      <c r="K71" s="1073" t="s">
        <v>409</v>
      </c>
      <c r="L71" s="1072"/>
    </row>
    <row r="72" spans="1:12">
      <c r="D72" s="1074">
        <v>0.3</v>
      </c>
      <c r="E72" s="1073">
        <v>38.299999999999997</v>
      </c>
      <c r="F72" s="1073">
        <v>2.1</v>
      </c>
      <c r="G72" s="1073">
        <v>35</v>
      </c>
      <c r="H72" s="1072"/>
      <c r="I72" s="1072"/>
      <c r="J72" s="1071"/>
      <c r="K72" s="1070"/>
      <c r="L72" s="1070"/>
    </row>
    <row r="73" spans="1:12">
      <c r="D73" s="1074">
        <v>0.15</v>
      </c>
      <c r="E73" s="1073">
        <v>38.299999999999997</v>
      </c>
      <c r="F73" s="1073">
        <v>2.1</v>
      </c>
      <c r="G73" s="1073">
        <v>35</v>
      </c>
      <c r="H73" s="1072"/>
      <c r="I73" s="1072"/>
      <c r="J73" s="1071"/>
      <c r="K73" s="1070"/>
      <c r="L73" s="1070"/>
    </row>
    <row r="74" spans="1:12">
      <c r="D74" s="1074">
        <v>0</v>
      </c>
      <c r="E74" s="1073">
        <v>38.299999999999997</v>
      </c>
      <c r="F74" s="1073">
        <v>2.1</v>
      </c>
      <c r="G74" s="1073">
        <v>35</v>
      </c>
      <c r="H74" s="1072"/>
      <c r="I74" s="1072"/>
      <c r="J74" s="1071"/>
      <c r="K74" s="1070"/>
      <c r="L74" s="1070"/>
    </row>
    <row r="75" spans="1:12">
      <c r="A75" s="1068"/>
      <c r="C75" s="1067"/>
      <c r="G75" s="1067"/>
      <c r="H75" s="1069"/>
      <c r="I75" s="1069"/>
    </row>
    <row r="76" spans="1:12">
      <c r="A76" s="1068"/>
      <c r="C76" s="1067"/>
    </row>
  </sheetData>
  <mergeCells count="4">
    <mergeCell ref="D12:L12"/>
    <mergeCell ref="D26:L26"/>
    <mergeCell ref="D54:L54"/>
    <mergeCell ref="D68:L68"/>
  </mergeCell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EA252-F23C-47EF-AAC5-28847D054B46}">
  <dimension ref="A1:AB48"/>
  <sheetViews>
    <sheetView zoomScale="75" zoomScaleNormal="75" zoomScaleSheetLayoutView="100" workbookViewId="0">
      <selection sqref="A1:XFD1048576"/>
    </sheetView>
  </sheetViews>
  <sheetFormatPr defaultColWidth="9.88671875" defaultRowHeight="15.6"/>
  <cols>
    <col min="1" max="1" width="3.88671875" style="619" customWidth="1"/>
    <col min="2" max="2" width="47.33203125" style="619" customWidth="1"/>
    <col min="3" max="3" width="19.88671875" style="619" customWidth="1"/>
    <col min="4" max="4" width="11.88671875" style="619" customWidth="1"/>
    <col min="5" max="5" width="6.5546875" style="619" customWidth="1"/>
    <col min="6" max="6" width="2.44140625" style="618" customWidth="1"/>
    <col min="7" max="7" width="4.109375" style="616" customWidth="1"/>
    <col min="8" max="10" width="9.88671875" style="616" customWidth="1"/>
    <col min="11" max="12" width="14.109375" style="616" customWidth="1"/>
    <col min="13" max="13" width="9" style="616" customWidth="1"/>
    <col min="14" max="14" width="14" style="616" customWidth="1"/>
    <col min="15" max="15" width="14.44140625" style="616" customWidth="1"/>
    <col min="16" max="16" width="10.5546875" style="616" customWidth="1"/>
    <col min="17" max="17" width="1.88671875" style="617" customWidth="1"/>
    <col min="18" max="18" width="4.109375" style="616" customWidth="1"/>
    <col min="19" max="21" width="9.88671875" style="616" customWidth="1"/>
    <col min="22" max="22" width="14.109375" style="616" customWidth="1"/>
    <col min="23" max="23" width="10.6640625" style="616" customWidth="1"/>
    <col min="24" max="25" width="10" style="616" customWidth="1"/>
    <col min="26" max="26" width="3.109375" style="616" customWidth="1"/>
    <col min="27" max="27" width="4" style="616" customWidth="1"/>
    <col min="28" max="28" width="1.88671875" style="617" customWidth="1"/>
    <col min="29" max="16384" width="9.88671875" style="616"/>
  </cols>
  <sheetData>
    <row r="1" spans="1:27">
      <c r="A1" s="661" t="s">
        <v>1471</v>
      </c>
      <c r="G1" s="661" t="s">
        <v>1471</v>
      </c>
      <c r="H1" s="619"/>
      <c r="I1" s="619"/>
      <c r="J1" s="619"/>
      <c r="K1" s="619"/>
      <c r="L1" s="619"/>
      <c r="M1" s="619"/>
      <c r="N1" s="619"/>
      <c r="O1" s="619"/>
      <c r="P1" s="619"/>
      <c r="R1" s="661" t="s">
        <v>1471</v>
      </c>
      <c r="S1" s="619"/>
      <c r="T1" s="619"/>
      <c r="U1" s="619"/>
      <c r="V1" s="619"/>
      <c r="W1" s="619"/>
      <c r="X1" s="619"/>
      <c r="Y1" s="619"/>
      <c r="Z1" s="619"/>
      <c r="AA1" s="619"/>
    </row>
    <row r="2" spans="1:27">
      <c r="A2" s="661" t="s">
        <v>732</v>
      </c>
      <c r="G2" s="661" t="s">
        <v>732</v>
      </c>
      <c r="H2" s="619"/>
      <c r="I2" s="619"/>
      <c r="J2" s="619"/>
      <c r="K2" s="619"/>
      <c r="L2" s="619"/>
      <c r="M2" s="619"/>
      <c r="N2" s="619"/>
      <c r="O2" s="619"/>
      <c r="P2" s="619"/>
      <c r="R2" s="661" t="s">
        <v>732</v>
      </c>
      <c r="S2" s="619"/>
      <c r="T2" s="619"/>
      <c r="U2" s="619"/>
      <c r="V2" s="619"/>
      <c r="W2" s="619"/>
      <c r="X2" s="619"/>
      <c r="Y2" s="619"/>
      <c r="Z2" s="619"/>
      <c r="AA2" s="619"/>
    </row>
    <row r="3" spans="1:27">
      <c r="A3" s="661" t="s">
        <v>336</v>
      </c>
      <c r="G3" s="661" t="s">
        <v>336</v>
      </c>
      <c r="H3" s="619"/>
      <c r="I3" s="619"/>
      <c r="J3" s="619"/>
      <c r="K3" s="619"/>
      <c r="L3" s="619"/>
      <c r="M3" s="619"/>
      <c r="N3" s="619"/>
      <c r="O3" s="619"/>
      <c r="P3" s="619"/>
      <c r="R3" s="661" t="s">
        <v>336</v>
      </c>
      <c r="S3" s="619"/>
      <c r="T3" s="619"/>
      <c r="U3" s="619"/>
      <c r="V3" s="619"/>
      <c r="W3" s="619"/>
      <c r="X3" s="619"/>
      <c r="Y3" s="619"/>
      <c r="Z3" s="619"/>
      <c r="AA3" s="619"/>
    </row>
    <row r="4" spans="1:27">
      <c r="G4" s="619"/>
      <c r="H4" s="619"/>
      <c r="I4" s="619"/>
      <c r="J4" s="619"/>
      <c r="K4" s="619"/>
      <c r="L4" s="619"/>
      <c r="M4" s="619"/>
      <c r="N4" s="619"/>
      <c r="O4" s="619"/>
      <c r="P4" s="619"/>
      <c r="R4" s="619"/>
      <c r="S4" s="619"/>
      <c r="T4" s="619"/>
      <c r="U4" s="619"/>
      <c r="V4" s="619"/>
      <c r="W4" s="619"/>
      <c r="X4" s="619"/>
      <c r="Y4" s="619"/>
      <c r="Z4" s="619"/>
      <c r="AA4" s="619"/>
    </row>
    <row r="5" spans="1:27" ht="16.2">
      <c r="A5" s="619" t="s">
        <v>1470</v>
      </c>
      <c r="G5" s="660" t="s">
        <v>696</v>
      </c>
      <c r="H5" s="619"/>
      <c r="I5" s="619"/>
      <c r="J5" s="619"/>
      <c r="K5" s="619"/>
      <c r="L5" s="619"/>
      <c r="M5" s="619"/>
      <c r="N5" s="619"/>
      <c r="O5" s="619"/>
      <c r="P5" s="619"/>
      <c r="R5" s="660" t="s">
        <v>786</v>
      </c>
      <c r="S5" s="619"/>
      <c r="T5" s="619"/>
      <c r="U5" s="619"/>
      <c r="V5" s="619"/>
      <c r="W5" s="619"/>
      <c r="X5" s="619"/>
      <c r="Y5" s="619"/>
      <c r="Z5" s="619"/>
      <c r="AA5" s="619"/>
    </row>
    <row r="6" spans="1:27">
      <c r="A6" s="1106"/>
      <c r="G6" s="619"/>
      <c r="H6" s="619"/>
      <c r="I6" s="619"/>
      <c r="J6" s="619"/>
      <c r="K6" s="619"/>
      <c r="L6" s="619"/>
      <c r="M6" s="619"/>
      <c r="N6" s="619"/>
      <c r="O6" s="619"/>
      <c r="P6" s="619"/>
      <c r="R6" s="619"/>
      <c r="S6" s="619"/>
      <c r="T6" s="619"/>
      <c r="U6" s="619"/>
      <c r="V6" s="619"/>
      <c r="W6" s="619"/>
      <c r="X6" s="619"/>
      <c r="Y6" s="619"/>
      <c r="Z6" s="619"/>
      <c r="AA6" s="619"/>
    </row>
    <row r="7" spans="1:27" ht="15.75" customHeight="1">
      <c r="A7" s="1106" t="s">
        <v>1469</v>
      </c>
      <c r="B7" s="643"/>
      <c r="C7" s="643"/>
      <c r="D7" s="643"/>
      <c r="E7" s="643"/>
      <c r="G7" s="619" t="s">
        <v>687</v>
      </c>
      <c r="H7" s="1621" t="s">
        <v>1468</v>
      </c>
      <c r="I7" s="1621"/>
      <c r="J7" s="1621"/>
      <c r="K7" s="1621"/>
      <c r="L7" s="1621"/>
      <c r="M7" s="1621"/>
      <c r="N7" s="1621"/>
      <c r="O7" s="1621"/>
      <c r="P7" s="1621"/>
      <c r="R7" s="619" t="s">
        <v>834</v>
      </c>
      <c r="S7" s="1621" t="s">
        <v>1450</v>
      </c>
      <c r="T7" s="1621"/>
      <c r="U7" s="1621"/>
      <c r="V7" s="1621"/>
      <c r="W7" s="1621"/>
      <c r="X7" s="1621"/>
      <c r="Y7" s="1621"/>
      <c r="Z7" s="1621"/>
      <c r="AA7" s="1621"/>
    </row>
    <row r="8" spans="1:27" ht="16.2" thickBot="1">
      <c r="B8" s="658"/>
      <c r="C8" s="658"/>
      <c r="D8" s="658"/>
      <c r="E8" s="658"/>
      <c r="G8" s="619"/>
      <c r="H8" s="639"/>
      <c r="I8" s="619"/>
      <c r="J8" s="619"/>
      <c r="K8" s="619"/>
      <c r="L8" s="619"/>
      <c r="M8" s="638"/>
      <c r="N8" s="653"/>
      <c r="O8" s="653"/>
      <c r="P8" s="653"/>
      <c r="R8" s="1089"/>
      <c r="S8" s="639"/>
      <c r="T8" s="619"/>
      <c r="U8" s="619"/>
      <c r="V8" s="619"/>
      <c r="W8" s="619"/>
      <c r="X8" s="638"/>
      <c r="Y8" s="653"/>
      <c r="Z8" s="653"/>
      <c r="AA8" s="653"/>
    </row>
    <row r="9" spans="1:27" ht="16.2" thickBot="1">
      <c r="B9" s="1097" t="s">
        <v>771</v>
      </c>
      <c r="C9" s="1096">
        <v>3.3000000000000002E-2</v>
      </c>
      <c r="D9" s="636"/>
      <c r="E9" s="635"/>
      <c r="G9" s="619"/>
      <c r="H9" s="636" t="s">
        <v>683</v>
      </c>
      <c r="I9" s="619"/>
      <c r="J9" s="619"/>
      <c r="K9" s="619"/>
      <c r="L9" s="619"/>
      <c r="M9" s="638"/>
      <c r="N9" s="653"/>
      <c r="O9" s="653"/>
      <c r="P9" s="653"/>
      <c r="R9" s="1090" t="s">
        <v>1449</v>
      </c>
      <c r="S9" s="636"/>
      <c r="T9" s="619"/>
      <c r="U9" s="619"/>
      <c r="V9" s="619"/>
      <c r="W9" s="619"/>
      <c r="X9" s="638"/>
      <c r="Y9" s="653"/>
      <c r="Z9" s="653"/>
      <c r="AA9" s="653"/>
    </row>
    <row r="10" spans="1:27" ht="16.2" thickBot="1">
      <c r="B10" s="1093" t="s">
        <v>770</v>
      </c>
      <c r="C10" s="1105">
        <v>5.2999999999999999E-2</v>
      </c>
      <c r="G10" s="619"/>
      <c r="H10" s="619"/>
      <c r="I10" s="619"/>
      <c r="J10" s="619"/>
      <c r="K10" s="619"/>
      <c r="L10" s="619"/>
      <c r="M10" s="635"/>
      <c r="N10" s="653"/>
      <c r="O10" s="653"/>
      <c r="P10" s="653"/>
      <c r="R10" s="1089"/>
      <c r="S10" s="619"/>
      <c r="T10" s="619"/>
      <c r="U10" s="619"/>
      <c r="V10" s="619"/>
      <c r="W10" s="619"/>
      <c r="X10" s="635"/>
      <c r="Y10" s="653"/>
      <c r="Z10" s="653"/>
      <c r="AA10" s="653"/>
    </row>
    <row r="11" spans="1:27" s="617" customFormat="1" ht="16.2" thickBot="1">
      <c r="A11" s="619"/>
      <c r="B11" s="1093" t="s">
        <v>1467</v>
      </c>
      <c r="C11" s="1094"/>
      <c r="D11" s="619"/>
      <c r="E11" s="619"/>
      <c r="F11" s="618"/>
      <c r="G11" s="616"/>
      <c r="H11" s="630"/>
      <c r="I11" s="630"/>
      <c r="J11" s="616"/>
      <c r="K11" s="616"/>
      <c r="L11" s="616"/>
      <c r="M11" s="616"/>
      <c r="N11" s="616"/>
      <c r="O11" s="616"/>
      <c r="P11" s="616"/>
      <c r="R11" s="1090" t="s">
        <v>1448</v>
      </c>
      <c r="S11" s="1104"/>
      <c r="T11" s="1104"/>
      <c r="U11" s="1100"/>
      <c r="V11" s="1100"/>
      <c r="W11" s="1100"/>
      <c r="X11" s="1100"/>
      <c r="Y11" s="1100"/>
      <c r="Z11" s="1100"/>
      <c r="AA11" s="1100"/>
    </row>
    <row r="12" spans="1:27" ht="16.2" thickBot="1">
      <c r="B12" s="1095" t="s">
        <v>1466</v>
      </c>
      <c r="C12" s="1092">
        <v>73760000</v>
      </c>
      <c r="R12" s="1089"/>
      <c r="S12" s="1100"/>
      <c r="T12" s="1100"/>
      <c r="U12" s="1100"/>
      <c r="V12" s="1100"/>
      <c r="W12" s="1100"/>
      <c r="X12" s="1100"/>
      <c r="Y12" s="1100"/>
      <c r="Z12" s="1100"/>
      <c r="AA12" s="1100"/>
    </row>
    <row r="13" spans="1:27" s="617" customFormat="1" ht="16.2" thickBot="1">
      <c r="A13" s="619"/>
      <c r="B13" s="1095" t="s">
        <v>1465</v>
      </c>
      <c r="C13" s="1092">
        <v>90127000</v>
      </c>
      <c r="D13" s="619"/>
      <c r="E13" s="619"/>
      <c r="F13" s="618"/>
      <c r="G13" s="616"/>
      <c r="H13" s="616"/>
      <c r="I13" s="616"/>
      <c r="J13" s="624"/>
      <c r="K13" s="623"/>
      <c r="L13" s="625"/>
      <c r="M13" s="616"/>
      <c r="N13" s="616"/>
      <c r="O13" s="616"/>
      <c r="P13" s="616"/>
      <c r="R13" s="1088" t="s">
        <v>1447</v>
      </c>
      <c r="S13" s="1100"/>
      <c r="T13" s="1100"/>
      <c r="U13" s="1103"/>
      <c r="V13" s="1102"/>
      <c r="W13" s="1101"/>
      <c r="X13" s="1100"/>
      <c r="Y13" s="1100"/>
      <c r="Z13" s="1100"/>
      <c r="AA13" s="1100"/>
    </row>
    <row r="14" spans="1:27" s="617" customFormat="1" ht="16.2" thickBot="1">
      <c r="A14" s="619"/>
      <c r="B14" s="1093" t="s">
        <v>768</v>
      </c>
      <c r="C14" s="1092">
        <v>157759000</v>
      </c>
      <c r="D14" s="619"/>
      <c r="E14" s="619"/>
      <c r="F14" s="618"/>
      <c r="G14" s="616"/>
      <c r="H14" s="627"/>
      <c r="I14" s="616"/>
      <c r="J14" s="624"/>
      <c r="K14" s="623"/>
      <c r="L14" s="625"/>
      <c r="M14" s="616"/>
      <c r="N14" s="616"/>
      <c r="O14" s="616"/>
      <c r="P14" s="616"/>
      <c r="R14" s="616"/>
      <c r="S14" s="627"/>
      <c r="T14" s="616"/>
      <c r="U14" s="624"/>
      <c r="V14" s="623"/>
      <c r="W14" s="625"/>
      <c r="X14" s="616"/>
      <c r="Y14" s="616"/>
      <c r="Z14" s="616"/>
      <c r="AA14" s="616"/>
    </row>
    <row r="15" spans="1:27" s="617" customFormat="1" ht="16.2" thickBot="1">
      <c r="A15" s="619"/>
      <c r="B15" s="1093" t="s">
        <v>1005</v>
      </c>
      <c r="C15" s="1092">
        <v>2652000</v>
      </c>
      <c r="D15" s="619"/>
      <c r="E15" s="619"/>
      <c r="F15" s="618"/>
      <c r="G15" s="616"/>
      <c r="H15" s="631"/>
      <c r="I15" s="616"/>
      <c r="J15" s="624"/>
      <c r="K15" s="623"/>
      <c r="L15" s="625"/>
      <c r="M15" s="616"/>
      <c r="N15" s="616"/>
      <c r="O15" s="616"/>
      <c r="P15" s="616"/>
      <c r="R15" s="616"/>
      <c r="S15" s="631"/>
      <c r="T15" s="616"/>
      <c r="U15" s="624"/>
      <c r="V15" s="623"/>
      <c r="W15" s="625"/>
      <c r="X15" s="616"/>
      <c r="Y15" s="616"/>
      <c r="Z15" s="616"/>
      <c r="AA15" s="616"/>
    </row>
    <row r="16" spans="1:27" s="617" customFormat="1" ht="16.2" thickBot="1">
      <c r="A16" s="619"/>
      <c r="B16" s="1093" t="s">
        <v>1464</v>
      </c>
      <c r="C16" s="1092">
        <v>9288000</v>
      </c>
      <c r="D16" s="619"/>
      <c r="E16" s="619"/>
      <c r="F16" s="618"/>
      <c r="G16" s="616"/>
      <c r="H16" s="627"/>
      <c r="I16" s="616"/>
      <c r="J16" s="624"/>
      <c r="K16" s="623"/>
      <c r="L16" s="625"/>
      <c r="M16" s="616"/>
      <c r="N16" s="616"/>
      <c r="O16" s="616"/>
      <c r="P16" s="616"/>
      <c r="R16" s="616"/>
      <c r="S16" s="627"/>
      <c r="T16" s="616"/>
      <c r="U16" s="624"/>
      <c r="V16" s="623"/>
      <c r="W16" s="625"/>
      <c r="X16" s="616"/>
      <c r="Y16" s="616"/>
      <c r="Z16" s="616"/>
      <c r="AA16" s="616"/>
    </row>
    <row r="17" spans="1:27" s="617" customFormat="1" ht="18" thickBot="1">
      <c r="A17" s="619"/>
      <c r="B17" s="1093" t="s">
        <v>1463</v>
      </c>
      <c r="C17" s="1092">
        <v>2245000</v>
      </c>
      <c r="D17" s="619"/>
      <c r="E17" s="619"/>
      <c r="F17" s="618"/>
      <c r="G17" s="616"/>
      <c r="H17" s="634"/>
      <c r="I17" s="616"/>
      <c r="J17" s="631"/>
      <c r="K17" s="623"/>
      <c r="L17" s="622"/>
      <c r="M17" s="616"/>
      <c r="N17" s="616"/>
      <c r="O17" s="616"/>
      <c r="P17" s="633"/>
      <c r="R17" s="616"/>
      <c r="S17" s="634"/>
      <c r="T17" s="616"/>
      <c r="U17" s="631"/>
      <c r="V17" s="623"/>
      <c r="W17" s="622"/>
      <c r="X17" s="616"/>
      <c r="Y17" s="616"/>
      <c r="Z17" s="616"/>
      <c r="AA17" s="633"/>
    </row>
    <row r="18" spans="1:27" s="617" customFormat="1">
      <c r="A18" s="619"/>
      <c r="B18" s="619"/>
      <c r="C18" s="619"/>
      <c r="D18" s="619"/>
      <c r="E18" s="619"/>
      <c r="F18" s="618"/>
      <c r="G18" s="616"/>
      <c r="H18" s="634"/>
      <c r="I18" s="616"/>
      <c r="J18" s="631"/>
      <c r="K18" s="616"/>
      <c r="L18" s="620"/>
      <c r="M18" s="616"/>
      <c r="N18" s="616"/>
      <c r="O18" s="616"/>
      <c r="P18" s="633"/>
      <c r="R18" s="616"/>
      <c r="S18" s="634"/>
      <c r="T18" s="616"/>
      <c r="U18" s="631"/>
      <c r="V18" s="616"/>
      <c r="W18" s="620"/>
      <c r="X18" s="616"/>
      <c r="Y18" s="616"/>
      <c r="Z18" s="616"/>
      <c r="AA18" s="633"/>
    </row>
    <row r="19" spans="1:27" s="617" customFormat="1">
      <c r="A19" s="1091" t="s">
        <v>1462</v>
      </c>
      <c r="B19" s="619"/>
      <c r="C19" s="619"/>
      <c r="D19" s="619"/>
      <c r="E19" s="619"/>
      <c r="F19" s="618"/>
      <c r="G19" s="616"/>
      <c r="H19" s="632"/>
      <c r="I19" s="628"/>
      <c r="J19" s="631"/>
      <c r="K19" s="616"/>
      <c r="L19" s="620"/>
      <c r="M19" s="616"/>
      <c r="N19" s="616"/>
      <c r="O19" s="616"/>
      <c r="P19" s="616"/>
      <c r="R19" s="616"/>
      <c r="S19" s="632"/>
      <c r="T19" s="628"/>
      <c r="U19" s="631"/>
      <c r="V19" s="616"/>
      <c r="W19" s="620"/>
      <c r="X19" s="616"/>
      <c r="Y19" s="616"/>
      <c r="Z19" s="616"/>
      <c r="AA19" s="616"/>
    </row>
    <row r="20" spans="1:27" s="617" customFormat="1">
      <c r="A20" s="1089" t="s">
        <v>1461</v>
      </c>
      <c r="B20" s="619"/>
      <c r="C20" s="619"/>
      <c r="D20" s="619"/>
      <c r="E20" s="619"/>
      <c r="F20" s="618"/>
      <c r="G20" s="616"/>
      <c r="H20" s="630"/>
      <c r="I20" s="630"/>
      <c r="J20" s="616"/>
      <c r="K20" s="616"/>
      <c r="L20" s="616"/>
      <c r="M20" s="616"/>
      <c r="N20" s="616"/>
      <c r="O20" s="616"/>
      <c r="P20" s="616"/>
      <c r="R20" s="616"/>
      <c r="S20" s="630"/>
      <c r="T20" s="630"/>
      <c r="U20" s="616"/>
      <c r="V20" s="616"/>
      <c r="W20" s="616"/>
      <c r="X20" s="616"/>
      <c r="Y20" s="616"/>
      <c r="Z20" s="616"/>
      <c r="AA20" s="616"/>
    </row>
    <row r="21" spans="1:27">
      <c r="A21" s="1089"/>
    </row>
    <row r="22" spans="1:27">
      <c r="A22" s="1098" t="s">
        <v>1460</v>
      </c>
    </row>
    <row r="23" spans="1:27">
      <c r="A23" s="1099"/>
      <c r="B23" s="619" t="s">
        <v>1459</v>
      </c>
    </row>
    <row r="24" spans="1:27">
      <c r="A24" s="1099"/>
      <c r="H24" s="629"/>
      <c r="S24" s="629"/>
    </row>
    <row r="25" spans="1:27">
      <c r="A25" s="1098" t="s">
        <v>1447</v>
      </c>
    </row>
    <row r="27" spans="1:27">
      <c r="A27" s="1091" t="s">
        <v>1458</v>
      </c>
    </row>
    <row r="28" spans="1:27">
      <c r="A28" s="1091"/>
      <c r="H28" s="628"/>
      <c r="S28" s="628"/>
    </row>
    <row r="29" spans="1:27">
      <c r="A29" s="1091" t="s">
        <v>1457</v>
      </c>
      <c r="H29" s="627"/>
      <c r="S29" s="627"/>
    </row>
    <row r="30" spans="1:27" ht="16.2" thickBot="1">
      <c r="I30" s="626"/>
      <c r="J30" s="626"/>
      <c r="K30" s="626"/>
      <c r="L30" s="626"/>
      <c r="T30" s="626"/>
      <c r="U30" s="626"/>
      <c r="V30" s="626"/>
      <c r="W30" s="626"/>
    </row>
    <row r="31" spans="1:27" ht="16.2" thickBot="1">
      <c r="B31" s="1097" t="s">
        <v>771</v>
      </c>
      <c r="C31" s="1096">
        <v>0.03</v>
      </c>
      <c r="J31" s="624"/>
      <c r="K31" s="623"/>
      <c r="L31" s="625"/>
      <c r="U31" s="624"/>
      <c r="V31" s="623"/>
      <c r="W31" s="625"/>
    </row>
    <row r="32" spans="1:27" ht="16.2" thickBot="1">
      <c r="B32" s="1093" t="s">
        <v>1456</v>
      </c>
      <c r="C32" s="1094"/>
      <c r="J32" s="624"/>
      <c r="K32" s="623"/>
      <c r="L32" s="625"/>
      <c r="U32" s="624"/>
      <c r="V32" s="623"/>
      <c r="W32" s="625"/>
    </row>
    <row r="33" spans="1:23" ht="16.2" thickBot="1">
      <c r="B33" s="1095" t="s">
        <v>1455</v>
      </c>
      <c r="C33" s="1094">
        <v>16</v>
      </c>
      <c r="J33" s="624"/>
      <c r="K33" s="623"/>
      <c r="L33" s="625"/>
      <c r="U33" s="624"/>
      <c r="V33" s="623"/>
      <c r="W33" s="625"/>
    </row>
    <row r="34" spans="1:23" ht="16.2" thickBot="1">
      <c r="B34" s="1095" t="s">
        <v>1454</v>
      </c>
      <c r="C34" s="1094">
        <v>11</v>
      </c>
      <c r="J34" s="624"/>
      <c r="K34" s="623"/>
      <c r="L34" s="625"/>
      <c r="U34" s="624"/>
      <c r="V34" s="623"/>
      <c r="W34" s="625"/>
    </row>
    <row r="35" spans="1:23" ht="18" thickBot="1">
      <c r="B35" s="1095" t="s">
        <v>1005</v>
      </c>
      <c r="C35" s="1094">
        <v>22</v>
      </c>
      <c r="J35" s="624"/>
      <c r="K35" s="623"/>
      <c r="L35" s="622"/>
      <c r="U35" s="624"/>
      <c r="V35" s="623"/>
      <c r="W35" s="622"/>
    </row>
    <row r="36" spans="1:23" ht="16.2" thickBot="1">
      <c r="B36" s="1093" t="s">
        <v>768</v>
      </c>
      <c r="C36" s="1092">
        <v>159374000</v>
      </c>
      <c r="L36" s="620"/>
      <c r="W36" s="620"/>
    </row>
    <row r="37" spans="1:23" ht="16.2" thickBot="1">
      <c r="B37" s="1093" t="s">
        <v>1453</v>
      </c>
      <c r="C37" s="1092">
        <v>97290000</v>
      </c>
    </row>
    <row r="38" spans="1:23">
      <c r="J38" s="621"/>
      <c r="L38" s="620"/>
      <c r="U38" s="621"/>
      <c r="W38" s="620"/>
    </row>
    <row r="39" spans="1:23">
      <c r="A39" s="1091" t="s">
        <v>1452</v>
      </c>
    </row>
    <row r="40" spans="1:23">
      <c r="A40" s="619" t="s">
        <v>1451</v>
      </c>
    </row>
    <row r="42" spans="1:23" ht="15.6" customHeight="1">
      <c r="A42" s="1091" t="s">
        <v>6</v>
      </c>
      <c r="B42" s="1679" t="s">
        <v>1450</v>
      </c>
      <c r="C42" s="1679"/>
      <c r="D42" s="1679"/>
      <c r="E42" s="1679"/>
    </row>
    <row r="43" spans="1:23">
      <c r="B43" s="1089"/>
    </row>
    <row r="44" spans="1:23">
      <c r="A44" s="1090" t="s">
        <v>1449</v>
      </c>
      <c r="B44" s="1091"/>
    </row>
    <row r="45" spans="1:23">
      <c r="A45" s="1089"/>
    </row>
    <row r="46" spans="1:23">
      <c r="A46" s="1090" t="s">
        <v>1448</v>
      </c>
    </row>
    <row r="47" spans="1:23">
      <c r="A47" s="1089"/>
    </row>
    <row r="48" spans="1:23">
      <c r="A48" s="1088" t="s">
        <v>1447</v>
      </c>
    </row>
  </sheetData>
  <sheetProtection algorithmName="SHA-512" hashValue="oOwQWAoeNGavIJcAst/CO4UZ561tiL5tOh1jcSfcfcjLIO2nwcCELdtJ+KENpMj6+0bIUZ9xyCW6zS6QzSvR1Q==" saltValue="+PIv0GNX4BruG3gtS1YuLg==" spinCount="100000" sheet="1" formatCells="0" formatColumns="0" formatRows="0" insertColumns="0" insertRows="0"/>
  <mergeCells count="3">
    <mergeCell ref="H7:P7"/>
    <mergeCell ref="S7:AA7"/>
    <mergeCell ref="B42:E42"/>
  </mergeCells>
  <pageMargins left="0.7" right="0.7" top="0.75" bottom="0.75" header="0.3" footer="0.3"/>
  <pageSetup scale="68" orientation="portrait" horizontalDpi="4294967293" verticalDpi="300" r:id="rId1"/>
  <colBreaks count="1" manualBreakCount="1">
    <brk id="6"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B250C-A645-487F-8E85-AFE996B1833A}">
  <dimension ref="A1:AB58"/>
  <sheetViews>
    <sheetView zoomScale="75" zoomScaleNormal="75" zoomScaleSheetLayoutView="100" workbookViewId="0">
      <selection sqref="A1:XFD1048576"/>
    </sheetView>
  </sheetViews>
  <sheetFormatPr defaultColWidth="9.88671875" defaultRowHeight="15.6"/>
  <cols>
    <col min="1" max="1" width="3.88671875" style="619" customWidth="1"/>
    <col min="2" max="2" width="47.33203125" style="619" customWidth="1"/>
    <col min="3" max="3" width="19.88671875" style="619" customWidth="1"/>
    <col min="4" max="4" width="11.88671875" style="619" customWidth="1"/>
    <col min="5" max="5" width="6.5546875" style="619" customWidth="1"/>
    <col min="6" max="6" width="2.44140625" style="618" customWidth="1"/>
    <col min="7" max="7" width="4.109375" style="616" customWidth="1"/>
    <col min="8" max="10" width="9.88671875" style="616" customWidth="1"/>
    <col min="11" max="12" width="14.109375" style="616" customWidth="1"/>
    <col min="13" max="13" width="9" style="616" customWidth="1"/>
    <col min="14" max="14" width="14" style="616" customWidth="1"/>
    <col min="15" max="15" width="14.44140625" style="616" customWidth="1"/>
    <col min="16" max="16" width="10.5546875" style="616" customWidth="1"/>
    <col min="17" max="17" width="1.88671875" style="617" customWidth="1"/>
    <col min="18" max="18" width="4.109375" style="616" customWidth="1"/>
    <col min="19" max="19" width="20.6640625" style="616" customWidth="1"/>
    <col min="20" max="21" width="9.88671875" style="616" customWidth="1"/>
    <col min="22" max="22" width="14.109375" style="616" customWidth="1"/>
    <col min="23" max="23" width="15.44140625" style="616" customWidth="1"/>
    <col min="24" max="24" width="13.88671875" style="616" customWidth="1"/>
    <col min="25" max="25" width="10" style="616" customWidth="1"/>
    <col min="26" max="26" width="3.109375" style="616" customWidth="1"/>
    <col min="27" max="27" width="4" style="616" customWidth="1"/>
    <col min="28" max="28" width="1.88671875" style="617" customWidth="1"/>
    <col min="29" max="16384" width="9.88671875" style="616"/>
  </cols>
  <sheetData>
    <row r="1" spans="1:27">
      <c r="A1" s="661" t="s">
        <v>1471</v>
      </c>
      <c r="G1" s="661" t="s">
        <v>1471</v>
      </c>
      <c r="H1" s="619"/>
      <c r="I1" s="619"/>
      <c r="J1" s="619"/>
      <c r="K1" s="619"/>
      <c r="L1" s="619"/>
      <c r="M1" s="619"/>
      <c r="N1" s="619"/>
      <c r="O1" s="619"/>
      <c r="P1" s="619"/>
      <c r="R1" s="661" t="s">
        <v>1471</v>
      </c>
      <c r="S1" s="619"/>
      <c r="T1" s="619"/>
      <c r="U1" s="619"/>
      <c r="V1" s="619"/>
      <c r="W1" s="619"/>
      <c r="X1" s="619"/>
      <c r="Y1" s="619"/>
      <c r="Z1" s="619"/>
      <c r="AA1" s="619"/>
    </row>
    <row r="2" spans="1:27">
      <c r="A2" s="661" t="s">
        <v>732</v>
      </c>
      <c r="G2" s="661" t="s">
        <v>732</v>
      </c>
      <c r="H2" s="619"/>
      <c r="I2" s="619"/>
      <c r="J2" s="619"/>
      <c r="K2" s="619"/>
      <c r="L2" s="619"/>
      <c r="M2" s="619"/>
      <c r="N2" s="619"/>
      <c r="O2" s="619"/>
      <c r="P2" s="619"/>
      <c r="R2" s="661" t="s">
        <v>732</v>
      </c>
      <c r="S2" s="619"/>
      <c r="T2" s="619"/>
      <c r="U2" s="619"/>
      <c r="V2" s="619"/>
      <c r="W2" s="619"/>
      <c r="X2" s="619"/>
      <c r="Y2" s="619"/>
      <c r="Z2" s="619"/>
      <c r="AA2" s="619"/>
    </row>
    <row r="3" spans="1:27">
      <c r="A3" s="661" t="s">
        <v>336</v>
      </c>
      <c r="G3" s="661" t="s">
        <v>336</v>
      </c>
      <c r="H3" s="619"/>
      <c r="I3" s="619"/>
      <c r="J3" s="619"/>
      <c r="K3" s="619"/>
      <c r="L3" s="619"/>
      <c r="M3" s="619"/>
      <c r="N3" s="619"/>
      <c r="O3" s="619"/>
      <c r="P3" s="619"/>
      <c r="R3" s="661" t="s">
        <v>336</v>
      </c>
      <c r="S3" s="619"/>
      <c r="T3" s="619"/>
      <c r="U3" s="619"/>
      <c r="V3" s="619"/>
      <c r="W3" s="619"/>
      <c r="X3" s="619"/>
      <c r="Y3" s="619"/>
      <c r="Z3" s="619"/>
      <c r="AA3" s="619"/>
    </row>
    <row r="4" spans="1:27">
      <c r="G4" s="619"/>
      <c r="H4" s="619"/>
      <c r="I4" s="619"/>
      <c r="J4" s="619"/>
      <c r="K4" s="619"/>
      <c r="L4" s="619"/>
      <c r="M4" s="619"/>
      <c r="N4" s="619"/>
      <c r="O4" s="619"/>
      <c r="P4" s="619"/>
      <c r="R4" s="619"/>
      <c r="S4" s="619"/>
      <c r="T4" s="619"/>
      <c r="U4" s="619"/>
      <c r="V4" s="619"/>
      <c r="W4" s="619"/>
      <c r="X4" s="619"/>
      <c r="Y4" s="619"/>
      <c r="Z4" s="619"/>
      <c r="AA4" s="619"/>
    </row>
    <row r="5" spans="1:27" ht="16.2">
      <c r="A5" s="619" t="s">
        <v>1470</v>
      </c>
      <c r="G5" s="660" t="s">
        <v>696</v>
      </c>
      <c r="H5" s="619"/>
      <c r="I5" s="619"/>
      <c r="J5" s="619"/>
      <c r="K5" s="619"/>
      <c r="L5" s="619"/>
      <c r="M5" s="619"/>
      <c r="N5" s="619"/>
      <c r="O5" s="619"/>
      <c r="P5" s="619"/>
      <c r="R5" s="660" t="s">
        <v>786</v>
      </c>
      <c r="S5" s="619"/>
      <c r="T5" s="619"/>
      <c r="U5" s="619"/>
      <c r="V5" s="619"/>
      <c r="W5" s="619"/>
      <c r="X5" s="619"/>
      <c r="Y5" s="619"/>
      <c r="Z5" s="619"/>
      <c r="AA5" s="619"/>
    </row>
    <row r="6" spans="1:27">
      <c r="A6" s="1106"/>
      <c r="G6" s="619"/>
      <c r="H6" s="619"/>
      <c r="I6" s="619"/>
      <c r="J6" s="619"/>
      <c r="K6" s="619"/>
      <c r="L6" s="619"/>
      <c r="M6" s="619"/>
      <c r="N6" s="619"/>
      <c r="O6" s="619"/>
      <c r="P6" s="619"/>
      <c r="R6" s="619"/>
      <c r="S6" s="619"/>
      <c r="T6" s="619"/>
      <c r="U6" s="619"/>
      <c r="V6" s="619"/>
      <c r="W6" s="619"/>
      <c r="X6" s="619"/>
      <c r="Y6" s="619"/>
      <c r="Z6" s="619"/>
      <c r="AA6" s="619"/>
    </row>
    <row r="7" spans="1:27" ht="15.75" customHeight="1">
      <c r="A7" s="1106" t="s">
        <v>1469</v>
      </c>
      <c r="B7" s="643"/>
      <c r="C7" s="643"/>
      <c r="D7" s="643"/>
      <c r="E7" s="643"/>
      <c r="G7" s="619" t="s">
        <v>687</v>
      </c>
      <c r="H7" s="1621" t="s">
        <v>1468</v>
      </c>
      <c r="I7" s="1621"/>
      <c r="J7" s="1621"/>
      <c r="K7" s="1621"/>
      <c r="L7" s="1621"/>
      <c r="M7" s="1621"/>
      <c r="N7" s="1621"/>
      <c r="O7" s="1621"/>
      <c r="P7" s="1621"/>
      <c r="R7" s="619" t="s">
        <v>834</v>
      </c>
      <c r="S7" s="1621" t="s">
        <v>1450</v>
      </c>
      <c r="T7" s="1621"/>
      <c r="U7" s="1621"/>
      <c r="V7" s="1621"/>
      <c r="W7" s="1621"/>
      <c r="X7" s="1621"/>
      <c r="Y7" s="1621"/>
      <c r="Z7" s="1621"/>
      <c r="AA7" s="1621"/>
    </row>
    <row r="8" spans="1:27" ht="16.2" thickBot="1">
      <c r="B8" s="658"/>
      <c r="C8" s="658"/>
      <c r="D8" s="658"/>
      <c r="E8" s="658"/>
      <c r="G8" s="619"/>
      <c r="H8" s="639"/>
      <c r="I8" s="619"/>
      <c r="J8" s="619"/>
      <c r="K8" s="619"/>
      <c r="L8" s="619"/>
      <c r="M8" s="638"/>
      <c r="N8" s="653"/>
      <c r="O8" s="653"/>
      <c r="P8" s="653"/>
      <c r="R8" s="1089"/>
      <c r="S8" s="639"/>
      <c r="T8" s="619"/>
      <c r="U8" s="619"/>
      <c r="V8" s="619"/>
      <c r="W8" s="619"/>
      <c r="X8" s="638"/>
      <c r="Y8" s="653"/>
      <c r="Z8" s="653"/>
      <c r="AA8" s="653"/>
    </row>
    <row r="9" spans="1:27" ht="16.2" thickBot="1">
      <c r="B9" s="1097" t="s">
        <v>771</v>
      </c>
      <c r="C9" s="1096">
        <v>3.3000000000000002E-2</v>
      </c>
      <c r="D9" s="636"/>
      <c r="E9" s="635"/>
      <c r="G9" s="619"/>
      <c r="H9" s="636" t="s">
        <v>683</v>
      </c>
      <c r="I9" s="619"/>
      <c r="J9" s="619"/>
      <c r="K9" s="619"/>
      <c r="L9" s="619"/>
      <c r="M9" s="638"/>
      <c r="N9" s="653"/>
      <c r="O9" s="653"/>
      <c r="P9" s="653"/>
      <c r="R9" s="1090" t="s">
        <v>1449</v>
      </c>
      <c r="S9" s="636"/>
      <c r="T9" s="619"/>
      <c r="U9" s="619"/>
      <c r="V9" s="619"/>
      <c r="W9" s="619"/>
      <c r="X9" s="638"/>
      <c r="Y9" s="653"/>
      <c r="Z9" s="653"/>
      <c r="AA9" s="653"/>
    </row>
    <row r="10" spans="1:27" ht="16.2" thickBot="1">
      <c r="B10" s="1093" t="s">
        <v>770</v>
      </c>
      <c r="C10" s="1105">
        <v>5.2999999999999999E-2</v>
      </c>
      <c r="G10" s="619"/>
      <c r="H10" s="619"/>
      <c r="I10" s="619"/>
      <c r="J10" s="619"/>
      <c r="K10" s="619"/>
      <c r="L10" s="619"/>
      <c r="M10" s="635"/>
      <c r="N10" s="653"/>
      <c r="O10" s="653"/>
      <c r="P10" s="653"/>
      <c r="R10" s="1089"/>
      <c r="S10" s="619"/>
      <c r="T10" s="619"/>
      <c r="U10" s="619"/>
      <c r="V10" s="619"/>
      <c r="W10" s="619"/>
      <c r="X10" s="635"/>
      <c r="Y10" s="653"/>
      <c r="Z10" s="653"/>
      <c r="AA10" s="653"/>
    </row>
    <row r="11" spans="1:27" s="617" customFormat="1" ht="16.2" thickBot="1">
      <c r="A11" s="619"/>
      <c r="B11" s="1093" t="s">
        <v>1467</v>
      </c>
      <c r="C11" s="1094"/>
      <c r="D11" s="619"/>
      <c r="E11" s="619"/>
      <c r="F11" s="618"/>
      <c r="G11" s="616"/>
      <c r="H11" s="630"/>
      <c r="I11" s="630"/>
      <c r="J11" s="616"/>
      <c r="K11" s="616"/>
      <c r="L11" s="616"/>
      <c r="M11" s="616"/>
      <c r="N11" s="616"/>
      <c r="O11" s="616"/>
      <c r="P11" s="616"/>
      <c r="R11" s="1090" t="s">
        <v>1448</v>
      </c>
      <c r="S11" s="1104"/>
      <c r="T11" s="1104"/>
      <c r="U11" s="1100"/>
      <c r="V11" s="1100"/>
      <c r="W11" s="1100"/>
      <c r="X11" s="1100"/>
      <c r="Y11" s="1100"/>
      <c r="Z11" s="1100"/>
      <c r="AA11" s="1100"/>
    </row>
    <row r="12" spans="1:27" ht="16.2" thickBot="1">
      <c r="B12" s="1095" t="s">
        <v>1466</v>
      </c>
      <c r="C12" s="1092">
        <v>73760000</v>
      </c>
      <c r="R12" s="1089"/>
      <c r="S12" s="1100"/>
      <c r="T12" s="1100"/>
      <c r="U12" s="1100"/>
      <c r="V12" s="1100"/>
      <c r="W12" s="1100"/>
      <c r="X12" s="1100"/>
      <c r="Y12" s="1100"/>
      <c r="Z12" s="1100"/>
      <c r="AA12" s="1100"/>
    </row>
    <row r="13" spans="1:27" s="617" customFormat="1" ht="16.2" thickBot="1">
      <c r="A13" s="619"/>
      <c r="B13" s="1095" t="s">
        <v>1465</v>
      </c>
      <c r="C13" s="1092">
        <v>90127000</v>
      </c>
      <c r="D13" s="619"/>
      <c r="E13" s="619"/>
      <c r="F13" s="618"/>
      <c r="G13" s="616"/>
      <c r="H13" s="630" t="s">
        <v>1494</v>
      </c>
      <c r="I13" s="616"/>
      <c r="J13" s="624"/>
      <c r="K13" s="623"/>
      <c r="L13" s="625"/>
      <c r="M13" s="616"/>
      <c r="N13" s="616"/>
      <c r="O13" s="616"/>
      <c r="P13" s="616"/>
      <c r="R13" s="1088" t="s">
        <v>1447</v>
      </c>
      <c r="S13" s="1100"/>
      <c r="T13" s="1100"/>
      <c r="U13" s="1103"/>
      <c r="V13" s="1102"/>
      <c r="W13" s="1101"/>
      <c r="X13" s="1100"/>
      <c r="Y13" s="1100"/>
      <c r="Z13" s="1100"/>
      <c r="AA13" s="1100"/>
    </row>
    <row r="14" spans="1:27" s="617" customFormat="1" ht="16.2" thickBot="1">
      <c r="A14" s="619"/>
      <c r="B14" s="1093" t="s">
        <v>768</v>
      </c>
      <c r="C14" s="1092">
        <v>157759000</v>
      </c>
      <c r="D14" s="619"/>
      <c r="E14" s="619"/>
      <c r="F14" s="618"/>
      <c r="G14" s="616"/>
      <c r="H14" s="616" t="s">
        <v>1005</v>
      </c>
      <c r="I14" s="616"/>
      <c r="J14" s="624"/>
      <c r="K14" s="1111">
        <f>C15*(1+C9)</f>
        <v>2739516</v>
      </c>
      <c r="L14" s="625"/>
      <c r="M14" s="616"/>
      <c r="N14" s="616"/>
      <c r="O14" s="616"/>
      <c r="P14" s="616"/>
      <c r="R14" s="616"/>
      <c r="S14" s="627"/>
      <c r="T14" s="616"/>
      <c r="U14" s="624"/>
      <c r="V14" s="623"/>
      <c r="W14" s="625"/>
      <c r="X14" s="616"/>
      <c r="Y14" s="616"/>
      <c r="Z14" s="616"/>
      <c r="AA14" s="616"/>
    </row>
    <row r="15" spans="1:27" s="617" customFormat="1" ht="16.2" thickBot="1">
      <c r="A15" s="619"/>
      <c r="B15" s="1093" t="s">
        <v>1005</v>
      </c>
      <c r="C15" s="1092">
        <v>2652000</v>
      </c>
      <c r="D15" s="619"/>
      <c r="E15" s="619"/>
      <c r="F15" s="618"/>
      <c r="G15" s="616"/>
      <c r="H15" s="616" t="s">
        <v>1041</v>
      </c>
      <c r="I15" s="616"/>
      <c r="J15" s="624"/>
      <c r="K15" s="1111">
        <f>(SUM(C12:C13)-C16/2)*C9</f>
        <v>5255019</v>
      </c>
      <c r="L15" s="625"/>
      <c r="M15" s="616"/>
      <c r="N15" s="616"/>
      <c r="O15" s="616"/>
      <c r="P15" s="616"/>
      <c r="R15" s="616"/>
      <c r="S15" s="631"/>
      <c r="T15" s="616"/>
      <c r="U15" s="624"/>
      <c r="V15" s="623"/>
      <c r="W15" s="625"/>
      <c r="X15" s="616"/>
      <c r="Y15" s="616"/>
      <c r="Z15" s="616"/>
      <c r="AA15" s="616"/>
    </row>
    <row r="16" spans="1:27" s="617" customFormat="1" ht="21" thickBot="1">
      <c r="A16" s="619"/>
      <c r="B16" s="1093" t="s">
        <v>1464</v>
      </c>
      <c r="C16" s="1092">
        <v>9288000</v>
      </c>
      <c r="D16" s="619"/>
      <c r="E16" s="619"/>
      <c r="F16" s="618"/>
      <c r="G16" s="616"/>
      <c r="H16" s="1110" t="s">
        <v>1477</v>
      </c>
      <c r="I16" s="1110"/>
      <c r="J16" s="1114"/>
      <c r="K16" s="1115">
        <f>-(C14-C16/2+C17/2)*C10</f>
        <v>-8174587.5</v>
      </c>
      <c r="L16" s="625"/>
      <c r="M16" s="616"/>
      <c r="N16" s="616"/>
      <c r="O16" s="616"/>
      <c r="P16" s="616"/>
      <c r="R16" s="616"/>
      <c r="S16" s="1107" t="s">
        <v>1493</v>
      </c>
      <c r="T16" s="616"/>
      <c r="U16" s="624"/>
      <c r="V16" s="623"/>
      <c r="W16" s="625"/>
      <c r="X16" s="616"/>
      <c r="Y16" s="616"/>
      <c r="Z16" s="616"/>
      <c r="AA16" s="616"/>
    </row>
    <row r="17" spans="1:27" s="617" customFormat="1" ht="18" thickBot="1">
      <c r="A17" s="619"/>
      <c r="B17" s="1093" t="s">
        <v>1463</v>
      </c>
      <c r="C17" s="1092">
        <v>2245000</v>
      </c>
      <c r="D17" s="619"/>
      <c r="E17" s="619"/>
      <c r="F17" s="618"/>
      <c r="G17" s="616"/>
      <c r="H17" s="616" t="s">
        <v>1215</v>
      </c>
      <c r="I17" s="616"/>
      <c r="J17" s="631"/>
      <c r="K17" s="1111">
        <f>SUM(K14:K16)</f>
        <v>-180052.5</v>
      </c>
      <c r="L17" s="622"/>
      <c r="M17" s="616"/>
      <c r="N17" s="616"/>
      <c r="O17" s="616"/>
      <c r="P17" s="633"/>
      <c r="R17" s="616"/>
      <c r="S17" s="634"/>
      <c r="T17" s="616"/>
      <c r="U17" s="631"/>
      <c r="V17" s="623"/>
      <c r="W17" s="622"/>
      <c r="X17" s="616"/>
      <c r="Y17" s="616"/>
      <c r="Z17" s="616"/>
      <c r="AA17" s="633"/>
    </row>
    <row r="18" spans="1:27" s="617" customFormat="1">
      <c r="A18" s="619"/>
      <c r="B18" s="619"/>
      <c r="C18" s="619"/>
      <c r="D18" s="619"/>
      <c r="E18" s="619"/>
      <c r="F18" s="618"/>
      <c r="G18" s="616"/>
      <c r="H18" s="634"/>
      <c r="I18" s="616"/>
      <c r="J18" s="631"/>
      <c r="K18" s="616"/>
      <c r="L18" s="620"/>
      <c r="M18" s="616"/>
      <c r="N18" s="616"/>
      <c r="O18" s="616"/>
      <c r="P18" s="633"/>
      <c r="R18" s="616"/>
      <c r="S18" s="616"/>
      <c r="T18" s="616"/>
      <c r="U18" s="631"/>
      <c r="V18" s="1117" t="s">
        <v>1466</v>
      </c>
      <c r="W18" s="1118" t="s">
        <v>1465</v>
      </c>
      <c r="X18" s="1117" t="s">
        <v>440</v>
      </c>
      <c r="Y18" s="616"/>
      <c r="Z18" s="616"/>
      <c r="AA18" s="633"/>
    </row>
    <row r="19" spans="1:27" s="617" customFormat="1">
      <c r="A19" s="1091" t="s">
        <v>1462</v>
      </c>
      <c r="B19" s="619"/>
      <c r="C19" s="619"/>
      <c r="D19" s="619"/>
      <c r="E19" s="619"/>
      <c r="F19" s="618"/>
      <c r="G19" s="616"/>
      <c r="H19" s="632"/>
      <c r="I19" s="628"/>
      <c r="J19" s="631"/>
      <c r="K19" s="616"/>
      <c r="L19" s="620"/>
      <c r="M19" s="616"/>
      <c r="N19" s="616"/>
      <c r="O19" s="616"/>
      <c r="P19" s="616"/>
      <c r="R19" s="616"/>
      <c r="S19" s="616" t="s">
        <v>1492</v>
      </c>
      <c r="T19" s="628"/>
      <c r="U19" s="631"/>
      <c r="V19" s="1116">
        <f>C12</f>
        <v>73760000</v>
      </c>
      <c r="W19" s="1116">
        <f>C13</f>
        <v>90127000</v>
      </c>
      <c r="X19" s="1108">
        <f>SUM(V19:W19)</f>
        <v>163887000</v>
      </c>
      <c r="Y19" s="616"/>
      <c r="Z19" s="616"/>
      <c r="AA19" s="616"/>
    </row>
    <row r="20" spans="1:27" s="617" customFormat="1">
      <c r="A20" s="1089" t="s">
        <v>1461</v>
      </c>
      <c r="B20" s="619"/>
      <c r="C20" s="619"/>
      <c r="D20" s="619"/>
      <c r="E20" s="619"/>
      <c r="F20" s="618"/>
      <c r="G20" s="616"/>
      <c r="H20" s="630"/>
      <c r="I20" s="630"/>
      <c r="J20" s="616"/>
      <c r="K20" s="616"/>
      <c r="L20" s="616"/>
      <c r="M20" s="616"/>
      <c r="N20" s="616"/>
      <c r="O20" s="616"/>
      <c r="P20" s="616"/>
      <c r="R20" s="616"/>
      <c r="S20" s="616" t="s">
        <v>1218</v>
      </c>
      <c r="T20" s="630"/>
      <c r="U20" s="616"/>
      <c r="V20" s="1116">
        <f>K14/2</f>
        <v>1369758</v>
      </c>
      <c r="W20" s="1116">
        <v>0</v>
      </c>
      <c r="X20" s="1108">
        <f>SUM(V20:W20)</f>
        <v>1369758</v>
      </c>
      <c r="Y20" s="616"/>
      <c r="Z20" s="616"/>
      <c r="AA20" s="616"/>
    </row>
    <row r="21" spans="1:27">
      <c r="A21" s="1089"/>
      <c r="S21" s="616" t="s">
        <v>1217</v>
      </c>
      <c r="V21" s="1116">
        <f>V19*C9/2</f>
        <v>1217040</v>
      </c>
      <c r="W21" s="1116">
        <f>(W19+W22)*C9/2</f>
        <v>1410469.5</v>
      </c>
      <c r="X21" s="1108">
        <f>SUM(V21:W21)</f>
        <v>2627509.5</v>
      </c>
    </row>
    <row r="22" spans="1:27">
      <c r="A22" s="1098" t="s">
        <v>1460</v>
      </c>
      <c r="S22" s="1110" t="s">
        <v>543</v>
      </c>
      <c r="T22" s="1110"/>
      <c r="U22" s="1110"/>
      <c r="V22" s="1115">
        <v>0</v>
      </c>
      <c r="W22" s="1115">
        <f>-C16/2</f>
        <v>-4644000</v>
      </c>
      <c r="X22" s="1115">
        <f>0+(SUM(V22:W22))</f>
        <v>-4644000</v>
      </c>
    </row>
    <row r="23" spans="1:27">
      <c r="A23" s="1099"/>
      <c r="B23" s="619" t="s">
        <v>1459</v>
      </c>
      <c r="S23" s="616" t="s">
        <v>1491</v>
      </c>
      <c r="V23" s="1108">
        <f>SUM(V19:V22)</f>
        <v>76346798</v>
      </c>
      <c r="W23" s="1108">
        <f>SUM(W19:W22)</f>
        <v>86893469.5</v>
      </c>
      <c r="X23" s="1108">
        <f>SUM(X19:X22)</f>
        <v>163240267.5</v>
      </c>
    </row>
    <row r="24" spans="1:27">
      <c r="A24" s="1099"/>
      <c r="H24" s="629"/>
      <c r="S24" s="1110" t="s">
        <v>1490</v>
      </c>
      <c r="T24" s="1110"/>
      <c r="U24" s="1110"/>
      <c r="V24" s="1115">
        <f>V23*((1+C33/100)^(100*(C9-C31))-1)</f>
        <v>3476234.7593432842</v>
      </c>
      <c r="W24" s="1115">
        <f>W23*((1+C34/100)^(100*(C9-C31))-1)</f>
        <v>2763495.1766541167</v>
      </c>
      <c r="X24" s="1115">
        <f>0+(SUM(V24:W24))</f>
        <v>6239729.9359974004</v>
      </c>
    </row>
    <row r="25" spans="1:27">
      <c r="A25" s="1098" t="s">
        <v>1447</v>
      </c>
      <c r="S25" s="616" t="s">
        <v>1489</v>
      </c>
      <c r="V25" s="1108">
        <f>SUM(V23:V24)</f>
        <v>79823032.759343281</v>
      </c>
      <c r="W25" s="1108">
        <f>SUM(W23:W24)</f>
        <v>89656964.676654115</v>
      </c>
      <c r="X25" s="1108">
        <f>SUM(X23:X24)</f>
        <v>169479997.4359974</v>
      </c>
    </row>
    <row r="26" spans="1:27">
      <c r="S26" s="616" t="s">
        <v>1488</v>
      </c>
      <c r="V26" s="1111">
        <v>0</v>
      </c>
      <c r="W26" s="1111">
        <f>C37-W25</f>
        <v>7633035.3233458847</v>
      </c>
      <c r="X26" s="1108">
        <f>SUM(V26:W26)</f>
        <v>7633035.3233458847</v>
      </c>
    </row>
    <row r="27" spans="1:27">
      <c r="A27" s="1091" t="s">
        <v>1458</v>
      </c>
      <c r="S27" s="1110" t="s">
        <v>1484</v>
      </c>
      <c r="T27" s="1110"/>
      <c r="U27" s="1110"/>
      <c r="V27" s="1115">
        <v>0</v>
      </c>
      <c r="W27" s="1115">
        <f>-C37</f>
        <v>-97290000</v>
      </c>
      <c r="X27" s="1115">
        <f>0+(SUM(V27:W27))</f>
        <v>-97290000</v>
      </c>
    </row>
    <row r="28" spans="1:27">
      <c r="A28" s="1091"/>
      <c r="H28" s="628"/>
      <c r="S28" s="616" t="s">
        <v>1487</v>
      </c>
      <c r="V28" s="1108">
        <f>SUM(V25:V27)</f>
        <v>79823032.759343281</v>
      </c>
      <c r="W28" s="1108">
        <f>SUM(W25:W27)</f>
        <v>0</v>
      </c>
      <c r="X28" s="1108">
        <f>SUM(X25:X27)</f>
        <v>79823032.759343266</v>
      </c>
    </row>
    <row r="29" spans="1:27">
      <c r="A29" s="1091" t="s">
        <v>1457</v>
      </c>
      <c r="H29" s="627"/>
      <c r="S29" s="627"/>
    </row>
    <row r="30" spans="1:27" ht="16.2" thickBot="1">
      <c r="I30" s="626"/>
      <c r="J30" s="626"/>
      <c r="K30" s="626"/>
      <c r="L30" s="626"/>
      <c r="S30" s="616" t="s">
        <v>1486</v>
      </c>
      <c r="T30" s="626"/>
      <c r="U30" s="626"/>
      <c r="V30" s="626"/>
      <c r="W30" s="626"/>
      <c r="X30" s="1108">
        <f>C14</f>
        <v>157759000</v>
      </c>
    </row>
    <row r="31" spans="1:27" ht="16.2" thickBot="1">
      <c r="B31" s="1097" t="s">
        <v>771</v>
      </c>
      <c r="C31" s="1096">
        <v>0.03</v>
      </c>
      <c r="J31" s="624"/>
      <c r="K31" s="623"/>
      <c r="L31" s="625"/>
      <c r="S31" s="616" t="s">
        <v>1144</v>
      </c>
      <c r="U31" s="624"/>
      <c r="V31" s="623"/>
      <c r="W31" s="625"/>
      <c r="X31" s="1108">
        <f>-K16/2</f>
        <v>4087293.75</v>
      </c>
    </row>
    <row r="32" spans="1:27" ht="16.2" thickBot="1">
      <c r="B32" s="1093" t="s">
        <v>1456</v>
      </c>
      <c r="C32" s="1094"/>
      <c r="J32" s="624"/>
      <c r="K32" s="623"/>
      <c r="L32" s="625"/>
      <c r="S32" s="616" t="s">
        <v>113</v>
      </c>
      <c r="U32" s="624"/>
      <c r="V32" s="623"/>
      <c r="W32" s="625"/>
      <c r="X32" s="1108">
        <f>C17/2</f>
        <v>1122500</v>
      </c>
    </row>
    <row r="33" spans="1:24" ht="16.2" thickBot="1">
      <c r="B33" s="1095" t="s">
        <v>1455</v>
      </c>
      <c r="C33" s="1094">
        <v>16</v>
      </c>
      <c r="J33" s="624"/>
      <c r="K33" s="623"/>
      <c r="L33" s="625"/>
      <c r="S33" s="616" t="s">
        <v>543</v>
      </c>
      <c r="U33" s="624"/>
      <c r="V33" s="623"/>
      <c r="W33" s="625"/>
      <c r="X33" s="1108">
        <f>-C16/2</f>
        <v>-4644000</v>
      </c>
    </row>
    <row r="34" spans="1:24" ht="16.2" thickBot="1">
      <c r="B34" s="1095" t="s">
        <v>1454</v>
      </c>
      <c r="C34" s="1094">
        <v>11</v>
      </c>
      <c r="J34" s="624"/>
      <c r="K34" s="623"/>
      <c r="L34" s="625"/>
      <c r="S34" s="616" t="s">
        <v>1485</v>
      </c>
      <c r="U34" s="624"/>
      <c r="V34" s="623"/>
      <c r="W34" s="625"/>
      <c r="X34" s="1108">
        <f>C36-SUM(X30:X33)</f>
        <v>1049206.25</v>
      </c>
    </row>
    <row r="35" spans="1:24" ht="18" thickBot="1">
      <c r="B35" s="1095" t="s">
        <v>1005</v>
      </c>
      <c r="C35" s="1094">
        <v>22</v>
      </c>
      <c r="J35" s="624"/>
      <c r="K35" s="623"/>
      <c r="L35" s="622"/>
      <c r="S35" s="1110" t="s">
        <v>1484</v>
      </c>
      <c r="T35" s="1110"/>
      <c r="U35" s="1114"/>
      <c r="V35" s="1113"/>
      <c r="W35" s="1112"/>
      <c r="X35" s="1109">
        <f>-C37</f>
        <v>-97290000</v>
      </c>
    </row>
    <row r="36" spans="1:24" ht="16.2" thickBot="1">
      <c r="B36" s="1093" t="s">
        <v>768</v>
      </c>
      <c r="C36" s="1092">
        <v>159374000</v>
      </c>
      <c r="L36" s="620"/>
      <c r="S36" s="616" t="s">
        <v>1483</v>
      </c>
      <c r="W36" s="620"/>
      <c r="X36" s="1108">
        <f>SUM(X30:X35)</f>
        <v>62084000</v>
      </c>
    </row>
    <row r="37" spans="1:24" ht="16.2" thickBot="1">
      <c r="B37" s="1093" t="s">
        <v>1453</v>
      </c>
      <c r="C37" s="1092">
        <v>97290000</v>
      </c>
    </row>
    <row r="38" spans="1:24" ht="20.399999999999999">
      <c r="J38" s="621"/>
      <c r="L38" s="620"/>
      <c r="S38" s="1107" t="s">
        <v>1482</v>
      </c>
      <c r="U38" s="621"/>
      <c r="W38" s="620"/>
    </row>
    <row r="39" spans="1:24">
      <c r="A39" s="1091" t="s">
        <v>1452</v>
      </c>
    </row>
    <row r="40" spans="1:24">
      <c r="A40" s="619" t="s">
        <v>1451</v>
      </c>
      <c r="S40" s="616" t="s">
        <v>1481</v>
      </c>
      <c r="X40" s="1108">
        <f>C15</f>
        <v>2652000</v>
      </c>
    </row>
    <row r="41" spans="1:24">
      <c r="S41" s="616" t="s">
        <v>1480</v>
      </c>
      <c r="X41" s="1108">
        <f>X40*(1+C9/2)</f>
        <v>2695758</v>
      </c>
    </row>
    <row r="42" spans="1:24" ht="15.6" customHeight="1">
      <c r="A42" s="1091" t="s">
        <v>6</v>
      </c>
      <c r="B42" s="1679" t="s">
        <v>1450</v>
      </c>
      <c r="C42" s="1679"/>
      <c r="D42" s="1679"/>
      <c r="E42" s="1679"/>
      <c r="S42" s="616" t="s">
        <v>1479</v>
      </c>
      <c r="X42" s="1108">
        <f>X41*((1+C35/100)^(100*(C9-C31)))</f>
        <v>2861467.72579969</v>
      </c>
    </row>
    <row r="43" spans="1:24">
      <c r="B43" s="1089"/>
    </row>
    <row r="44" spans="1:24">
      <c r="A44" s="1090" t="s">
        <v>1449</v>
      </c>
      <c r="B44" s="1091"/>
      <c r="S44" s="630" t="s">
        <v>1478</v>
      </c>
    </row>
    <row r="45" spans="1:24">
      <c r="A45" s="1089"/>
      <c r="S45" s="616" t="s">
        <v>1005</v>
      </c>
      <c r="X45" s="1108">
        <f>X42/2*(1+C31/2)</f>
        <v>1452194.8708433425</v>
      </c>
    </row>
    <row r="46" spans="1:24">
      <c r="A46" s="1090" t="s">
        <v>1448</v>
      </c>
      <c r="S46" s="616" t="s">
        <v>1041</v>
      </c>
      <c r="X46" s="1108">
        <f>X28*C31/2</f>
        <v>1197345.4913901489</v>
      </c>
    </row>
    <row r="47" spans="1:24">
      <c r="A47" s="1089"/>
      <c r="S47" s="1110" t="s">
        <v>1477</v>
      </c>
      <c r="T47" s="1110"/>
      <c r="U47" s="1110"/>
      <c r="V47" s="1110"/>
      <c r="W47" s="1110"/>
      <c r="X47" s="1109">
        <f>-(X36+(C17/2))*C10/2</f>
        <v>-1674972.25</v>
      </c>
    </row>
    <row r="48" spans="1:24">
      <c r="A48" s="1088" t="s">
        <v>1447</v>
      </c>
      <c r="S48" s="616" t="s">
        <v>1215</v>
      </c>
      <c r="X48" s="1111">
        <f>SUM(X45:X47)</f>
        <v>974568.11223349161</v>
      </c>
    </row>
    <row r="50" spans="19:24">
      <c r="S50" s="616" t="s">
        <v>1476</v>
      </c>
      <c r="X50" s="1108">
        <f>K17/2</f>
        <v>-90026.25</v>
      </c>
    </row>
    <row r="51" spans="19:24">
      <c r="S51" s="616" t="s">
        <v>1475</v>
      </c>
      <c r="X51" s="1108">
        <f>X24-X34</f>
        <v>5190523.6859974004</v>
      </c>
    </row>
    <row r="52" spans="19:24">
      <c r="S52" s="616" t="s">
        <v>1474</v>
      </c>
      <c r="X52" s="1108">
        <f>X26</f>
        <v>7633035.3233458847</v>
      </c>
    </row>
    <row r="53" spans="19:24">
      <c r="S53" s="1110" t="s">
        <v>1473</v>
      </c>
      <c r="T53" s="1110"/>
      <c r="U53" s="1110"/>
      <c r="V53" s="1110"/>
      <c r="W53" s="1110"/>
      <c r="X53" s="1109">
        <f>X48</f>
        <v>974568.11223349161</v>
      </c>
    </row>
    <row r="54" spans="19:24">
      <c r="S54" s="616" t="s">
        <v>1215</v>
      </c>
      <c r="X54" s="1108">
        <f>SUM(X50:X53)</f>
        <v>13708100.871576777</v>
      </c>
    </row>
    <row r="56" spans="19:24" ht="20.399999999999999">
      <c r="S56" s="1107" t="s">
        <v>1084</v>
      </c>
    </row>
    <row r="58" spans="19:24">
      <c r="S58" s="616" t="s">
        <v>1472</v>
      </c>
    </row>
  </sheetData>
  <sheetProtection algorithmName="SHA-512" hashValue="oOwQWAoeNGavIJcAst/CO4UZ561tiL5tOh1jcSfcfcjLIO2nwcCELdtJ+KENpMj6+0bIUZ9xyCW6zS6QzSvR1Q==" saltValue="+PIv0GNX4BruG3gtS1YuLg==" spinCount="100000" sheet="1" formatCells="0" formatColumns="0" formatRows="0" insertColumns="0" insertRows="0"/>
  <mergeCells count="3">
    <mergeCell ref="H7:P7"/>
    <mergeCell ref="S7:AA7"/>
    <mergeCell ref="B42:E42"/>
  </mergeCells>
  <pageMargins left="0.7" right="0.7" top="0.75" bottom="0.75" header="0.3" footer="0.3"/>
  <pageSetup scale="68" orientation="portrait" horizontalDpi="4294967293" verticalDpi="300" r:id="rId1"/>
  <colBreaks count="1" manualBreakCount="1">
    <brk id="6"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AB17A-2714-4AF1-B405-AACC74CF4378}">
  <dimension ref="A1:EL47"/>
  <sheetViews>
    <sheetView zoomScale="70" zoomScaleNormal="70" workbookViewId="0">
      <selection sqref="A1:XFD1048576"/>
    </sheetView>
  </sheetViews>
  <sheetFormatPr defaultColWidth="9.33203125" defaultRowHeight="15.6"/>
  <cols>
    <col min="1" max="1" width="3.6640625" style="2" customWidth="1"/>
    <col min="2" max="2" width="45.33203125" style="2" customWidth="1"/>
    <col min="3" max="3" width="22.33203125" style="2" customWidth="1"/>
    <col min="4" max="4" width="13.6640625" style="2" customWidth="1"/>
    <col min="5" max="5" width="1" style="3" customWidth="1"/>
    <col min="6" max="6" width="4" style="560" customWidth="1"/>
    <col min="7" max="7" width="14.5546875" style="560" bestFit="1" customWidth="1"/>
    <col min="8" max="8" width="13.88671875" style="560" bestFit="1" customWidth="1"/>
    <col min="9" max="12" width="9.33203125" style="560"/>
    <col min="13" max="13" width="16.88671875" style="560" customWidth="1"/>
    <col min="14" max="17" width="9.33203125" style="560"/>
    <col min="18" max="18" width="1" style="561" customWidth="1"/>
    <col min="19" max="30" width="9.33203125" style="560"/>
    <col min="31" max="31" width="1.88671875" style="617" customWidth="1"/>
    <col min="32" max="16384" width="9.33203125" style="560"/>
  </cols>
  <sheetData>
    <row r="1" spans="1:142">
      <c r="A1" s="1" t="s">
        <v>822</v>
      </c>
      <c r="F1" s="1" t="s">
        <v>822</v>
      </c>
      <c r="G1" s="2"/>
      <c r="H1" s="2"/>
      <c r="I1" s="2"/>
      <c r="J1" s="2"/>
      <c r="K1" s="2"/>
      <c r="L1" s="2"/>
      <c r="M1" s="2"/>
      <c r="N1" s="2"/>
      <c r="O1" s="2"/>
      <c r="P1" s="2"/>
      <c r="Q1" s="2"/>
      <c r="S1" s="1" t="s">
        <v>822</v>
      </c>
      <c r="T1" s="2"/>
      <c r="U1" s="2"/>
      <c r="V1" s="2"/>
      <c r="W1" s="2"/>
      <c r="X1" s="2"/>
      <c r="Y1" s="2"/>
      <c r="Z1" s="2"/>
      <c r="AA1" s="2"/>
      <c r="AB1" s="2"/>
      <c r="AC1" s="2"/>
      <c r="AD1" s="2"/>
      <c r="AF1" s="561"/>
      <c r="AG1" s="561"/>
      <c r="AH1" s="561"/>
      <c r="AI1" s="561"/>
      <c r="AJ1" s="561"/>
      <c r="AK1" s="561"/>
      <c r="AL1" s="561"/>
      <c r="AM1" s="561"/>
      <c r="AN1" s="561"/>
      <c r="AO1" s="561"/>
      <c r="AP1" s="561"/>
      <c r="AQ1" s="561"/>
      <c r="AR1" s="561"/>
      <c r="AS1" s="561"/>
      <c r="AT1" s="561"/>
      <c r="AU1" s="561"/>
      <c r="AV1" s="561"/>
      <c r="AW1" s="561"/>
      <c r="AX1" s="561"/>
      <c r="AY1" s="561"/>
      <c r="AZ1" s="561"/>
      <c r="BA1" s="561"/>
      <c r="BB1" s="561"/>
      <c r="BC1" s="561"/>
      <c r="BD1" s="561"/>
      <c r="BE1" s="561"/>
      <c r="BF1" s="561"/>
      <c r="BG1" s="561"/>
      <c r="BH1" s="561"/>
      <c r="BI1" s="561"/>
      <c r="BJ1" s="561"/>
      <c r="BK1" s="561"/>
      <c r="BL1" s="561"/>
      <c r="BM1" s="561"/>
      <c r="BN1" s="561"/>
      <c r="BO1" s="561"/>
      <c r="BP1" s="561"/>
      <c r="BQ1" s="561"/>
      <c r="BR1" s="561"/>
      <c r="BS1" s="561"/>
      <c r="BT1" s="561"/>
      <c r="BU1" s="561"/>
      <c r="BV1" s="561"/>
      <c r="BW1" s="561"/>
      <c r="BX1" s="561"/>
      <c r="BY1" s="561"/>
      <c r="BZ1" s="561"/>
      <c r="CA1" s="561"/>
      <c r="CB1" s="561"/>
      <c r="CC1" s="561"/>
      <c r="CD1" s="561"/>
      <c r="CE1" s="561"/>
      <c r="CF1" s="561"/>
      <c r="CG1" s="561"/>
      <c r="CH1" s="561"/>
      <c r="CI1" s="561"/>
      <c r="CJ1" s="561"/>
      <c r="CK1" s="561"/>
      <c r="CL1" s="561"/>
      <c r="CM1" s="561"/>
      <c r="CN1" s="561"/>
      <c r="CO1" s="561"/>
      <c r="CP1" s="561"/>
      <c r="CQ1" s="561"/>
      <c r="CR1" s="561"/>
      <c r="CS1" s="561"/>
      <c r="CT1" s="561"/>
      <c r="CU1" s="561"/>
      <c r="CV1" s="561"/>
      <c r="CW1" s="561"/>
      <c r="CX1" s="561"/>
      <c r="CY1" s="561"/>
      <c r="CZ1" s="561"/>
      <c r="DA1" s="561"/>
      <c r="DB1" s="561"/>
      <c r="DC1" s="561"/>
      <c r="DD1" s="561"/>
      <c r="DE1" s="561"/>
      <c r="DF1" s="561"/>
      <c r="DG1" s="561"/>
      <c r="DH1" s="561"/>
      <c r="DI1" s="561"/>
      <c r="DJ1" s="561"/>
      <c r="DK1" s="561"/>
      <c r="DL1" s="561"/>
      <c r="DM1" s="561"/>
      <c r="DN1" s="561"/>
      <c r="DO1" s="561"/>
      <c r="DP1" s="561"/>
      <c r="DQ1" s="561"/>
      <c r="DR1" s="561"/>
      <c r="DS1" s="561"/>
      <c r="DT1" s="561"/>
      <c r="DU1" s="561"/>
      <c r="DV1" s="561"/>
      <c r="DW1" s="561"/>
      <c r="DX1" s="561"/>
      <c r="DY1" s="561"/>
      <c r="DZ1" s="561"/>
      <c r="EA1" s="561"/>
      <c r="EB1" s="561"/>
      <c r="EC1" s="561"/>
      <c r="ED1" s="561"/>
      <c r="EE1" s="561"/>
      <c r="EF1" s="561"/>
      <c r="EG1" s="561"/>
      <c r="EH1" s="561"/>
      <c r="EI1" s="561"/>
      <c r="EJ1" s="561"/>
      <c r="EK1" s="561"/>
      <c r="EL1" s="561"/>
    </row>
    <row r="2" spans="1:142">
      <c r="A2" s="1" t="s">
        <v>732</v>
      </c>
      <c r="F2" s="1" t="s">
        <v>732</v>
      </c>
      <c r="G2" s="2"/>
      <c r="H2" s="2"/>
      <c r="I2" s="2"/>
      <c r="J2" s="2"/>
      <c r="K2" s="2"/>
      <c r="L2" s="2"/>
      <c r="M2" s="2"/>
      <c r="N2" s="2"/>
      <c r="O2" s="2"/>
      <c r="P2" s="2"/>
      <c r="Q2" s="2"/>
      <c r="S2" s="1" t="s">
        <v>732</v>
      </c>
      <c r="T2" s="2"/>
      <c r="U2" s="2"/>
      <c r="V2" s="2"/>
      <c r="W2" s="2"/>
      <c r="X2" s="2"/>
      <c r="Y2" s="2"/>
      <c r="Z2" s="2"/>
      <c r="AA2" s="2"/>
      <c r="AB2" s="2"/>
      <c r="AC2" s="2"/>
      <c r="AD2" s="2"/>
      <c r="AF2" s="561"/>
      <c r="AG2" s="561"/>
      <c r="AH2" s="561"/>
      <c r="AI2" s="561"/>
      <c r="AJ2" s="561"/>
      <c r="AK2" s="561"/>
      <c r="AL2" s="561"/>
      <c r="AM2" s="561"/>
      <c r="AN2" s="561"/>
      <c r="AO2" s="561"/>
      <c r="AP2" s="561"/>
      <c r="AQ2" s="561"/>
      <c r="AR2" s="561"/>
      <c r="AS2" s="561"/>
      <c r="AT2" s="561"/>
      <c r="AU2" s="561"/>
      <c r="AV2" s="561"/>
      <c r="AW2" s="561"/>
      <c r="AX2" s="561"/>
      <c r="AY2" s="561"/>
      <c r="AZ2" s="561"/>
      <c r="BA2" s="561"/>
      <c r="BB2" s="561"/>
      <c r="BC2" s="561"/>
      <c r="BD2" s="561"/>
      <c r="BE2" s="561"/>
      <c r="BF2" s="561"/>
      <c r="BG2" s="561"/>
      <c r="BH2" s="561"/>
      <c r="BI2" s="561"/>
      <c r="BJ2" s="561"/>
      <c r="BK2" s="561"/>
      <c r="BL2" s="561"/>
      <c r="BM2" s="561"/>
      <c r="BN2" s="561"/>
      <c r="BO2" s="561"/>
      <c r="BP2" s="561"/>
      <c r="BQ2" s="561"/>
      <c r="BR2" s="561"/>
      <c r="BS2" s="561"/>
      <c r="BT2" s="561"/>
      <c r="BU2" s="561"/>
      <c r="BV2" s="561"/>
      <c r="BW2" s="561"/>
      <c r="BX2" s="561"/>
      <c r="BY2" s="561"/>
      <c r="BZ2" s="561"/>
      <c r="CA2" s="561"/>
      <c r="CB2" s="561"/>
      <c r="CC2" s="561"/>
      <c r="CD2" s="561"/>
      <c r="CE2" s="561"/>
      <c r="CF2" s="561"/>
      <c r="CG2" s="561"/>
      <c r="CH2" s="561"/>
      <c r="CI2" s="561"/>
      <c r="CJ2" s="561"/>
      <c r="CK2" s="561"/>
      <c r="CL2" s="561"/>
      <c r="CM2" s="561"/>
      <c r="CN2" s="561"/>
      <c r="CO2" s="561"/>
      <c r="CP2" s="561"/>
      <c r="CQ2" s="561"/>
      <c r="CR2" s="561"/>
      <c r="CS2" s="561"/>
      <c r="CT2" s="561"/>
      <c r="CU2" s="561"/>
      <c r="CV2" s="561"/>
      <c r="CW2" s="561"/>
      <c r="CX2" s="561"/>
      <c r="CY2" s="561"/>
      <c r="CZ2" s="561"/>
      <c r="DA2" s="561"/>
      <c r="DB2" s="561"/>
      <c r="DC2" s="561"/>
      <c r="DD2" s="561"/>
      <c r="DE2" s="561"/>
      <c r="DF2" s="561"/>
      <c r="DG2" s="561"/>
      <c r="DH2" s="561"/>
      <c r="DI2" s="561"/>
      <c r="DJ2" s="561"/>
      <c r="DK2" s="561"/>
      <c r="DL2" s="561"/>
      <c r="DM2" s="561"/>
      <c r="DN2" s="561"/>
      <c r="DO2" s="561"/>
      <c r="DP2" s="561"/>
      <c r="DQ2" s="561"/>
      <c r="DR2" s="561"/>
      <c r="DS2" s="561"/>
      <c r="DT2" s="561"/>
      <c r="DU2" s="561"/>
      <c r="DV2" s="561"/>
      <c r="DW2" s="561"/>
      <c r="DX2" s="561"/>
      <c r="DY2" s="561"/>
      <c r="DZ2" s="561"/>
      <c r="EA2" s="561"/>
      <c r="EB2" s="561"/>
      <c r="EC2" s="561"/>
      <c r="ED2" s="561"/>
      <c r="EE2" s="561"/>
      <c r="EF2" s="561"/>
      <c r="EG2" s="561"/>
      <c r="EH2" s="561"/>
      <c r="EI2" s="561"/>
      <c r="EJ2" s="561"/>
      <c r="EK2" s="561"/>
      <c r="EL2" s="561"/>
    </row>
    <row r="3" spans="1:142">
      <c r="A3" s="1" t="s">
        <v>464</v>
      </c>
      <c r="F3" s="1" t="s">
        <v>464</v>
      </c>
      <c r="G3" s="2"/>
      <c r="H3" s="2"/>
      <c r="I3" s="2"/>
      <c r="J3" s="2"/>
      <c r="K3" s="2"/>
      <c r="L3" s="2"/>
      <c r="M3" s="2"/>
      <c r="N3" s="2"/>
      <c r="O3" s="2"/>
      <c r="P3" s="2"/>
      <c r="Q3" s="2"/>
      <c r="S3" s="1" t="s">
        <v>464</v>
      </c>
      <c r="T3" s="2"/>
      <c r="U3" s="2"/>
      <c r="V3" s="2"/>
      <c r="W3" s="2"/>
      <c r="X3" s="2"/>
      <c r="Y3" s="2"/>
      <c r="Z3" s="2"/>
      <c r="AA3" s="2"/>
      <c r="AB3" s="2"/>
      <c r="AC3" s="2"/>
      <c r="AD3" s="2"/>
      <c r="AF3" s="561"/>
      <c r="AG3" s="561"/>
      <c r="AH3" s="561"/>
      <c r="AI3" s="561"/>
      <c r="AJ3" s="561"/>
      <c r="AK3" s="561"/>
      <c r="AL3" s="561"/>
      <c r="AM3" s="561"/>
      <c r="AN3" s="561"/>
      <c r="AO3" s="561"/>
      <c r="AP3" s="561"/>
      <c r="AQ3" s="561"/>
      <c r="AR3" s="561"/>
      <c r="AS3" s="561"/>
      <c r="AT3" s="561"/>
      <c r="AU3" s="561"/>
      <c r="AV3" s="561"/>
      <c r="AW3" s="561"/>
      <c r="AX3" s="561"/>
      <c r="AY3" s="561"/>
      <c r="AZ3" s="561"/>
      <c r="BA3" s="561"/>
      <c r="BB3" s="561"/>
      <c r="BC3" s="561"/>
      <c r="BD3" s="561"/>
      <c r="BE3" s="561"/>
      <c r="BF3" s="561"/>
      <c r="BG3" s="561"/>
      <c r="BH3" s="561"/>
      <c r="BI3" s="561"/>
      <c r="BJ3" s="561"/>
      <c r="BK3" s="561"/>
      <c r="BL3" s="561"/>
      <c r="BM3" s="561"/>
      <c r="BN3" s="561"/>
      <c r="BO3" s="561"/>
      <c r="BP3" s="561"/>
      <c r="BQ3" s="561"/>
      <c r="BR3" s="561"/>
      <c r="BS3" s="561"/>
      <c r="BT3" s="561"/>
      <c r="BU3" s="561"/>
      <c r="BV3" s="561"/>
      <c r="BW3" s="561"/>
      <c r="BX3" s="561"/>
      <c r="BY3" s="561"/>
      <c r="BZ3" s="561"/>
      <c r="CA3" s="561"/>
      <c r="CB3" s="561"/>
      <c r="CC3" s="561"/>
      <c r="CD3" s="561"/>
      <c r="CE3" s="561"/>
      <c r="CF3" s="561"/>
      <c r="CG3" s="561"/>
      <c r="CH3" s="561"/>
      <c r="CI3" s="561"/>
      <c r="CJ3" s="561"/>
      <c r="CK3" s="561"/>
      <c r="CL3" s="561"/>
      <c r="CM3" s="561"/>
      <c r="CN3" s="561"/>
      <c r="CO3" s="561"/>
      <c r="CP3" s="561"/>
      <c r="CQ3" s="561"/>
      <c r="CR3" s="561"/>
      <c r="CS3" s="561"/>
      <c r="CT3" s="561"/>
      <c r="CU3" s="561"/>
      <c r="CV3" s="561"/>
      <c r="CW3" s="561"/>
      <c r="CX3" s="561"/>
      <c r="CY3" s="561"/>
      <c r="CZ3" s="561"/>
      <c r="DA3" s="561"/>
      <c r="DB3" s="561"/>
      <c r="DC3" s="561"/>
      <c r="DD3" s="561"/>
      <c r="DE3" s="561"/>
      <c r="DF3" s="561"/>
      <c r="DG3" s="561"/>
      <c r="DH3" s="561"/>
      <c r="DI3" s="561"/>
      <c r="DJ3" s="561"/>
      <c r="DK3" s="561"/>
      <c r="DL3" s="561"/>
      <c r="DM3" s="561"/>
      <c r="DN3" s="561"/>
      <c r="DO3" s="561"/>
      <c r="DP3" s="561"/>
      <c r="DQ3" s="561"/>
      <c r="DR3" s="561"/>
      <c r="DS3" s="561"/>
      <c r="DT3" s="561"/>
      <c r="DU3" s="561"/>
      <c r="DV3" s="561"/>
      <c r="DW3" s="561"/>
      <c r="DX3" s="561"/>
      <c r="DY3" s="561"/>
      <c r="DZ3" s="561"/>
      <c r="EA3" s="561"/>
      <c r="EB3" s="561"/>
      <c r="EC3" s="561"/>
      <c r="ED3" s="561"/>
      <c r="EE3" s="561"/>
      <c r="EF3" s="561"/>
      <c r="EG3" s="561"/>
      <c r="EH3" s="561"/>
      <c r="EI3" s="561"/>
      <c r="EJ3" s="561"/>
      <c r="EK3" s="561"/>
      <c r="EL3" s="561"/>
    </row>
    <row r="4" spans="1:142">
      <c r="F4" s="2"/>
      <c r="G4" s="2"/>
      <c r="H4" s="2"/>
      <c r="I4" s="2"/>
      <c r="J4" s="2"/>
      <c r="K4" s="2"/>
      <c r="L4" s="2"/>
      <c r="M4" s="2"/>
      <c r="N4" s="2"/>
      <c r="O4" s="2"/>
      <c r="P4" s="2"/>
      <c r="Q4" s="2"/>
      <c r="S4" s="2"/>
      <c r="T4" s="2"/>
      <c r="U4" s="2"/>
      <c r="V4" s="2"/>
      <c r="W4" s="2"/>
      <c r="X4" s="2"/>
      <c r="Y4" s="2"/>
      <c r="Z4" s="2"/>
      <c r="AA4" s="2"/>
      <c r="AB4" s="2"/>
      <c r="AC4" s="2"/>
      <c r="AD4" s="2"/>
      <c r="AF4" s="561"/>
      <c r="AG4" s="561"/>
      <c r="AH4" s="561"/>
      <c r="AI4" s="561"/>
      <c r="AJ4" s="561"/>
      <c r="AK4" s="561"/>
      <c r="AL4" s="561"/>
      <c r="AM4" s="561"/>
      <c r="AN4" s="561"/>
      <c r="AO4" s="561"/>
      <c r="AP4" s="561"/>
      <c r="AQ4" s="561"/>
      <c r="AR4" s="561"/>
      <c r="AS4" s="561"/>
      <c r="AT4" s="561"/>
      <c r="AU4" s="561"/>
      <c r="AV4" s="561"/>
      <c r="AW4" s="561"/>
      <c r="AX4" s="561"/>
      <c r="AY4" s="561"/>
      <c r="AZ4" s="561"/>
      <c r="BA4" s="561"/>
      <c r="BB4" s="561"/>
      <c r="BC4" s="561"/>
      <c r="BD4" s="561"/>
      <c r="BE4" s="561"/>
      <c r="BF4" s="561"/>
      <c r="BG4" s="561"/>
      <c r="BH4" s="561"/>
      <c r="BI4" s="561"/>
      <c r="BJ4" s="561"/>
      <c r="BK4" s="561"/>
      <c r="BL4" s="561"/>
      <c r="BM4" s="561"/>
      <c r="BN4" s="561"/>
      <c r="BO4" s="561"/>
      <c r="BP4" s="561"/>
      <c r="BQ4" s="561"/>
      <c r="BR4" s="561"/>
      <c r="BS4" s="561"/>
      <c r="BT4" s="561"/>
      <c r="BU4" s="561"/>
      <c r="BV4" s="561"/>
      <c r="BW4" s="561"/>
      <c r="BX4" s="561"/>
      <c r="BY4" s="561"/>
      <c r="BZ4" s="561"/>
      <c r="CA4" s="561"/>
      <c r="CB4" s="561"/>
      <c r="CC4" s="561"/>
      <c r="CD4" s="561"/>
      <c r="CE4" s="561"/>
      <c r="CF4" s="561"/>
      <c r="CG4" s="561"/>
      <c r="CH4" s="561"/>
      <c r="CI4" s="561"/>
      <c r="CJ4" s="561"/>
      <c r="CK4" s="561"/>
      <c r="CL4" s="561"/>
      <c r="CM4" s="561"/>
      <c r="CN4" s="561"/>
      <c r="CO4" s="561"/>
      <c r="CP4" s="561"/>
      <c r="CQ4" s="561"/>
      <c r="CR4" s="561"/>
      <c r="CS4" s="561"/>
      <c r="CT4" s="561"/>
      <c r="CU4" s="561"/>
      <c r="CV4" s="561"/>
      <c r="CW4" s="561"/>
      <c r="CX4" s="561"/>
      <c r="CY4" s="561"/>
      <c r="CZ4" s="561"/>
      <c r="DA4" s="561"/>
      <c r="DB4" s="561"/>
      <c r="DC4" s="561"/>
      <c r="DD4" s="561"/>
      <c r="DE4" s="561"/>
      <c r="DF4" s="561"/>
      <c r="DG4" s="561"/>
      <c r="DH4" s="561"/>
      <c r="DI4" s="561"/>
      <c r="DJ4" s="561"/>
      <c r="DK4" s="561"/>
      <c r="DL4" s="561"/>
      <c r="DM4" s="561"/>
      <c r="DN4" s="561"/>
      <c r="DO4" s="561"/>
      <c r="DP4" s="561"/>
      <c r="DQ4" s="561"/>
      <c r="DR4" s="561"/>
      <c r="DS4" s="561"/>
      <c r="DT4" s="561"/>
      <c r="DU4" s="561"/>
      <c r="DV4" s="561"/>
      <c r="DW4" s="561"/>
      <c r="DX4" s="561"/>
      <c r="DY4" s="561"/>
      <c r="DZ4" s="561"/>
      <c r="EA4" s="561"/>
      <c r="EB4" s="561"/>
      <c r="EC4" s="561"/>
      <c r="ED4" s="561"/>
      <c r="EE4" s="561"/>
      <c r="EF4" s="561"/>
      <c r="EG4" s="561"/>
      <c r="EH4" s="561"/>
      <c r="EI4" s="561"/>
      <c r="EJ4" s="561"/>
      <c r="EK4" s="561"/>
      <c r="EL4" s="561"/>
    </row>
    <row r="5" spans="1:142" ht="16.2">
      <c r="A5" s="6" t="s">
        <v>697</v>
      </c>
      <c r="F5" s="660" t="s">
        <v>696</v>
      </c>
      <c r="G5" s="2"/>
      <c r="H5" s="2"/>
      <c r="I5" s="2"/>
      <c r="J5" s="2"/>
      <c r="K5" s="2"/>
      <c r="L5" s="2"/>
      <c r="M5" s="2"/>
      <c r="N5" s="2"/>
      <c r="O5" s="2"/>
      <c r="P5" s="2"/>
      <c r="Q5" s="2"/>
      <c r="S5" s="660" t="s">
        <v>786</v>
      </c>
      <c r="T5" s="2"/>
      <c r="U5" s="2"/>
      <c r="V5" s="2"/>
      <c r="W5" s="2"/>
      <c r="X5" s="2"/>
      <c r="Y5" s="2"/>
      <c r="Z5" s="2"/>
      <c r="AA5" s="2"/>
      <c r="AB5" s="2"/>
      <c r="AC5" s="2"/>
      <c r="AD5" s="2"/>
      <c r="AF5" s="561"/>
      <c r="AG5" s="561"/>
      <c r="AH5" s="561"/>
      <c r="AI5" s="561"/>
      <c r="AJ5" s="561"/>
      <c r="AK5" s="561"/>
      <c r="AL5" s="561"/>
      <c r="AM5" s="561"/>
      <c r="AN5" s="561"/>
      <c r="AO5" s="561"/>
      <c r="AP5" s="561"/>
      <c r="AQ5" s="561"/>
      <c r="AR5" s="561"/>
      <c r="AS5" s="561"/>
      <c r="AT5" s="561"/>
      <c r="AU5" s="561"/>
      <c r="AV5" s="561"/>
      <c r="AW5" s="561"/>
      <c r="AX5" s="561"/>
      <c r="AY5" s="561"/>
      <c r="AZ5" s="561"/>
      <c r="BA5" s="561"/>
      <c r="BB5" s="561"/>
      <c r="BC5" s="561"/>
      <c r="BD5" s="561"/>
      <c r="BE5" s="561"/>
      <c r="BF5" s="561"/>
      <c r="BG5" s="561"/>
      <c r="BH5" s="561"/>
      <c r="BI5" s="561"/>
      <c r="BJ5" s="561"/>
      <c r="BK5" s="561"/>
      <c r="BL5" s="561"/>
      <c r="BM5" s="561"/>
      <c r="BN5" s="561"/>
      <c r="BO5" s="561"/>
      <c r="BP5" s="561"/>
      <c r="BQ5" s="561"/>
      <c r="BR5" s="561"/>
      <c r="BS5" s="561"/>
      <c r="BT5" s="561"/>
      <c r="BU5" s="561"/>
      <c r="BV5" s="561"/>
      <c r="BW5" s="561"/>
      <c r="BX5" s="561"/>
      <c r="BY5" s="561"/>
      <c r="BZ5" s="561"/>
      <c r="CA5" s="561"/>
      <c r="CB5" s="561"/>
      <c r="CC5" s="561"/>
      <c r="CD5" s="561"/>
      <c r="CE5" s="561"/>
      <c r="CF5" s="561"/>
      <c r="CG5" s="561"/>
      <c r="CH5" s="561"/>
      <c r="CI5" s="561"/>
      <c r="CJ5" s="561"/>
      <c r="CK5" s="561"/>
      <c r="CL5" s="561"/>
      <c r="CM5" s="561"/>
      <c r="CN5" s="561"/>
      <c r="CO5" s="561"/>
      <c r="CP5" s="561"/>
      <c r="CQ5" s="561"/>
      <c r="CR5" s="561"/>
      <c r="CS5" s="561"/>
      <c r="CT5" s="561"/>
      <c r="CU5" s="561"/>
      <c r="CV5" s="561"/>
      <c r="CW5" s="561"/>
      <c r="CX5" s="561"/>
      <c r="CY5" s="561"/>
      <c r="CZ5" s="561"/>
      <c r="DA5" s="561"/>
      <c r="DB5" s="561"/>
      <c r="DC5" s="561"/>
      <c r="DD5" s="561"/>
      <c r="DE5" s="561"/>
      <c r="DF5" s="561"/>
      <c r="DG5" s="561"/>
      <c r="DH5" s="561"/>
      <c r="DI5" s="561"/>
      <c r="DJ5" s="561"/>
      <c r="DK5" s="561"/>
      <c r="DL5" s="561"/>
      <c r="DM5" s="561"/>
      <c r="DN5" s="561"/>
      <c r="DO5" s="561"/>
      <c r="DP5" s="561"/>
      <c r="DQ5" s="561"/>
      <c r="DR5" s="561"/>
      <c r="DS5" s="561"/>
      <c r="DT5" s="561"/>
      <c r="DU5" s="561"/>
      <c r="DV5" s="561"/>
      <c r="DW5" s="561"/>
      <c r="DX5" s="561"/>
      <c r="DY5" s="561"/>
      <c r="DZ5" s="561"/>
      <c r="EA5" s="561"/>
      <c r="EB5" s="561"/>
      <c r="EC5" s="561"/>
      <c r="ED5" s="561"/>
      <c r="EE5" s="561"/>
      <c r="EF5" s="561"/>
      <c r="EG5" s="561"/>
      <c r="EH5" s="561"/>
      <c r="EI5" s="561"/>
      <c r="EJ5" s="561"/>
      <c r="EK5" s="561"/>
      <c r="EL5" s="561"/>
    </row>
    <row r="6" spans="1:142">
      <c r="A6" s="594"/>
      <c r="F6" s="2"/>
      <c r="G6" s="2"/>
      <c r="H6" s="2"/>
      <c r="I6" s="2"/>
      <c r="J6" s="2"/>
      <c r="K6" s="2"/>
      <c r="L6" s="2"/>
      <c r="M6" s="2"/>
      <c r="N6" s="2"/>
      <c r="O6" s="2"/>
      <c r="P6" s="2"/>
      <c r="Q6" s="2"/>
      <c r="S6" s="2"/>
      <c r="T6" s="2"/>
      <c r="U6" s="2"/>
      <c r="V6" s="2"/>
      <c r="W6" s="2"/>
      <c r="X6" s="2"/>
      <c r="Y6" s="2"/>
      <c r="Z6" s="2"/>
      <c r="AA6" s="2"/>
      <c r="AB6" s="2"/>
      <c r="AC6" s="2"/>
      <c r="AD6" s="2"/>
      <c r="AF6" s="561"/>
      <c r="AG6" s="561"/>
      <c r="AH6" s="561"/>
      <c r="AI6" s="561"/>
      <c r="AJ6" s="561"/>
      <c r="AK6" s="561"/>
      <c r="AL6" s="561"/>
      <c r="AM6" s="561"/>
      <c r="AN6" s="561"/>
      <c r="AO6" s="561"/>
      <c r="AP6" s="561"/>
      <c r="AQ6" s="561"/>
      <c r="AR6" s="561"/>
      <c r="AS6" s="561"/>
      <c r="AT6" s="561"/>
      <c r="AU6" s="561"/>
      <c r="AV6" s="561"/>
      <c r="AW6" s="561"/>
      <c r="AX6" s="561"/>
      <c r="AY6" s="561"/>
      <c r="AZ6" s="561"/>
      <c r="BA6" s="561"/>
      <c r="BB6" s="561"/>
      <c r="BC6" s="561"/>
      <c r="BD6" s="561"/>
      <c r="BE6" s="561"/>
      <c r="BF6" s="561"/>
      <c r="BG6" s="561"/>
      <c r="BH6" s="561"/>
      <c r="BI6" s="561"/>
      <c r="BJ6" s="561"/>
      <c r="BK6" s="561"/>
      <c r="BL6" s="561"/>
      <c r="BM6" s="561"/>
      <c r="BN6" s="561"/>
      <c r="BO6" s="561"/>
      <c r="BP6" s="561"/>
      <c r="BQ6" s="561"/>
      <c r="BR6" s="561"/>
      <c r="BS6" s="561"/>
      <c r="BT6" s="561"/>
      <c r="BU6" s="561"/>
      <c r="BV6" s="561"/>
      <c r="BW6" s="561"/>
      <c r="BX6" s="561"/>
      <c r="BY6" s="561"/>
      <c r="BZ6" s="561"/>
      <c r="CA6" s="561"/>
      <c r="CB6" s="561"/>
      <c r="CC6" s="561"/>
      <c r="CD6" s="561"/>
      <c r="CE6" s="561"/>
      <c r="CF6" s="561"/>
      <c r="CG6" s="561"/>
      <c r="CH6" s="561"/>
      <c r="CI6" s="561"/>
      <c r="CJ6" s="561"/>
      <c r="CK6" s="561"/>
      <c r="CL6" s="561"/>
      <c r="CM6" s="561"/>
      <c r="CN6" s="561"/>
      <c r="CO6" s="561"/>
      <c r="CP6" s="561"/>
      <c r="CQ6" s="561"/>
      <c r="CR6" s="561"/>
      <c r="CS6" s="561"/>
      <c r="CT6" s="561"/>
      <c r="CU6" s="561"/>
      <c r="CV6" s="561"/>
      <c r="CW6" s="561"/>
      <c r="CX6" s="561"/>
      <c r="CY6" s="561"/>
      <c r="CZ6" s="561"/>
      <c r="DA6" s="561"/>
      <c r="DB6" s="561"/>
      <c r="DC6" s="561"/>
      <c r="DD6" s="561"/>
      <c r="DE6" s="561"/>
      <c r="DF6" s="561"/>
      <c r="DG6" s="561"/>
      <c r="DH6" s="561"/>
      <c r="DI6" s="561"/>
      <c r="DJ6" s="561"/>
      <c r="DK6" s="561"/>
      <c r="DL6" s="561"/>
      <c r="DM6" s="561"/>
      <c r="DN6" s="561"/>
      <c r="DO6" s="561"/>
      <c r="DP6" s="561"/>
      <c r="DQ6" s="561"/>
      <c r="DR6" s="561"/>
      <c r="DS6" s="561"/>
      <c r="DT6" s="561"/>
      <c r="DU6" s="561"/>
      <c r="DV6" s="561"/>
      <c r="DW6" s="561"/>
      <c r="DX6" s="561"/>
      <c r="DY6" s="561"/>
      <c r="DZ6" s="561"/>
      <c r="EA6" s="561"/>
      <c r="EB6" s="561"/>
      <c r="EC6" s="561"/>
      <c r="ED6" s="561"/>
      <c r="EE6" s="561"/>
      <c r="EF6" s="561"/>
      <c r="EG6" s="561"/>
      <c r="EH6" s="561"/>
      <c r="EI6" s="561"/>
      <c r="EJ6" s="561"/>
      <c r="EK6" s="561"/>
      <c r="EL6" s="561"/>
    </row>
    <row r="7" spans="1:142">
      <c r="A7" s="2" t="s">
        <v>1516</v>
      </c>
      <c r="F7" s="2" t="s">
        <v>246</v>
      </c>
      <c r="G7" s="1462" t="s">
        <v>1515</v>
      </c>
      <c r="H7" s="1462"/>
      <c r="I7" s="1462"/>
      <c r="J7" s="1462"/>
      <c r="K7" s="1462"/>
      <c r="L7" s="1462"/>
      <c r="M7" s="1462"/>
      <c r="N7" s="1462"/>
      <c r="O7" s="1462"/>
      <c r="P7" s="1462"/>
      <c r="Q7" s="1462"/>
      <c r="S7" s="2" t="s">
        <v>6</v>
      </c>
      <c r="T7" s="1462" t="s">
        <v>1514</v>
      </c>
      <c r="U7" s="1462"/>
      <c r="V7" s="1462"/>
      <c r="W7" s="1462"/>
      <c r="X7" s="1462"/>
      <c r="Y7" s="1462"/>
      <c r="Z7" s="1462"/>
      <c r="AA7" s="1462"/>
      <c r="AB7" s="1462"/>
      <c r="AC7" s="1462"/>
      <c r="AD7" s="1462"/>
      <c r="AF7" s="561"/>
      <c r="AG7" s="561"/>
      <c r="AH7" s="561"/>
      <c r="AI7" s="561"/>
      <c r="AJ7" s="561"/>
      <c r="AK7" s="561"/>
      <c r="AL7" s="561"/>
      <c r="AM7" s="561"/>
      <c r="AN7" s="561"/>
      <c r="AO7" s="561"/>
      <c r="AP7" s="561"/>
      <c r="AQ7" s="561"/>
      <c r="AR7" s="561"/>
      <c r="AS7" s="561"/>
      <c r="AT7" s="561"/>
      <c r="AU7" s="561"/>
      <c r="AV7" s="561"/>
      <c r="AW7" s="561"/>
      <c r="AX7" s="561"/>
      <c r="AY7" s="561"/>
      <c r="AZ7" s="561"/>
      <c r="BA7" s="561"/>
      <c r="BB7" s="561"/>
      <c r="BC7" s="561"/>
      <c r="BD7" s="561"/>
      <c r="BE7" s="561"/>
      <c r="BF7" s="561"/>
      <c r="BG7" s="561"/>
      <c r="BH7" s="561"/>
      <c r="BI7" s="561"/>
      <c r="BJ7" s="561"/>
      <c r="BK7" s="561"/>
      <c r="BL7" s="561"/>
      <c r="BM7" s="561"/>
      <c r="BN7" s="561"/>
      <c r="BO7" s="561"/>
      <c r="BP7" s="561"/>
      <c r="BQ7" s="561"/>
      <c r="BR7" s="561"/>
      <c r="BS7" s="561"/>
      <c r="BT7" s="561"/>
      <c r="BU7" s="561"/>
      <c r="BV7" s="561"/>
      <c r="BW7" s="561"/>
      <c r="BX7" s="561"/>
      <c r="BY7" s="561"/>
      <c r="BZ7" s="561"/>
      <c r="CA7" s="561"/>
      <c r="CB7" s="561"/>
      <c r="CC7" s="561"/>
      <c r="CD7" s="561"/>
      <c r="CE7" s="561"/>
      <c r="CF7" s="561"/>
      <c r="CG7" s="561"/>
      <c r="CH7" s="561"/>
      <c r="CI7" s="561"/>
      <c r="CJ7" s="561"/>
      <c r="CK7" s="561"/>
      <c r="CL7" s="561"/>
      <c r="CM7" s="561"/>
      <c r="CN7" s="561"/>
      <c r="CO7" s="561"/>
      <c r="CP7" s="561"/>
      <c r="CQ7" s="561"/>
      <c r="CR7" s="561"/>
      <c r="CS7" s="561"/>
      <c r="CT7" s="561"/>
      <c r="CU7" s="561"/>
      <c r="CV7" s="561"/>
      <c r="CW7" s="561"/>
      <c r="CX7" s="561"/>
      <c r="CY7" s="561"/>
      <c r="CZ7" s="561"/>
      <c r="DA7" s="561"/>
      <c r="DB7" s="561"/>
      <c r="DC7" s="561"/>
      <c r="DD7" s="561"/>
      <c r="DE7" s="561"/>
      <c r="DF7" s="561"/>
      <c r="DG7" s="561"/>
      <c r="DH7" s="561"/>
      <c r="DI7" s="561"/>
      <c r="DJ7" s="561"/>
      <c r="DK7" s="561"/>
      <c r="DL7" s="561"/>
      <c r="DM7" s="561"/>
      <c r="DN7" s="561"/>
      <c r="DO7" s="561"/>
      <c r="DP7" s="561"/>
      <c r="DQ7" s="561"/>
      <c r="DR7" s="561"/>
      <c r="DS7" s="561"/>
      <c r="DT7" s="561"/>
      <c r="DU7" s="561"/>
      <c r="DV7" s="561"/>
      <c r="DW7" s="561"/>
      <c r="DX7" s="561"/>
      <c r="DY7" s="561"/>
      <c r="DZ7" s="561"/>
      <c r="EA7" s="561"/>
      <c r="EB7" s="561"/>
      <c r="EC7" s="561"/>
      <c r="ED7" s="561"/>
      <c r="EE7" s="561"/>
      <c r="EF7" s="561"/>
      <c r="EG7" s="561"/>
      <c r="EH7" s="561"/>
      <c r="EI7" s="561"/>
      <c r="EJ7" s="561"/>
      <c r="EK7" s="561"/>
      <c r="EL7" s="561"/>
    </row>
    <row r="8" spans="1:142">
      <c r="F8" s="2"/>
      <c r="G8" s="581"/>
      <c r="H8" s="2"/>
      <c r="I8" s="2"/>
      <c r="J8" s="2"/>
      <c r="K8" s="2"/>
      <c r="L8" s="582"/>
      <c r="M8" s="9"/>
      <c r="N8" s="9"/>
      <c r="O8" s="9"/>
      <c r="P8" s="9"/>
      <c r="Q8" s="9"/>
      <c r="S8" s="2"/>
      <c r="T8" s="1462" t="s">
        <v>1513</v>
      </c>
      <c r="U8" s="1462"/>
      <c r="V8" s="1462"/>
      <c r="W8" s="1462"/>
      <c r="X8" s="1462"/>
      <c r="Y8" s="1462"/>
      <c r="Z8" s="1462"/>
      <c r="AA8" s="1462"/>
      <c r="AB8" s="1462"/>
      <c r="AC8" s="1462"/>
      <c r="AD8" s="1462"/>
      <c r="AF8" s="561"/>
      <c r="AG8" s="561"/>
      <c r="AH8" s="561"/>
      <c r="AI8" s="561"/>
      <c r="AJ8" s="561"/>
      <c r="AK8" s="561"/>
      <c r="AL8" s="561"/>
      <c r="AM8" s="561"/>
      <c r="AN8" s="561"/>
      <c r="AO8" s="561"/>
      <c r="AP8" s="561"/>
      <c r="AQ8" s="561"/>
      <c r="AR8" s="561"/>
      <c r="AS8" s="561"/>
      <c r="AT8" s="561"/>
      <c r="AU8" s="561"/>
      <c r="AV8" s="561"/>
      <c r="AW8" s="561"/>
      <c r="AX8" s="561"/>
      <c r="AY8" s="561"/>
      <c r="AZ8" s="561"/>
      <c r="BA8" s="561"/>
      <c r="BB8" s="561"/>
      <c r="BC8" s="561"/>
      <c r="BD8" s="561"/>
      <c r="BE8" s="561"/>
      <c r="BF8" s="561"/>
      <c r="BG8" s="561"/>
      <c r="BH8" s="561"/>
      <c r="BI8" s="561"/>
      <c r="BJ8" s="561"/>
      <c r="BK8" s="561"/>
      <c r="BL8" s="561"/>
      <c r="BM8" s="561"/>
      <c r="BN8" s="561"/>
      <c r="BO8" s="561"/>
      <c r="BP8" s="561"/>
      <c r="BQ8" s="561"/>
      <c r="BR8" s="561"/>
      <c r="BS8" s="561"/>
      <c r="BT8" s="561"/>
      <c r="BU8" s="561"/>
      <c r="BV8" s="561"/>
      <c r="BW8" s="561"/>
      <c r="BX8" s="561"/>
      <c r="BY8" s="561"/>
      <c r="BZ8" s="561"/>
      <c r="CA8" s="561"/>
      <c r="CB8" s="561"/>
      <c r="CC8" s="561"/>
      <c r="CD8" s="561"/>
      <c r="CE8" s="561"/>
      <c r="CF8" s="561"/>
      <c r="CG8" s="561"/>
      <c r="CH8" s="561"/>
      <c r="CI8" s="561"/>
      <c r="CJ8" s="561"/>
      <c r="CK8" s="561"/>
      <c r="CL8" s="561"/>
      <c r="CM8" s="561"/>
      <c r="CN8" s="561"/>
      <c r="CO8" s="561"/>
      <c r="CP8" s="561"/>
      <c r="CQ8" s="561"/>
      <c r="CR8" s="561"/>
      <c r="CS8" s="561"/>
      <c r="CT8" s="561"/>
      <c r="CU8" s="561"/>
      <c r="CV8" s="561"/>
      <c r="CW8" s="561"/>
      <c r="CX8" s="561"/>
      <c r="CY8" s="561"/>
      <c r="CZ8" s="561"/>
      <c r="DA8" s="561"/>
      <c r="DB8" s="561"/>
      <c r="DC8" s="561"/>
      <c r="DD8" s="561"/>
      <c r="DE8" s="561"/>
      <c r="DF8" s="561"/>
      <c r="DG8" s="561"/>
      <c r="DH8" s="561"/>
      <c r="DI8" s="561"/>
      <c r="DJ8" s="561"/>
      <c r="DK8" s="561"/>
      <c r="DL8" s="561"/>
      <c r="DM8" s="561"/>
      <c r="DN8" s="561"/>
      <c r="DO8" s="561"/>
      <c r="DP8" s="561"/>
      <c r="DQ8" s="561"/>
      <c r="DR8" s="561"/>
      <c r="DS8" s="561"/>
      <c r="DT8" s="561"/>
      <c r="DU8" s="561"/>
      <c r="DV8" s="561"/>
      <c r="DW8" s="561"/>
      <c r="DX8" s="561"/>
      <c r="DY8" s="561"/>
      <c r="DZ8" s="561"/>
      <c r="EA8" s="561"/>
      <c r="EB8" s="561"/>
      <c r="EC8" s="561"/>
      <c r="ED8" s="561"/>
      <c r="EE8" s="561"/>
      <c r="EF8" s="561"/>
      <c r="EG8" s="561"/>
      <c r="EH8" s="561"/>
      <c r="EI8" s="561"/>
      <c r="EJ8" s="561"/>
      <c r="EK8" s="561"/>
      <c r="EL8" s="561"/>
    </row>
    <row r="9" spans="1:142">
      <c r="A9" s="2" t="s">
        <v>1512</v>
      </c>
      <c r="B9" s="593"/>
      <c r="C9" s="593"/>
      <c r="F9" s="2"/>
      <c r="G9" s="581" t="s">
        <v>1511</v>
      </c>
      <c r="H9" s="2"/>
      <c r="I9" s="2"/>
      <c r="J9" s="2"/>
      <c r="K9" s="2"/>
      <c r="L9" s="582"/>
      <c r="M9" s="9"/>
      <c r="N9" s="9"/>
      <c r="O9" s="9"/>
      <c r="P9" s="9"/>
      <c r="Q9" s="9"/>
      <c r="S9" s="2"/>
      <c r="T9" s="581"/>
      <c r="U9" s="2"/>
      <c r="V9" s="2"/>
      <c r="W9" s="2"/>
      <c r="X9" s="2"/>
      <c r="Y9" s="582"/>
      <c r="Z9" s="9"/>
      <c r="AA9" s="9"/>
      <c r="AB9" s="9"/>
      <c r="AC9" s="9"/>
      <c r="AD9" s="9"/>
      <c r="AF9" s="561"/>
      <c r="AG9" s="561"/>
      <c r="AH9" s="561"/>
      <c r="AI9" s="561"/>
      <c r="AJ9" s="561"/>
      <c r="AK9" s="561"/>
      <c r="AL9" s="561"/>
      <c r="AM9" s="561"/>
      <c r="AN9" s="561"/>
      <c r="AO9" s="561"/>
      <c r="AP9" s="561"/>
      <c r="AQ9" s="561"/>
      <c r="AR9" s="561"/>
      <c r="AS9" s="561"/>
      <c r="AT9" s="561"/>
      <c r="AU9" s="561"/>
      <c r="AV9" s="561"/>
      <c r="AW9" s="561"/>
      <c r="AX9" s="561"/>
      <c r="AY9" s="561"/>
      <c r="AZ9" s="561"/>
      <c r="BA9" s="561"/>
      <c r="BB9" s="561"/>
      <c r="BC9" s="561"/>
      <c r="BD9" s="561"/>
      <c r="BE9" s="561"/>
      <c r="BF9" s="561"/>
      <c r="BG9" s="561"/>
      <c r="BH9" s="561"/>
      <c r="BI9" s="561"/>
      <c r="BJ9" s="561"/>
      <c r="BK9" s="561"/>
      <c r="BL9" s="561"/>
      <c r="BM9" s="561"/>
      <c r="BN9" s="561"/>
      <c r="BO9" s="561"/>
      <c r="BP9" s="561"/>
      <c r="BQ9" s="561"/>
      <c r="BR9" s="561"/>
      <c r="BS9" s="561"/>
      <c r="BT9" s="561"/>
      <c r="BU9" s="561"/>
      <c r="BV9" s="561"/>
      <c r="BW9" s="561"/>
      <c r="BX9" s="561"/>
      <c r="BY9" s="561"/>
      <c r="BZ9" s="561"/>
      <c r="CA9" s="561"/>
      <c r="CB9" s="561"/>
      <c r="CC9" s="561"/>
      <c r="CD9" s="561"/>
      <c r="CE9" s="561"/>
      <c r="CF9" s="561"/>
      <c r="CG9" s="561"/>
      <c r="CH9" s="561"/>
      <c r="CI9" s="561"/>
      <c r="CJ9" s="561"/>
      <c r="CK9" s="561"/>
      <c r="CL9" s="561"/>
      <c r="CM9" s="561"/>
      <c r="CN9" s="561"/>
      <c r="CO9" s="561"/>
      <c r="CP9" s="561"/>
      <c r="CQ9" s="561"/>
      <c r="CR9" s="561"/>
      <c r="CS9" s="561"/>
      <c r="CT9" s="561"/>
      <c r="CU9" s="561"/>
      <c r="CV9" s="561"/>
      <c r="CW9" s="561"/>
      <c r="CX9" s="561"/>
      <c r="CY9" s="561"/>
      <c r="CZ9" s="561"/>
      <c r="DA9" s="561"/>
      <c r="DB9" s="561"/>
      <c r="DC9" s="561"/>
      <c r="DD9" s="561"/>
      <c r="DE9" s="561"/>
      <c r="DF9" s="561"/>
      <c r="DG9" s="561"/>
      <c r="DH9" s="561"/>
      <c r="DI9" s="561"/>
      <c r="DJ9" s="561"/>
      <c r="DK9" s="561"/>
      <c r="DL9" s="561"/>
      <c r="DM9" s="561"/>
      <c r="DN9" s="561"/>
      <c r="DO9" s="561"/>
      <c r="DP9" s="561"/>
      <c r="DQ9" s="561"/>
      <c r="DR9" s="561"/>
      <c r="DS9" s="561"/>
      <c r="DT9" s="561"/>
      <c r="DU9" s="561"/>
      <c r="DV9" s="561"/>
      <c r="DW9" s="561"/>
      <c r="DX9" s="561"/>
      <c r="DY9" s="561"/>
      <c r="DZ9" s="561"/>
      <c r="EA9" s="561"/>
      <c r="EB9" s="561"/>
      <c r="EC9" s="561"/>
      <c r="ED9" s="561"/>
      <c r="EE9" s="561"/>
      <c r="EF9" s="561"/>
      <c r="EG9" s="561"/>
      <c r="EH9" s="561"/>
      <c r="EI9" s="561"/>
      <c r="EJ9" s="561"/>
      <c r="EK9" s="561"/>
      <c r="EL9" s="561"/>
    </row>
    <row r="10" spans="1:142">
      <c r="B10" s="591"/>
      <c r="C10" s="591"/>
      <c r="F10" s="2"/>
      <c r="G10" s="581"/>
      <c r="H10" s="2"/>
      <c r="I10" s="2"/>
      <c r="J10" s="2"/>
      <c r="K10" s="2"/>
      <c r="L10" s="584"/>
      <c r="M10" s="9"/>
      <c r="N10" s="9"/>
      <c r="O10" s="9"/>
      <c r="P10" s="9"/>
      <c r="Q10" s="9"/>
      <c r="S10" s="2"/>
      <c r="T10" s="28" t="s">
        <v>683</v>
      </c>
      <c r="U10" s="2"/>
      <c r="V10" s="2"/>
      <c r="W10" s="2"/>
      <c r="X10" s="2"/>
      <c r="Y10" s="584"/>
      <c r="Z10" s="9"/>
      <c r="AA10" s="9"/>
      <c r="AB10" s="9"/>
      <c r="AC10" s="9"/>
      <c r="AD10" s="9"/>
      <c r="AF10" s="561"/>
      <c r="AG10" s="561"/>
      <c r="AH10" s="561"/>
      <c r="AI10" s="561"/>
      <c r="AJ10" s="561"/>
      <c r="AK10" s="561"/>
      <c r="AL10" s="561"/>
      <c r="AM10" s="561"/>
      <c r="AN10" s="561"/>
      <c r="AO10" s="561"/>
      <c r="AP10" s="561"/>
      <c r="AQ10" s="561"/>
      <c r="AR10" s="561"/>
      <c r="AS10" s="561"/>
      <c r="AT10" s="561"/>
      <c r="AU10" s="561"/>
      <c r="AV10" s="561"/>
      <c r="AW10" s="561"/>
      <c r="AX10" s="561"/>
      <c r="AY10" s="561"/>
      <c r="AZ10" s="561"/>
      <c r="BA10" s="561"/>
      <c r="BB10" s="561"/>
      <c r="BC10" s="561"/>
      <c r="BD10" s="561"/>
      <c r="BE10" s="561"/>
      <c r="BF10" s="561"/>
      <c r="BG10" s="561"/>
      <c r="BH10" s="561"/>
      <c r="BI10" s="561"/>
      <c r="BJ10" s="561"/>
      <c r="BK10" s="561"/>
      <c r="BL10" s="561"/>
      <c r="BM10" s="561"/>
      <c r="BN10" s="561"/>
      <c r="BO10" s="561"/>
      <c r="BP10" s="561"/>
      <c r="BQ10" s="561"/>
      <c r="BR10" s="561"/>
      <c r="BS10" s="561"/>
      <c r="BT10" s="561"/>
      <c r="BU10" s="561"/>
      <c r="BV10" s="561"/>
      <c r="BW10" s="561"/>
      <c r="BX10" s="561"/>
      <c r="BY10" s="561"/>
      <c r="BZ10" s="561"/>
      <c r="CA10" s="561"/>
      <c r="CB10" s="561"/>
      <c r="CC10" s="561"/>
      <c r="CD10" s="561"/>
      <c r="CE10" s="561"/>
      <c r="CF10" s="561"/>
      <c r="CG10" s="561"/>
      <c r="CH10" s="561"/>
      <c r="CI10" s="561"/>
      <c r="CJ10" s="561"/>
      <c r="CK10" s="561"/>
      <c r="CL10" s="561"/>
      <c r="CM10" s="561"/>
      <c r="CN10" s="561"/>
      <c r="CO10" s="561"/>
      <c r="CP10" s="561"/>
      <c r="CQ10" s="561"/>
      <c r="CR10" s="561"/>
      <c r="CS10" s="561"/>
      <c r="CT10" s="561"/>
      <c r="CU10" s="561"/>
      <c r="CV10" s="561"/>
      <c r="CW10" s="561"/>
      <c r="CX10" s="561"/>
      <c r="CY10" s="561"/>
      <c r="CZ10" s="561"/>
      <c r="DA10" s="561"/>
      <c r="DB10" s="561"/>
      <c r="DC10" s="561"/>
      <c r="DD10" s="561"/>
      <c r="DE10" s="561"/>
      <c r="DF10" s="561"/>
      <c r="DG10" s="561"/>
      <c r="DH10" s="561"/>
      <c r="DI10" s="561"/>
      <c r="DJ10" s="561"/>
      <c r="DK10" s="561"/>
      <c r="DL10" s="561"/>
      <c r="DM10" s="561"/>
      <c r="DN10" s="561"/>
      <c r="DO10" s="561"/>
      <c r="DP10" s="561"/>
      <c r="DQ10" s="561"/>
      <c r="DR10" s="561"/>
      <c r="DS10" s="561"/>
      <c r="DT10" s="561"/>
      <c r="DU10" s="561"/>
      <c r="DV10" s="561"/>
      <c r="DW10" s="561"/>
      <c r="DX10" s="561"/>
      <c r="DY10" s="561"/>
      <c r="DZ10" s="561"/>
      <c r="EA10" s="561"/>
      <c r="EB10" s="561"/>
      <c r="EC10" s="561"/>
      <c r="ED10" s="561"/>
      <c r="EE10" s="561"/>
      <c r="EF10" s="561"/>
      <c r="EG10" s="561"/>
      <c r="EH10" s="561"/>
      <c r="EI10" s="561"/>
      <c r="EJ10" s="561"/>
      <c r="EK10" s="561"/>
      <c r="EL10" s="561"/>
    </row>
    <row r="11" spans="1:142">
      <c r="B11" s="590" t="s">
        <v>1510</v>
      </c>
      <c r="C11" s="708" t="s">
        <v>1509</v>
      </c>
      <c r="F11" s="2"/>
      <c r="G11" s="581" t="s">
        <v>1508</v>
      </c>
      <c r="H11" s="2"/>
      <c r="I11" s="2"/>
      <c r="J11" s="2"/>
      <c r="K11" s="2"/>
      <c r="L11" s="584"/>
      <c r="M11" s="9"/>
      <c r="N11" s="9"/>
      <c r="O11" s="9"/>
      <c r="P11" s="9"/>
      <c r="Q11" s="9"/>
      <c r="S11" s="2"/>
      <c r="T11" s="581"/>
      <c r="U11" s="2"/>
      <c r="V11" s="2"/>
      <c r="W11" s="2"/>
      <c r="X11" s="2"/>
      <c r="Y11" s="584"/>
      <c r="Z11" s="9"/>
      <c r="AA11" s="9"/>
      <c r="AB11" s="9"/>
      <c r="AC11" s="9"/>
      <c r="AD11" s="9"/>
      <c r="AF11" s="561"/>
      <c r="AG11" s="561"/>
      <c r="AH11" s="561"/>
      <c r="AI11" s="561"/>
      <c r="AJ11" s="561"/>
      <c r="AK11" s="561"/>
      <c r="AL11" s="561"/>
      <c r="AM11" s="561"/>
      <c r="AN11" s="561"/>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561"/>
      <c r="BK11" s="561"/>
      <c r="BL11" s="561"/>
      <c r="BM11" s="561"/>
      <c r="BN11" s="561"/>
      <c r="BO11" s="561"/>
      <c r="BP11" s="561"/>
      <c r="BQ11" s="561"/>
      <c r="BR11" s="561"/>
      <c r="BS11" s="561"/>
      <c r="BT11" s="561"/>
      <c r="BU11" s="561"/>
      <c r="BV11" s="561"/>
      <c r="BW11" s="561"/>
      <c r="BX11" s="561"/>
      <c r="BY11" s="561"/>
      <c r="BZ11" s="561"/>
      <c r="CA11" s="561"/>
      <c r="CB11" s="561"/>
      <c r="CC11" s="561"/>
      <c r="CD11" s="561"/>
      <c r="CE11" s="561"/>
      <c r="CF11" s="561"/>
      <c r="CG11" s="561"/>
      <c r="CH11" s="561"/>
      <c r="CI11" s="561"/>
      <c r="CJ11" s="561"/>
      <c r="CK11" s="561"/>
      <c r="CL11" s="561"/>
      <c r="CM11" s="561"/>
      <c r="CN11" s="561"/>
      <c r="CO11" s="561"/>
      <c r="CP11" s="561"/>
      <c r="CQ11" s="561"/>
      <c r="CR11" s="561"/>
      <c r="CS11" s="561"/>
      <c r="CT11" s="561"/>
      <c r="CU11" s="561"/>
      <c r="CV11" s="561"/>
      <c r="CW11" s="561"/>
      <c r="CX11" s="561"/>
      <c r="CY11" s="561"/>
      <c r="CZ11" s="561"/>
      <c r="DA11" s="561"/>
      <c r="DB11" s="561"/>
      <c r="DC11" s="561"/>
      <c r="DD11" s="561"/>
      <c r="DE11" s="561"/>
      <c r="DF11" s="561"/>
      <c r="DG11" s="561"/>
      <c r="DH11" s="561"/>
      <c r="DI11" s="561"/>
      <c r="DJ11" s="561"/>
      <c r="DK11" s="561"/>
      <c r="DL11" s="561"/>
      <c r="DM11" s="561"/>
      <c r="DN11" s="561"/>
      <c r="DO11" s="561"/>
      <c r="DP11" s="561"/>
      <c r="DQ11" s="561"/>
      <c r="DR11" s="561"/>
      <c r="DS11" s="561"/>
      <c r="DT11" s="561"/>
      <c r="DU11" s="561"/>
      <c r="DV11" s="561"/>
      <c r="DW11" s="561"/>
      <c r="DX11" s="561"/>
      <c r="DY11" s="561"/>
      <c r="DZ11" s="561"/>
      <c r="EA11" s="561"/>
      <c r="EB11" s="561"/>
      <c r="EC11" s="561"/>
      <c r="ED11" s="561"/>
      <c r="EE11" s="561"/>
      <c r="EF11" s="561"/>
      <c r="EG11" s="561"/>
      <c r="EH11" s="561"/>
      <c r="EI11" s="561"/>
      <c r="EJ11" s="561"/>
      <c r="EK11" s="561"/>
      <c r="EL11" s="561"/>
    </row>
    <row r="12" spans="1:142">
      <c r="B12" s="590" t="s">
        <v>1507</v>
      </c>
      <c r="C12" s="694">
        <v>1110000</v>
      </c>
      <c r="F12" s="2"/>
      <c r="G12" s="5"/>
      <c r="H12" s="5"/>
      <c r="I12" s="5"/>
      <c r="J12" s="5"/>
      <c r="K12" s="5"/>
      <c r="L12" s="5"/>
      <c r="M12" s="5"/>
      <c r="N12" s="5"/>
      <c r="O12" s="5"/>
      <c r="P12" s="5"/>
      <c r="Q12" s="5"/>
      <c r="S12" s="2"/>
      <c r="T12" s="5"/>
      <c r="U12" s="5"/>
      <c r="V12" s="5"/>
      <c r="W12" s="5"/>
      <c r="X12" s="5"/>
      <c r="Y12" s="5"/>
      <c r="Z12" s="5"/>
      <c r="AA12" s="5"/>
      <c r="AB12" s="5"/>
      <c r="AC12" s="5"/>
      <c r="AD12" s="5"/>
      <c r="AF12" s="561"/>
      <c r="AG12" s="561"/>
      <c r="AH12" s="561"/>
      <c r="AI12" s="561"/>
      <c r="AJ12" s="561"/>
      <c r="AK12" s="561"/>
      <c r="AL12" s="561"/>
      <c r="AM12" s="561"/>
      <c r="AN12" s="561"/>
      <c r="AO12" s="561"/>
      <c r="AP12" s="561"/>
      <c r="AQ12" s="561"/>
      <c r="AR12" s="561"/>
      <c r="AS12" s="561"/>
      <c r="AT12" s="561"/>
      <c r="AU12" s="561"/>
      <c r="AV12" s="561"/>
      <c r="AW12" s="561"/>
      <c r="AX12" s="561"/>
      <c r="AY12" s="561"/>
      <c r="AZ12" s="561"/>
      <c r="BA12" s="561"/>
      <c r="BB12" s="561"/>
      <c r="BC12" s="561"/>
      <c r="BD12" s="561"/>
      <c r="BE12" s="561"/>
      <c r="BF12" s="561"/>
      <c r="BG12" s="561"/>
      <c r="BH12" s="561"/>
      <c r="BI12" s="561"/>
      <c r="BJ12" s="561"/>
      <c r="BK12" s="561"/>
      <c r="BL12" s="561"/>
      <c r="BM12" s="561"/>
      <c r="BN12" s="561"/>
      <c r="BO12" s="561"/>
      <c r="BP12" s="561"/>
      <c r="BQ12" s="561"/>
      <c r="BR12" s="561"/>
      <c r="BS12" s="561"/>
      <c r="BT12" s="561"/>
      <c r="BU12" s="561"/>
      <c r="BV12" s="561"/>
      <c r="BW12" s="561"/>
      <c r="BX12" s="561"/>
      <c r="BY12" s="561"/>
      <c r="BZ12" s="561"/>
      <c r="CA12" s="561"/>
      <c r="CB12" s="561"/>
      <c r="CC12" s="561"/>
      <c r="CD12" s="561"/>
      <c r="CE12" s="561"/>
      <c r="CF12" s="561"/>
      <c r="CG12" s="561"/>
      <c r="CH12" s="561"/>
      <c r="CI12" s="561"/>
      <c r="CJ12" s="561"/>
      <c r="CK12" s="561"/>
      <c r="CL12" s="561"/>
      <c r="CM12" s="561"/>
      <c r="CN12" s="561"/>
      <c r="CO12" s="561"/>
      <c r="CP12" s="561"/>
      <c r="CQ12" s="561"/>
      <c r="CR12" s="561"/>
      <c r="CS12" s="561"/>
      <c r="CT12" s="561"/>
      <c r="CU12" s="561"/>
      <c r="CV12" s="561"/>
      <c r="CW12" s="561"/>
      <c r="CX12" s="561"/>
      <c r="CY12" s="561"/>
      <c r="CZ12" s="561"/>
      <c r="DA12" s="561"/>
      <c r="DB12" s="561"/>
      <c r="DC12" s="561"/>
      <c r="DD12" s="561"/>
      <c r="DE12" s="561"/>
      <c r="DF12" s="561"/>
      <c r="DG12" s="561"/>
      <c r="DH12" s="561"/>
      <c r="DI12" s="561"/>
      <c r="DJ12" s="561"/>
      <c r="DK12" s="561"/>
      <c r="DL12" s="561"/>
      <c r="DM12" s="561"/>
      <c r="DN12" s="561"/>
      <c r="DO12" s="561"/>
      <c r="DP12" s="561"/>
      <c r="DQ12" s="561"/>
      <c r="DR12" s="561"/>
      <c r="DS12" s="561"/>
      <c r="DT12" s="561"/>
      <c r="DU12" s="561"/>
      <c r="DV12" s="561"/>
      <c r="DW12" s="561"/>
      <c r="DX12" s="561"/>
      <c r="DY12" s="561"/>
      <c r="DZ12" s="561"/>
      <c r="EA12" s="561"/>
      <c r="EB12" s="561"/>
      <c r="EC12" s="561"/>
      <c r="ED12" s="561"/>
      <c r="EE12" s="561"/>
      <c r="EF12" s="561"/>
      <c r="EG12" s="561"/>
      <c r="EH12" s="561"/>
      <c r="EI12" s="561"/>
      <c r="EJ12" s="561"/>
      <c r="EK12" s="561"/>
      <c r="EL12" s="561"/>
    </row>
    <row r="13" spans="1:142">
      <c r="B13" s="590" t="s">
        <v>1506</v>
      </c>
      <c r="C13" s="693">
        <v>1000000</v>
      </c>
      <c r="F13" s="2"/>
      <c r="G13" s="28" t="s">
        <v>683</v>
      </c>
      <c r="H13" s="5"/>
      <c r="I13" s="5"/>
      <c r="J13" s="5"/>
      <c r="K13" s="5"/>
      <c r="L13" s="5"/>
      <c r="M13" s="5"/>
      <c r="N13" s="5"/>
      <c r="O13" s="5"/>
      <c r="P13" s="5"/>
      <c r="Q13" s="5"/>
      <c r="S13" s="2"/>
      <c r="T13" s="28"/>
      <c r="U13" s="5"/>
      <c r="V13" s="5"/>
      <c r="W13" s="5"/>
      <c r="X13" s="5"/>
      <c r="Y13" s="5"/>
      <c r="Z13" s="5"/>
      <c r="AA13" s="5"/>
      <c r="AB13" s="5"/>
      <c r="AC13" s="5"/>
      <c r="AD13" s="5"/>
      <c r="AF13" s="561"/>
      <c r="AG13" s="561"/>
      <c r="AH13" s="561"/>
      <c r="AI13" s="561"/>
      <c r="AJ13" s="561"/>
      <c r="AK13" s="561"/>
      <c r="AL13" s="561"/>
      <c r="AM13" s="561"/>
      <c r="AN13" s="561"/>
      <c r="AO13" s="561"/>
      <c r="AP13" s="561"/>
      <c r="AQ13" s="561"/>
      <c r="AR13" s="561"/>
      <c r="AS13" s="561"/>
      <c r="AT13" s="561"/>
      <c r="AU13" s="561"/>
      <c r="AV13" s="561"/>
      <c r="AW13" s="561"/>
      <c r="AX13" s="561"/>
      <c r="AY13" s="561"/>
      <c r="AZ13" s="561"/>
      <c r="BA13" s="561"/>
      <c r="BB13" s="561"/>
      <c r="BC13" s="561"/>
      <c r="BD13" s="561"/>
      <c r="BE13" s="561"/>
      <c r="BF13" s="561"/>
      <c r="BG13" s="561"/>
      <c r="BH13" s="561"/>
      <c r="BI13" s="561"/>
      <c r="BJ13" s="561"/>
      <c r="BK13" s="561"/>
      <c r="BL13" s="561"/>
      <c r="BM13" s="561"/>
      <c r="BN13" s="561"/>
      <c r="BO13" s="561"/>
      <c r="BP13" s="561"/>
      <c r="BQ13" s="561"/>
      <c r="BR13" s="561"/>
      <c r="BS13" s="561"/>
      <c r="BT13" s="561"/>
      <c r="BU13" s="561"/>
      <c r="BV13" s="561"/>
      <c r="BW13" s="561"/>
      <c r="BX13" s="561"/>
      <c r="BY13" s="561"/>
      <c r="BZ13" s="561"/>
      <c r="CA13" s="561"/>
      <c r="CB13" s="561"/>
      <c r="CC13" s="561"/>
      <c r="CD13" s="561"/>
      <c r="CE13" s="561"/>
      <c r="CF13" s="561"/>
      <c r="CG13" s="561"/>
      <c r="CH13" s="561"/>
      <c r="CI13" s="561"/>
      <c r="CJ13" s="561"/>
      <c r="CK13" s="561"/>
      <c r="CL13" s="561"/>
      <c r="CM13" s="561"/>
      <c r="CN13" s="561"/>
      <c r="CO13" s="561"/>
      <c r="CP13" s="561"/>
      <c r="CQ13" s="561"/>
      <c r="CR13" s="561"/>
      <c r="CS13" s="561"/>
      <c r="CT13" s="561"/>
      <c r="CU13" s="561"/>
      <c r="CV13" s="561"/>
      <c r="CW13" s="561"/>
      <c r="CX13" s="561"/>
      <c r="CY13" s="561"/>
      <c r="CZ13" s="561"/>
      <c r="DA13" s="561"/>
      <c r="DB13" s="561"/>
      <c r="DC13" s="561"/>
      <c r="DD13" s="561"/>
      <c r="DE13" s="561"/>
      <c r="DF13" s="561"/>
      <c r="DG13" s="561"/>
      <c r="DH13" s="561"/>
      <c r="DI13" s="561"/>
      <c r="DJ13" s="561"/>
      <c r="DK13" s="561"/>
      <c r="DL13" s="561"/>
      <c r="DM13" s="561"/>
      <c r="DN13" s="561"/>
      <c r="DO13" s="561"/>
      <c r="DP13" s="561"/>
      <c r="DQ13" s="561"/>
      <c r="DR13" s="561"/>
      <c r="DS13" s="561"/>
      <c r="DT13" s="561"/>
      <c r="DU13" s="561"/>
      <c r="DV13" s="561"/>
      <c r="DW13" s="561"/>
      <c r="DX13" s="561"/>
      <c r="DY13" s="561"/>
      <c r="DZ13" s="561"/>
      <c r="EA13" s="561"/>
      <c r="EB13" s="561"/>
      <c r="EC13" s="561"/>
      <c r="ED13" s="561"/>
      <c r="EE13" s="561"/>
      <c r="EF13" s="561"/>
      <c r="EG13" s="561"/>
      <c r="EH13" s="561"/>
      <c r="EI13" s="561"/>
      <c r="EJ13" s="561"/>
      <c r="EK13" s="561"/>
      <c r="EL13" s="561"/>
    </row>
    <row r="14" spans="1:142">
      <c r="B14" s="590" t="s">
        <v>1505</v>
      </c>
      <c r="C14" s="694">
        <v>910000</v>
      </c>
      <c r="F14" s="2"/>
      <c r="G14" s="581"/>
      <c r="H14" s="2"/>
      <c r="I14" s="2"/>
      <c r="J14" s="2"/>
      <c r="K14" s="2"/>
      <c r="L14" s="584"/>
      <c r="M14" s="9"/>
      <c r="N14" s="9"/>
      <c r="O14" s="9"/>
      <c r="P14" s="9"/>
      <c r="Q14" s="9"/>
      <c r="S14" s="2"/>
      <c r="T14" s="581"/>
      <c r="U14" s="2"/>
      <c r="V14" s="2"/>
      <c r="W14" s="2"/>
      <c r="X14" s="2"/>
      <c r="Y14" s="584"/>
      <c r="Z14" s="9"/>
      <c r="AA14" s="9"/>
      <c r="AB14" s="9"/>
      <c r="AC14" s="9"/>
      <c r="AD14" s="9"/>
      <c r="AF14" s="561"/>
      <c r="AG14" s="561"/>
      <c r="AH14" s="561"/>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1"/>
      <c r="BW14" s="561"/>
      <c r="BX14" s="561"/>
      <c r="BY14" s="561"/>
      <c r="BZ14" s="561"/>
      <c r="CA14" s="561"/>
      <c r="CB14" s="561"/>
      <c r="CC14" s="561"/>
      <c r="CD14" s="561"/>
      <c r="CE14" s="561"/>
      <c r="CF14" s="561"/>
      <c r="CG14" s="561"/>
      <c r="CH14" s="561"/>
      <c r="CI14" s="561"/>
      <c r="CJ14" s="561"/>
      <c r="CK14" s="561"/>
      <c r="CL14" s="561"/>
      <c r="CM14" s="561"/>
      <c r="CN14" s="561"/>
      <c r="CO14" s="561"/>
      <c r="CP14" s="561"/>
      <c r="CQ14" s="561"/>
      <c r="CR14" s="561"/>
      <c r="CS14" s="561"/>
      <c r="CT14" s="561"/>
      <c r="CU14" s="561"/>
      <c r="CV14" s="561"/>
      <c r="CW14" s="561"/>
      <c r="CX14" s="561"/>
      <c r="CY14" s="561"/>
      <c r="CZ14" s="561"/>
      <c r="DA14" s="561"/>
      <c r="DB14" s="561"/>
      <c r="DC14" s="561"/>
      <c r="DD14" s="561"/>
      <c r="DE14" s="561"/>
      <c r="DF14" s="561"/>
      <c r="DG14" s="561"/>
      <c r="DH14" s="561"/>
      <c r="DI14" s="561"/>
      <c r="DJ14" s="561"/>
      <c r="DK14" s="561"/>
      <c r="DL14" s="561"/>
      <c r="DM14" s="561"/>
      <c r="DN14" s="561"/>
      <c r="DO14" s="561"/>
      <c r="DP14" s="561"/>
      <c r="DQ14" s="561"/>
      <c r="DR14" s="561"/>
      <c r="DS14" s="561"/>
      <c r="DT14" s="561"/>
      <c r="DU14" s="561"/>
      <c r="DV14" s="561"/>
      <c r="DW14" s="561"/>
      <c r="DX14" s="561"/>
      <c r="DY14" s="561"/>
      <c r="DZ14" s="561"/>
      <c r="EA14" s="561"/>
      <c r="EB14" s="561"/>
      <c r="EC14" s="561"/>
      <c r="ED14" s="561"/>
      <c r="EE14" s="561"/>
      <c r="EF14" s="561"/>
      <c r="EG14" s="561"/>
      <c r="EH14" s="561"/>
      <c r="EI14" s="561"/>
      <c r="EJ14" s="561"/>
      <c r="EK14" s="561"/>
      <c r="EL14" s="561"/>
    </row>
    <row r="15" spans="1:142">
      <c r="F15" s="696"/>
      <c r="G15" s="696"/>
      <c r="H15" s="696"/>
      <c r="I15" s="696"/>
      <c r="J15" s="696"/>
      <c r="K15" s="696"/>
      <c r="L15" s="696"/>
      <c r="M15" s="696"/>
      <c r="N15" s="696"/>
      <c r="O15" s="696"/>
      <c r="P15" s="696"/>
      <c r="Q15" s="696"/>
      <c r="S15" s="696"/>
      <c r="T15" s="696"/>
      <c r="U15" s="696"/>
      <c r="V15" s="696"/>
      <c r="W15" s="696"/>
      <c r="X15" s="696"/>
      <c r="Y15" s="696"/>
      <c r="Z15" s="696"/>
      <c r="AA15" s="696"/>
      <c r="AB15" s="696"/>
      <c r="AC15" s="696"/>
      <c r="AD15" s="696"/>
      <c r="AF15" s="561"/>
      <c r="AG15" s="561"/>
      <c r="AH15" s="561"/>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1"/>
      <c r="BW15" s="561"/>
      <c r="BX15" s="561"/>
      <c r="BY15" s="561"/>
      <c r="BZ15" s="561"/>
      <c r="CA15" s="561"/>
      <c r="CB15" s="561"/>
      <c r="CC15" s="561"/>
      <c r="CD15" s="561"/>
      <c r="CE15" s="561"/>
      <c r="CF15" s="561"/>
      <c r="CG15" s="561"/>
      <c r="CH15" s="561"/>
      <c r="CI15" s="561"/>
      <c r="CJ15" s="561"/>
      <c r="CK15" s="561"/>
      <c r="CL15" s="561"/>
      <c r="CM15" s="561"/>
      <c r="CN15" s="561"/>
      <c r="CO15" s="561"/>
      <c r="CP15" s="561"/>
      <c r="CQ15" s="561"/>
      <c r="CR15" s="561"/>
      <c r="CS15" s="561"/>
      <c r="CT15" s="561"/>
      <c r="CU15" s="561"/>
      <c r="CV15" s="561"/>
      <c r="CW15" s="561"/>
      <c r="CX15" s="561"/>
      <c r="CY15" s="561"/>
      <c r="CZ15" s="561"/>
      <c r="DA15" s="561"/>
      <c r="DB15" s="561"/>
      <c r="DC15" s="561"/>
      <c r="DD15" s="561"/>
      <c r="DE15" s="561"/>
      <c r="DF15" s="561"/>
      <c r="DG15" s="561"/>
      <c r="DH15" s="561"/>
      <c r="DI15" s="561"/>
      <c r="DJ15" s="561"/>
      <c r="DK15" s="561"/>
      <c r="DL15" s="561"/>
      <c r="DM15" s="561"/>
      <c r="DN15" s="561"/>
      <c r="DO15" s="561"/>
      <c r="DP15" s="561"/>
      <c r="DQ15" s="561"/>
      <c r="DR15" s="561"/>
      <c r="DS15" s="561"/>
      <c r="DT15" s="561"/>
      <c r="DU15" s="561"/>
      <c r="DV15" s="561"/>
      <c r="DW15" s="561"/>
      <c r="DX15" s="561"/>
      <c r="DY15" s="561"/>
      <c r="DZ15" s="561"/>
      <c r="EA15" s="561"/>
      <c r="EB15" s="561"/>
      <c r="EC15" s="561"/>
      <c r="ED15" s="561"/>
      <c r="EE15" s="561"/>
      <c r="EF15" s="561"/>
      <c r="EG15" s="561"/>
      <c r="EH15" s="561"/>
      <c r="EI15" s="561"/>
      <c r="EJ15" s="561"/>
      <c r="EK15" s="561"/>
      <c r="EL15" s="561"/>
    </row>
    <row r="16" spans="1:142" ht="19.5" customHeight="1">
      <c r="B16" s="619" t="s">
        <v>1504</v>
      </c>
      <c r="F16" s="696"/>
      <c r="G16" s="704"/>
      <c r="H16" s="699"/>
      <c r="I16" s="699"/>
      <c r="J16" s="699"/>
      <c r="K16" s="699"/>
      <c r="L16" s="699"/>
      <c r="M16" s="699"/>
      <c r="N16" s="699"/>
      <c r="O16" s="699"/>
      <c r="P16" s="699"/>
      <c r="Q16" s="696"/>
      <c r="S16" s="696"/>
      <c r="T16" s="696"/>
      <c r="U16" s="696"/>
      <c r="V16" s="696"/>
      <c r="W16" s="696"/>
      <c r="X16" s="696"/>
      <c r="Y16" s="696"/>
      <c r="Z16" s="696"/>
      <c r="AA16" s="696"/>
      <c r="AB16" s="696"/>
      <c r="AC16" s="696"/>
      <c r="AD16" s="696"/>
      <c r="AF16" s="561"/>
      <c r="AG16" s="561"/>
      <c r="AH16" s="561"/>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1"/>
      <c r="BW16" s="561"/>
      <c r="BX16" s="561"/>
      <c r="BY16" s="561"/>
      <c r="BZ16" s="561"/>
      <c r="CA16" s="561"/>
      <c r="CB16" s="561"/>
      <c r="CC16" s="561"/>
      <c r="CD16" s="561"/>
      <c r="CE16" s="561"/>
      <c r="CF16" s="561"/>
      <c r="CG16" s="561"/>
      <c r="CH16" s="561"/>
      <c r="CI16" s="561"/>
      <c r="CJ16" s="561"/>
      <c r="CK16" s="561"/>
      <c r="CL16" s="561"/>
      <c r="CM16" s="561"/>
      <c r="CN16" s="561"/>
      <c r="CO16" s="561"/>
      <c r="CP16" s="561"/>
      <c r="CQ16" s="561"/>
      <c r="CR16" s="561"/>
      <c r="CS16" s="561"/>
      <c r="CT16" s="561"/>
      <c r="CU16" s="561"/>
      <c r="CV16" s="561"/>
      <c r="CW16" s="561"/>
      <c r="CX16" s="561"/>
      <c r="CY16" s="561"/>
      <c r="CZ16" s="561"/>
      <c r="DA16" s="561"/>
      <c r="DB16" s="561"/>
      <c r="DC16" s="561"/>
      <c r="DD16" s="561"/>
      <c r="DE16" s="561"/>
      <c r="DF16" s="561"/>
      <c r="DG16" s="561"/>
      <c r="DH16" s="561"/>
      <c r="DI16" s="561"/>
      <c r="DJ16" s="561"/>
      <c r="DK16" s="561"/>
      <c r="DL16" s="561"/>
      <c r="DM16" s="561"/>
      <c r="DN16" s="561"/>
      <c r="DO16" s="561"/>
      <c r="DP16" s="561"/>
      <c r="DQ16" s="561"/>
      <c r="DR16" s="561"/>
      <c r="DS16" s="561"/>
      <c r="DT16" s="561"/>
      <c r="DU16" s="561"/>
      <c r="DV16" s="561"/>
      <c r="DW16" s="561"/>
      <c r="DX16" s="561"/>
      <c r="DY16" s="561"/>
      <c r="DZ16" s="561"/>
      <c r="EA16" s="561"/>
      <c r="EB16" s="561"/>
      <c r="EC16" s="561"/>
      <c r="ED16" s="561"/>
      <c r="EE16" s="561"/>
      <c r="EF16" s="561"/>
      <c r="EG16" s="561"/>
      <c r="EH16" s="561"/>
      <c r="EI16" s="561"/>
      <c r="EJ16" s="561"/>
      <c r="EK16" s="561"/>
      <c r="EL16" s="561"/>
    </row>
    <row r="17" spans="1:142">
      <c r="F17" s="696"/>
      <c r="G17" s="699"/>
      <c r="H17" s="700"/>
      <c r="I17" s="701"/>
      <c r="J17" s="699"/>
      <c r="K17" s="699"/>
      <c r="L17" s="699"/>
      <c r="M17" s="699"/>
      <c r="N17" s="699"/>
      <c r="O17" s="699"/>
      <c r="P17" s="699"/>
      <c r="Q17" s="696"/>
      <c r="S17" s="696"/>
      <c r="T17" s="696"/>
      <c r="U17" s="696"/>
      <c r="V17" s="696"/>
      <c r="W17" s="696"/>
      <c r="X17" s="696"/>
      <c r="Y17" s="696"/>
      <c r="Z17" s="696"/>
      <c r="AA17" s="696"/>
      <c r="AB17" s="696"/>
      <c r="AC17" s="696"/>
      <c r="AD17" s="696"/>
      <c r="AF17" s="561"/>
      <c r="AG17" s="561"/>
      <c r="AH17" s="561"/>
      <c r="AI17" s="561"/>
      <c r="AJ17" s="561"/>
      <c r="AK17" s="561"/>
      <c r="AL17" s="561"/>
      <c r="AM17" s="561"/>
      <c r="AN17" s="561"/>
      <c r="AO17" s="561"/>
      <c r="AP17" s="561"/>
      <c r="AQ17" s="561"/>
      <c r="AR17" s="561"/>
      <c r="AS17" s="561"/>
      <c r="AT17" s="561"/>
      <c r="AU17" s="561"/>
      <c r="AV17" s="561"/>
      <c r="AW17" s="561"/>
      <c r="AX17" s="561"/>
      <c r="AY17" s="561"/>
      <c r="AZ17" s="561"/>
      <c r="BA17" s="561"/>
      <c r="BB17" s="561"/>
      <c r="BC17" s="561"/>
      <c r="BD17" s="561"/>
      <c r="BE17" s="561"/>
      <c r="BF17" s="561"/>
      <c r="BG17" s="561"/>
      <c r="BH17" s="561"/>
      <c r="BI17" s="561"/>
      <c r="BJ17" s="561"/>
      <c r="BK17" s="561"/>
      <c r="BL17" s="561"/>
      <c r="BM17" s="561"/>
      <c r="BN17" s="561"/>
      <c r="BO17" s="561"/>
      <c r="BP17" s="561"/>
      <c r="BQ17" s="561"/>
      <c r="BR17" s="561"/>
      <c r="BS17" s="561"/>
      <c r="BT17" s="561"/>
      <c r="BU17" s="561"/>
      <c r="BV17" s="561"/>
      <c r="BW17" s="561"/>
      <c r="BX17" s="561"/>
      <c r="BY17" s="561"/>
      <c r="BZ17" s="561"/>
      <c r="CA17" s="561"/>
      <c r="CB17" s="561"/>
      <c r="CC17" s="561"/>
      <c r="CD17" s="561"/>
      <c r="CE17" s="561"/>
      <c r="CF17" s="561"/>
      <c r="CG17" s="561"/>
      <c r="CH17" s="561"/>
      <c r="CI17" s="561"/>
      <c r="CJ17" s="561"/>
      <c r="CK17" s="561"/>
      <c r="CL17" s="561"/>
      <c r="CM17" s="561"/>
      <c r="CN17" s="561"/>
      <c r="CO17" s="561"/>
      <c r="CP17" s="561"/>
      <c r="CQ17" s="561"/>
      <c r="CR17" s="561"/>
      <c r="CS17" s="561"/>
      <c r="CT17" s="561"/>
      <c r="CU17" s="561"/>
      <c r="CV17" s="561"/>
      <c r="CW17" s="561"/>
      <c r="CX17" s="561"/>
      <c r="CY17" s="561"/>
      <c r="CZ17" s="561"/>
      <c r="DA17" s="561"/>
      <c r="DB17" s="561"/>
      <c r="DC17" s="561"/>
      <c r="DD17" s="561"/>
      <c r="DE17" s="561"/>
      <c r="DF17" s="561"/>
      <c r="DG17" s="561"/>
      <c r="DH17" s="561"/>
      <c r="DI17" s="561"/>
      <c r="DJ17" s="561"/>
      <c r="DK17" s="561"/>
      <c r="DL17" s="561"/>
      <c r="DM17" s="561"/>
      <c r="DN17" s="561"/>
      <c r="DO17" s="561"/>
      <c r="DP17" s="561"/>
      <c r="DQ17" s="561"/>
      <c r="DR17" s="561"/>
      <c r="DS17" s="561"/>
      <c r="DT17" s="561"/>
      <c r="DU17" s="561"/>
      <c r="DV17" s="561"/>
      <c r="DW17" s="561"/>
      <c r="DX17" s="561"/>
      <c r="DY17" s="561"/>
      <c r="DZ17" s="561"/>
      <c r="EA17" s="561"/>
      <c r="EB17" s="561"/>
      <c r="EC17" s="561"/>
      <c r="ED17" s="561"/>
      <c r="EE17" s="561"/>
      <c r="EF17" s="561"/>
      <c r="EG17" s="561"/>
      <c r="EH17" s="561"/>
      <c r="EI17" s="561"/>
      <c r="EJ17" s="561"/>
      <c r="EK17" s="561"/>
      <c r="EL17" s="561"/>
    </row>
    <row r="18" spans="1:142">
      <c r="B18" s="2" t="s">
        <v>1503</v>
      </c>
      <c r="F18" s="696"/>
      <c r="G18" s="699"/>
      <c r="H18" s="700"/>
      <c r="I18" s="699"/>
      <c r="J18" s="1119"/>
      <c r="K18" s="699"/>
      <c r="L18" s="699"/>
      <c r="M18" s="699"/>
      <c r="N18" s="699"/>
      <c r="O18" s="699"/>
      <c r="P18" s="699"/>
      <c r="Q18" s="696"/>
      <c r="S18" s="696"/>
      <c r="T18" s="696"/>
      <c r="U18" s="696"/>
      <c r="V18" s="696"/>
      <c r="W18" s="696"/>
      <c r="X18" s="696"/>
      <c r="Y18" s="696"/>
      <c r="Z18" s="696"/>
      <c r="AA18" s="696"/>
      <c r="AB18" s="696"/>
      <c r="AC18" s="696"/>
      <c r="AD18" s="696"/>
      <c r="AF18" s="561"/>
      <c r="AG18" s="561"/>
      <c r="AH18" s="561"/>
      <c r="AI18" s="561"/>
      <c r="AJ18" s="561"/>
      <c r="AK18" s="561"/>
      <c r="AL18" s="561"/>
      <c r="AM18" s="561"/>
      <c r="AN18" s="561"/>
      <c r="AO18" s="561"/>
      <c r="AP18" s="561"/>
      <c r="AQ18" s="561"/>
      <c r="AR18" s="561"/>
      <c r="AS18" s="561"/>
      <c r="AT18" s="561"/>
      <c r="AU18" s="561"/>
      <c r="AV18" s="561"/>
      <c r="AW18" s="561"/>
      <c r="AX18" s="561"/>
      <c r="AY18" s="561"/>
      <c r="AZ18" s="561"/>
      <c r="BA18" s="561"/>
      <c r="BB18" s="561"/>
      <c r="BC18" s="561"/>
      <c r="BD18" s="561"/>
      <c r="BE18" s="561"/>
      <c r="BF18" s="561"/>
      <c r="BG18" s="561"/>
      <c r="BH18" s="561"/>
      <c r="BI18" s="561"/>
      <c r="BJ18" s="561"/>
      <c r="BK18" s="561"/>
      <c r="BL18" s="561"/>
      <c r="BM18" s="561"/>
      <c r="BN18" s="561"/>
      <c r="BO18" s="561"/>
      <c r="BP18" s="561"/>
      <c r="BQ18" s="561"/>
      <c r="BR18" s="561"/>
      <c r="BS18" s="561"/>
      <c r="BT18" s="561"/>
      <c r="BU18" s="561"/>
      <c r="BV18" s="561"/>
      <c r="BW18" s="561"/>
      <c r="BX18" s="561"/>
      <c r="BY18" s="561"/>
      <c r="BZ18" s="561"/>
      <c r="CA18" s="561"/>
      <c r="CB18" s="561"/>
      <c r="CC18" s="561"/>
      <c r="CD18" s="561"/>
      <c r="CE18" s="561"/>
      <c r="CF18" s="561"/>
      <c r="CG18" s="561"/>
      <c r="CH18" s="561"/>
      <c r="CI18" s="561"/>
      <c r="CJ18" s="561"/>
      <c r="CK18" s="561"/>
      <c r="CL18" s="561"/>
      <c r="CM18" s="561"/>
      <c r="CN18" s="561"/>
      <c r="CO18" s="561"/>
      <c r="CP18" s="561"/>
      <c r="CQ18" s="561"/>
      <c r="CR18" s="561"/>
      <c r="CS18" s="561"/>
      <c r="CT18" s="561"/>
      <c r="CU18" s="561"/>
      <c r="CV18" s="561"/>
      <c r="CW18" s="561"/>
      <c r="CX18" s="561"/>
      <c r="CY18" s="561"/>
      <c r="CZ18" s="561"/>
      <c r="DA18" s="561"/>
      <c r="DB18" s="561"/>
      <c r="DC18" s="561"/>
      <c r="DD18" s="561"/>
      <c r="DE18" s="561"/>
      <c r="DF18" s="561"/>
      <c r="DG18" s="561"/>
      <c r="DH18" s="561"/>
      <c r="DI18" s="561"/>
      <c r="DJ18" s="561"/>
      <c r="DK18" s="561"/>
      <c r="DL18" s="561"/>
      <c r="DM18" s="561"/>
      <c r="DN18" s="561"/>
      <c r="DO18" s="561"/>
      <c r="DP18" s="561"/>
      <c r="DQ18" s="561"/>
      <c r="DR18" s="561"/>
      <c r="DS18" s="561"/>
      <c r="DT18" s="561"/>
      <c r="DU18" s="561"/>
      <c r="DV18" s="561"/>
      <c r="DW18" s="561"/>
      <c r="DX18" s="561"/>
      <c r="DY18" s="561"/>
      <c r="DZ18" s="561"/>
      <c r="EA18" s="561"/>
      <c r="EB18" s="561"/>
      <c r="EC18" s="561"/>
      <c r="ED18" s="561"/>
      <c r="EE18" s="561"/>
      <c r="EF18" s="561"/>
      <c r="EG18" s="561"/>
      <c r="EH18" s="561"/>
      <c r="EI18" s="561"/>
      <c r="EJ18" s="561"/>
      <c r="EK18" s="561"/>
      <c r="EL18" s="561"/>
    </row>
    <row r="19" spans="1:142">
      <c r="F19" s="696"/>
      <c r="G19" s="699"/>
      <c r="H19" s="700"/>
      <c r="I19" s="701"/>
      <c r="J19" s="699"/>
      <c r="K19" s="699"/>
      <c r="L19" s="699"/>
      <c r="M19" s="699"/>
      <c r="N19" s="699"/>
      <c r="O19" s="699"/>
      <c r="P19" s="699"/>
      <c r="Q19" s="696"/>
      <c r="S19" s="696"/>
      <c r="T19" s="696"/>
      <c r="U19" s="696"/>
      <c r="V19" s="696"/>
      <c r="W19" s="696"/>
      <c r="X19" s="696"/>
      <c r="Y19" s="696"/>
      <c r="Z19" s="696"/>
      <c r="AA19" s="696"/>
      <c r="AB19" s="696"/>
      <c r="AC19" s="696"/>
      <c r="AD19" s="696"/>
      <c r="AF19" s="561"/>
      <c r="AG19" s="561"/>
      <c r="AH19" s="561"/>
      <c r="AI19" s="561"/>
      <c r="AJ19" s="561"/>
      <c r="AK19" s="561"/>
      <c r="AL19" s="561"/>
      <c r="AM19" s="561"/>
      <c r="AN19" s="561"/>
      <c r="AO19" s="561"/>
      <c r="AP19" s="561"/>
      <c r="AQ19" s="561"/>
      <c r="AR19" s="561"/>
      <c r="AS19" s="561"/>
      <c r="AT19" s="561"/>
      <c r="AU19" s="561"/>
      <c r="AV19" s="561"/>
      <c r="AW19" s="561"/>
      <c r="AX19" s="561"/>
      <c r="AY19" s="561"/>
      <c r="AZ19" s="561"/>
      <c r="BA19" s="561"/>
      <c r="BB19" s="561"/>
      <c r="BC19" s="561"/>
      <c r="BD19" s="561"/>
      <c r="BE19" s="561"/>
      <c r="BF19" s="561"/>
      <c r="BG19" s="561"/>
      <c r="BH19" s="561"/>
      <c r="BI19" s="561"/>
      <c r="BJ19" s="561"/>
      <c r="BK19" s="561"/>
      <c r="BL19" s="561"/>
      <c r="BM19" s="561"/>
      <c r="BN19" s="561"/>
      <c r="BO19" s="561"/>
      <c r="BP19" s="561"/>
      <c r="BQ19" s="561"/>
      <c r="BR19" s="561"/>
      <c r="BS19" s="561"/>
      <c r="BT19" s="561"/>
      <c r="BU19" s="561"/>
      <c r="BV19" s="561"/>
      <c r="BW19" s="561"/>
      <c r="BX19" s="561"/>
      <c r="BY19" s="561"/>
      <c r="BZ19" s="561"/>
      <c r="CA19" s="561"/>
      <c r="CB19" s="561"/>
      <c r="CC19" s="561"/>
      <c r="CD19" s="561"/>
      <c r="CE19" s="561"/>
      <c r="CF19" s="561"/>
      <c r="CG19" s="561"/>
      <c r="CH19" s="561"/>
      <c r="CI19" s="561"/>
      <c r="CJ19" s="561"/>
      <c r="CK19" s="561"/>
      <c r="CL19" s="561"/>
      <c r="CM19" s="561"/>
      <c r="CN19" s="561"/>
      <c r="CO19" s="561"/>
      <c r="CP19" s="561"/>
      <c r="CQ19" s="561"/>
      <c r="CR19" s="561"/>
      <c r="CS19" s="561"/>
      <c r="CT19" s="561"/>
      <c r="CU19" s="561"/>
      <c r="CV19" s="561"/>
      <c r="CW19" s="561"/>
      <c r="CX19" s="561"/>
      <c r="CY19" s="561"/>
      <c r="CZ19" s="561"/>
      <c r="DA19" s="561"/>
      <c r="DB19" s="561"/>
      <c r="DC19" s="561"/>
      <c r="DD19" s="561"/>
      <c r="DE19" s="561"/>
      <c r="DF19" s="561"/>
      <c r="DG19" s="561"/>
      <c r="DH19" s="561"/>
      <c r="DI19" s="561"/>
      <c r="DJ19" s="561"/>
      <c r="DK19" s="561"/>
      <c r="DL19" s="561"/>
      <c r="DM19" s="561"/>
      <c r="DN19" s="561"/>
      <c r="DO19" s="561"/>
      <c r="DP19" s="561"/>
      <c r="DQ19" s="561"/>
      <c r="DR19" s="561"/>
      <c r="DS19" s="561"/>
      <c r="DT19" s="561"/>
      <c r="DU19" s="561"/>
      <c r="DV19" s="561"/>
      <c r="DW19" s="561"/>
      <c r="DX19" s="561"/>
      <c r="DY19" s="561"/>
      <c r="DZ19" s="561"/>
      <c r="EA19" s="561"/>
      <c r="EB19" s="561"/>
      <c r="EC19" s="561"/>
      <c r="ED19" s="561"/>
      <c r="EE19" s="561"/>
      <c r="EF19" s="561"/>
      <c r="EG19" s="561"/>
      <c r="EH19" s="561"/>
      <c r="EI19" s="561"/>
      <c r="EJ19" s="561"/>
      <c r="EK19" s="561"/>
      <c r="EL19" s="561"/>
    </row>
    <row r="20" spans="1:142">
      <c r="B20" s="2" t="s">
        <v>1502</v>
      </c>
      <c r="C20" s="581"/>
      <c r="F20" s="696"/>
      <c r="G20" s="699"/>
      <c r="H20" s="700"/>
      <c r="I20" s="699"/>
      <c r="J20" s="699"/>
      <c r="K20" s="699"/>
      <c r="L20" s="699"/>
      <c r="M20" s="699"/>
      <c r="N20" s="699"/>
      <c r="O20" s="699"/>
      <c r="P20" s="699"/>
      <c r="Q20" s="696"/>
      <c r="S20" s="696"/>
      <c r="T20" s="696"/>
      <c r="U20" s="696"/>
      <c r="V20" s="696"/>
      <c r="W20" s="696"/>
      <c r="X20" s="696"/>
      <c r="Y20" s="696"/>
      <c r="Z20" s="696"/>
      <c r="AA20" s="696"/>
      <c r="AB20" s="696"/>
      <c r="AC20" s="696"/>
      <c r="AD20" s="696"/>
      <c r="AF20" s="561"/>
      <c r="AG20" s="561"/>
      <c r="AH20" s="561"/>
      <c r="AI20" s="561"/>
      <c r="AJ20" s="561"/>
      <c r="AK20" s="561"/>
      <c r="AL20" s="561"/>
      <c r="AM20" s="561"/>
      <c r="AN20" s="561"/>
      <c r="AO20" s="561"/>
      <c r="AP20" s="561"/>
      <c r="AQ20" s="561"/>
      <c r="AR20" s="561"/>
      <c r="AS20" s="561"/>
      <c r="AT20" s="561"/>
      <c r="AU20" s="561"/>
      <c r="AV20" s="561"/>
      <c r="AW20" s="561"/>
      <c r="AX20" s="561"/>
      <c r="AY20" s="561"/>
      <c r="AZ20" s="561"/>
      <c r="BA20" s="561"/>
      <c r="BB20" s="561"/>
      <c r="BC20" s="561"/>
      <c r="BD20" s="561"/>
      <c r="BE20" s="561"/>
      <c r="BF20" s="561"/>
      <c r="BG20" s="561"/>
      <c r="BH20" s="561"/>
      <c r="BI20" s="561"/>
      <c r="BJ20" s="561"/>
      <c r="BK20" s="561"/>
      <c r="BL20" s="561"/>
      <c r="BM20" s="561"/>
      <c r="BN20" s="561"/>
      <c r="BO20" s="561"/>
      <c r="BP20" s="561"/>
      <c r="BQ20" s="561"/>
      <c r="BR20" s="561"/>
      <c r="BS20" s="561"/>
      <c r="BT20" s="561"/>
      <c r="BU20" s="561"/>
      <c r="BV20" s="561"/>
      <c r="BW20" s="561"/>
      <c r="BX20" s="561"/>
      <c r="BY20" s="561"/>
      <c r="BZ20" s="561"/>
      <c r="CA20" s="561"/>
      <c r="CB20" s="561"/>
      <c r="CC20" s="561"/>
      <c r="CD20" s="561"/>
      <c r="CE20" s="561"/>
      <c r="CF20" s="561"/>
      <c r="CG20" s="561"/>
      <c r="CH20" s="561"/>
      <c r="CI20" s="561"/>
      <c r="CJ20" s="561"/>
      <c r="CK20" s="561"/>
      <c r="CL20" s="561"/>
      <c r="CM20" s="561"/>
      <c r="CN20" s="561"/>
      <c r="CO20" s="561"/>
      <c r="CP20" s="561"/>
      <c r="CQ20" s="561"/>
      <c r="CR20" s="561"/>
      <c r="CS20" s="561"/>
      <c r="CT20" s="561"/>
      <c r="CU20" s="561"/>
      <c r="CV20" s="561"/>
      <c r="CW20" s="561"/>
      <c r="CX20" s="561"/>
      <c r="CY20" s="561"/>
      <c r="CZ20" s="561"/>
      <c r="DA20" s="561"/>
      <c r="DB20" s="561"/>
      <c r="DC20" s="561"/>
      <c r="DD20" s="561"/>
      <c r="DE20" s="561"/>
      <c r="DF20" s="561"/>
      <c r="DG20" s="561"/>
      <c r="DH20" s="561"/>
      <c r="DI20" s="561"/>
      <c r="DJ20" s="561"/>
      <c r="DK20" s="561"/>
      <c r="DL20" s="561"/>
      <c r="DM20" s="561"/>
      <c r="DN20" s="561"/>
      <c r="DO20" s="561"/>
      <c r="DP20" s="561"/>
      <c r="DQ20" s="561"/>
      <c r="DR20" s="561"/>
      <c r="DS20" s="561"/>
      <c r="DT20" s="561"/>
      <c r="DU20" s="561"/>
      <c r="DV20" s="561"/>
      <c r="DW20" s="561"/>
      <c r="DX20" s="561"/>
      <c r="DY20" s="561"/>
      <c r="DZ20" s="561"/>
      <c r="EA20" s="561"/>
      <c r="EB20" s="561"/>
      <c r="EC20" s="561"/>
      <c r="ED20" s="561"/>
      <c r="EE20" s="561"/>
      <c r="EF20" s="561"/>
      <c r="EG20" s="561"/>
      <c r="EH20" s="561"/>
      <c r="EI20" s="561"/>
      <c r="EJ20" s="561"/>
      <c r="EK20" s="561"/>
      <c r="EL20" s="561"/>
    </row>
    <row r="21" spans="1:142">
      <c r="B21" s="581"/>
      <c r="C21" s="581"/>
      <c r="F21" s="696"/>
      <c r="G21" s="699"/>
      <c r="H21" s="700"/>
      <c r="I21" s="699"/>
      <c r="J21" s="699"/>
      <c r="K21" s="699"/>
      <c r="L21" s="699"/>
      <c r="M21" s="699"/>
      <c r="N21" s="699"/>
      <c r="O21" s="699"/>
      <c r="P21" s="699"/>
      <c r="Q21" s="696"/>
      <c r="S21" s="696"/>
      <c r="T21" s="696"/>
      <c r="U21" s="696"/>
      <c r="V21" s="696"/>
      <c r="W21" s="696"/>
      <c r="X21" s="696"/>
      <c r="Y21" s="696"/>
      <c r="Z21" s="696"/>
      <c r="AA21" s="696"/>
      <c r="AB21" s="696"/>
      <c r="AC21" s="696"/>
      <c r="AD21" s="696"/>
    </row>
    <row r="22" spans="1:142">
      <c r="B22" s="2" t="s">
        <v>788</v>
      </c>
      <c r="F22" s="696"/>
      <c r="G22" s="699"/>
      <c r="H22" s="705"/>
      <c r="I22" s="699"/>
      <c r="J22" s="699"/>
      <c r="K22" s="699"/>
      <c r="L22" s="699"/>
      <c r="M22" s="699"/>
      <c r="N22" s="699"/>
      <c r="O22" s="699"/>
      <c r="P22" s="699"/>
      <c r="Q22" s="696"/>
      <c r="S22" s="696"/>
      <c r="T22" s="696"/>
      <c r="U22" s="696"/>
      <c r="V22" s="696"/>
      <c r="W22" s="696"/>
      <c r="X22" s="696"/>
      <c r="Y22" s="696"/>
      <c r="Z22" s="696"/>
      <c r="AA22" s="696"/>
      <c r="AB22" s="696"/>
      <c r="AC22" s="696"/>
      <c r="AD22" s="696"/>
    </row>
    <row r="23" spans="1:142">
      <c r="F23" s="696"/>
      <c r="G23" s="704"/>
      <c r="H23" s="700"/>
      <c r="I23" s="699"/>
      <c r="J23" s="699"/>
      <c r="K23" s="699"/>
      <c r="L23" s="699"/>
      <c r="M23" s="699"/>
      <c r="N23" s="699"/>
      <c r="O23" s="699"/>
      <c r="P23" s="699"/>
      <c r="Q23" s="696"/>
      <c r="S23" s="696"/>
      <c r="T23" s="696"/>
      <c r="U23" s="696"/>
      <c r="V23" s="696"/>
      <c r="W23" s="696"/>
      <c r="X23" s="696"/>
      <c r="Y23" s="696"/>
      <c r="Z23" s="696"/>
      <c r="AA23" s="696"/>
      <c r="AB23" s="696"/>
      <c r="AC23" s="696"/>
      <c r="AD23" s="696"/>
    </row>
    <row r="24" spans="1:142">
      <c r="A24" s="2" t="s">
        <v>1501</v>
      </c>
      <c r="F24" s="696"/>
      <c r="G24" s="699"/>
      <c r="H24" s="700"/>
      <c r="I24" s="701"/>
      <c r="J24" s="699"/>
      <c r="K24" s="699"/>
      <c r="L24" s="699"/>
      <c r="M24" s="699"/>
      <c r="N24" s="699"/>
      <c r="O24" s="699"/>
      <c r="P24" s="699"/>
      <c r="Q24" s="696"/>
      <c r="S24" s="696"/>
      <c r="T24" s="696"/>
      <c r="U24" s="696"/>
      <c r="V24" s="696"/>
      <c r="W24" s="696"/>
      <c r="X24" s="696"/>
      <c r="Y24" s="696"/>
      <c r="Z24" s="696"/>
      <c r="AA24" s="696"/>
      <c r="AB24" s="696"/>
      <c r="AC24" s="696"/>
      <c r="AD24" s="696"/>
    </row>
    <row r="25" spans="1:142">
      <c r="A25" s="2" t="s">
        <v>1500</v>
      </c>
      <c r="F25" s="696"/>
      <c r="G25" s="699"/>
      <c r="H25" s="700"/>
      <c r="I25" s="699"/>
      <c r="J25" s="699"/>
      <c r="K25" s="699"/>
      <c r="L25" s="699"/>
      <c r="M25" s="699"/>
      <c r="N25" s="699"/>
      <c r="O25" s="699"/>
      <c r="P25" s="699"/>
      <c r="Q25" s="696"/>
      <c r="S25" s="696"/>
      <c r="T25" s="696"/>
      <c r="U25" s="696"/>
      <c r="V25" s="696"/>
      <c r="W25" s="696"/>
      <c r="X25" s="696"/>
      <c r="Y25" s="696"/>
      <c r="Z25" s="696"/>
      <c r="AA25" s="696"/>
      <c r="AB25" s="696"/>
      <c r="AC25" s="696"/>
      <c r="AD25" s="696"/>
    </row>
    <row r="26" spans="1:142">
      <c r="A26" s="2" t="s">
        <v>1499</v>
      </c>
      <c r="F26" s="696"/>
      <c r="G26" s="699"/>
      <c r="H26" s="700"/>
      <c r="I26" s="701"/>
      <c r="J26" s="699"/>
      <c r="K26" s="699"/>
      <c r="L26" s="699"/>
      <c r="M26" s="699"/>
      <c r="N26" s="699"/>
      <c r="O26" s="699"/>
      <c r="P26" s="699"/>
      <c r="Q26" s="696"/>
      <c r="S26" s="696"/>
      <c r="T26" s="696"/>
      <c r="U26" s="696"/>
      <c r="V26" s="696"/>
      <c r="W26" s="696"/>
      <c r="X26" s="696"/>
      <c r="Y26" s="696"/>
      <c r="Z26" s="696"/>
      <c r="AA26" s="696"/>
      <c r="AB26" s="696"/>
      <c r="AC26" s="696"/>
      <c r="AD26" s="696"/>
    </row>
    <row r="27" spans="1:142">
      <c r="F27" s="696"/>
      <c r="G27" s="699"/>
      <c r="H27" s="699"/>
      <c r="I27" s="699"/>
      <c r="J27" s="699"/>
      <c r="K27" s="699"/>
      <c r="L27" s="699"/>
      <c r="M27" s="699"/>
      <c r="N27" s="699"/>
      <c r="O27" s="699"/>
      <c r="P27" s="699"/>
      <c r="Q27" s="696"/>
      <c r="S27" s="696"/>
      <c r="T27" s="696"/>
      <c r="U27" s="696"/>
      <c r="V27" s="696"/>
      <c r="W27" s="696"/>
      <c r="X27" s="696"/>
      <c r="Y27" s="696"/>
      <c r="Z27" s="696"/>
      <c r="AA27" s="696"/>
      <c r="AB27" s="696"/>
      <c r="AC27" s="696"/>
      <c r="AD27" s="696"/>
    </row>
    <row r="28" spans="1:142">
      <c r="B28" s="590" t="s">
        <v>1498</v>
      </c>
      <c r="C28" s="694">
        <v>990000</v>
      </c>
      <c r="F28" s="696"/>
      <c r="G28" s="699"/>
      <c r="H28" s="700"/>
      <c r="I28" s="699"/>
      <c r="J28" s="699"/>
      <c r="K28" s="699"/>
      <c r="L28" s="699"/>
      <c r="M28" s="699"/>
      <c r="N28" s="699"/>
      <c r="O28" s="699"/>
      <c r="P28" s="699"/>
      <c r="Q28" s="696"/>
      <c r="S28" s="696"/>
      <c r="T28" s="696"/>
      <c r="U28" s="696"/>
      <c r="V28" s="696"/>
      <c r="W28" s="696"/>
      <c r="X28" s="696"/>
      <c r="Y28" s="696"/>
      <c r="Z28" s="696"/>
      <c r="AA28" s="696"/>
      <c r="AB28" s="696"/>
      <c r="AC28" s="696"/>
      <c r="AD28" s="696"/>
    </row>
    <row r="29" spans="1:142">
      <c r="B29" s="590" t="s">
        <v>1497</v>
      </c>
      <c r="C29" s="691">
        <v>4.7E-2</v>
      </c>
      <c r="F29" s="696"/>
      <c r="G29" s="699"/>
      <c r="H29" s="699"/>
      <c r="I29" s="699"/>
      <c r="J29" s="699"/>
      <c r="K29" s="699"/>
      <c r="L29" s="699"/>
      <c r="M29" s="699"/>
      <c r="N29" s="699"/>
      <c r="O29" s="699"/>
      <c r="P29" s="699"/>
      <c r="Q29" s="696"/>
      <c r="S29" s="696"/>
      <c r="T29" s="696"/>
      <c r="U29" s="696"/>
      <c r="V29" s="696"/>
      <c r="W29" s="696"/>
      <c r="X29" s="696"/>
      <c r="Y29" s="696"/>
      <c r="Z29" s="696"/>
      <c r="AA29" s="696"/>
      <c r="AB29" s="696"/>
      <c r="AC29" s="696"/>
      <c r="AD29" s="696"/>
    </row>
    <row r="30" spans="1:142">
      <c r="F30" s="696"/>
      <c r="G30" s="698"/>
      <c r="H30" s="696"/>
      <c r="I30" s="696"/>
      <c r="J30" s="696"/>
      <c r="K30" s="696"/>
      <c r="L30" s="696"/>
      <c r="M30" s="696"/>
      <c r="N30" s="696"/>
      <c r="O30" s="696"/>
      <c r="P30" s="696"/>
      <c r="Q30" s="696"/>
      <c r="S30" s="696"/>
      <c r="T30" s="696"/>
      <c r="U30" s="696"/>
      <c r="V30" s="696"/>
      <c r="W30" s="696"/>
      <c r="X30" s="696"/>
      <c r="Y30" s="696"/>
      <c r="Z30" s="696"/>
      <c r="AA30" s="696"/>
      <c r="AB30" s="696"/>
      <c r="AC30" s="696"/>
      <c r="AD30" s="696"/>
    </row>
    <row r="31" spans="1:142">
      <c r="B31" s="619" t="s">
        <v>1496</v>
      </c>
      <c r="F31" s="696"/>
      <c r="G31" s="697"/>
      <c r="H31" s="696"/>
      <c r="I31" s="696"/>
      <c r="J31" s="696"/>
      <c r="K31" s="696"/>
      <c r="L31" s="696"/>
      <c r="M31" s="696"/>
      <c r="N31" s="696"/>
      <c r="O31" s="696"/>
      <c r="P31" s="696"/>
      <c r="Q31" s="696"/>
      <c r="S31" s="696"/>
      <c r="T31" s="696"/>
      <c r="U31" s="696"/>
      <c r="V31" s="696"/>
      <c r="W31" s="696"/>
      <c r="X31" s="696"/>
      <c r="Y31" s="696"/>
      <c r="Z31" s="696"/>
      <c r="AA31" s="696"/>
      <c r="AB31" s="696"/>
      <c r="AC31" s="696"/>
      <c r="AD31" s="696"/>
    </row>
    <row r="32" spans="1:142">
      <c r="B32" s="2" t="s">
        <v>1495</v>
      </c>
      <c r="F32" s="696"/>
      <c r="G32" s="696"/>
      <c r="H32" s="696"/>
      <c r="I32" s="696"/>
      <c r="J32" s="696"/>
      <c r="K32" s="696"/>
      <c r="L32" s="696"/>
      <c r="M32" s="696"/>
      <c r="N32" s="696"/>
      <c r="O32" s="696"/>
      <c r="P32" s="696"/>
      <c r="Q32" s="696"/>
      <c r="S32" s="696"/>
      <c r="T32" s="696"/>
      <c r="U32" s="696"/>
      <c r="V32" s="696"/>
      <c r="W32" s="696"/>
      <c r="X32" s="696"/>
      <c r="Y32" s="696"/>
      <c r="Z32" s="696"/>
      <c r="AA32" s="696"/>
      <c r="AB32" s="696"/>
      <c r="AC32" s="696"/>
      <c r="AD32" s="696"/>
    </row>
    <row r="33" spans="2:30">
      <c r="F33" s="696"/>
      <c r="G33" s="696"/>
      <c r="H33" s="696"/>
      <c r="I33" s="696"/>
      <c r="J33" s="696"/>
      <c r="K33" s="696"/>
      <c r="L33" s="696"/>
      <c r="M33" s="696"/>
      <c r="N33" s="696"/>
      <c r="O33" s="696"/>
      <c r="P33" s="696"/>
      <c r="Q33" s="696"/>
      <c r="S33" s="696"/>
      <c r="T33" s="696"/>
      <c r="U33" s="696"/>
      <c r="V33" s="696"/>
      <c r="W33" s="696"/>
      <c r="X33" s="696"/>
      <c r="Y33" s="696"/>
      <c r="Z33" s="696"/>
      <c r="AA33" s="696"/>
      <c r="AB33" s="696"/>
      <c r="AC33" s="696"/>
      <c r="AD33" s="696"/>
    </row>
    <row r="34" spans="2:30">
      <c r="B34" s="2" t="s">
        <v>788</v>
      </c>
      <c r="F34" s="696"/>
      <c r="G34" s="696"/>
      <c r="H34" s="696"/>
      <c r="I34" s="696"/>
      <c r="J34" s="696"/>
      <c r="K34" s="696"/>
      <c r="L34" s="696"/>
      <c r="M34" s="696"/>
      <c r="N34" s="696"/>
      <c r="O34" s="696"/>
      <c r="P34" s="696"/>
      <c r="Q34" s="696"/>
      <c r="S34" s="696"/>
      <c r="T34" s="696"/>
      <c r="U34" s="696"/>
      <c r="V34" s="696"/>
      <c r="W34" s="696"/>
      <c r="X34" s="696"/>
      <c r="Y34" s="696"/>
      <c r="Z34" s="696"/>
      <c r="AA34" s="696"/>
      <c r="AB34" s="696"/>
      <c r="AC34" s="696"/>
      <c r="AD34" s="696"/>
    </row>
    <row r="35" spans="2:30">
      <c r="F35" s="696"/>
      <c r="G35" s="698"/>
      <c r="H35" s="696"/>
      <c r="I35" s="696"/>
      <c r="J35" s="696"/>
      <c r="K35" s="696"/>
      <c r="L35" s="696"/>
      <c r="M35" s="696"/>
      <c r="N35" s="696"/>
      <c r="O35" s="696"/>
      <c r="P35" s="696"/>
      <c r="Q35" s="696"/>
      <c r="S35" s="696"/>
      <c r="T35" s="696"/>
      <c r="U35" s="696"/>
      <c r="V35" s="696"/>
      <c r="W35" s="696"/>
      <c r="X35" s="696"/>
      <c r="Y35" s="696"/>
      <c r="Z35" s="696"/>
      <c r="AA35" s="696"/>
      <c r="AB35" s="696"/>
      <c r="AC35" s="696"/>
      <c r="AD35" s="696"/>
    </row>
    <row r="36" spans="2:30">
      <c r="F36" s="696"/>
      <c r="G36" s="697"/>
      <c r="H36" s="696"/>
      <c r="I36" s="696"/>
      <c r="J36" s="696"/>
      <c r="K36" s="696"/>
      <c r="L36" s="696"/>
      <c r="M36" s="696"/>
      <c r="N36" s="696"/>
      <c r="O36" s="696"/>
      <c r="P36" s="696"/>
      <c r="Q36" s="696"/>
      <c r="S36" s="696"/>
      <c r="T36" s="696"/>
      <c r="U36" s="696"/>
      <c r="V36" s="696"/>
      <c r="W36" s="696"/>
      <c r="X36" s="696"/>
      <c r="Y36" s="696"/>
      <c r="Z36" s="696"/>
      <c r="AA36" s="696"/>
      <c r="AB36" s="696"/>
      <c r="AC36" s="696"/>
      <c r="AD36" s="696"/>
    </row>
    <row r="37" spans="2:30">
      <c r="F37" s="696"/>
      <c r="G37" s="697"/>
      <c r="H37" s="696"/>
      <c r="I37" s="696"/>
      <c r="J37" s="696"/>
      <c r="K37" s="696"/>
      <c r="L37" s="696"/>
      <c r="M37" s="696"/>
      <c r="N37" s="696"/>
      <c r="O37" s="696"/>
      <c r="P37" s="696"/>
      <c r="Q37" s="696"/>
      <c r="S37" s="696"/>
      <c r="T37" s="696"/>
      <c r="U37" s="696"/>
      <c r="V37" s="696"/>
      <c r="W37" s="696"/>
      <c r="X37" s="696"/>
      <c r="Y37" s="696"/>
      <c r="Z37" s="696"/>
      <c r="AA37" s="696"/>
      <c r="AB37" s="696"/>
      <c r="AC37" s="696"/>
      <c r="AD37" s="696"/>
    </row>
    <row r="38" spans="2:30">
      <c r="F38" s="696"/>
      <c r="G38" s="697"/>
      <c r="H38" s="696"/>
      <c r="I38" s="696"/>
      <c r="J38" s="696"/>
      <c r="K38" s="696"/>
      <c r="L38" s="696"/>
      <c r="M38" s="696"/>
      <c r="N38" s="696"/>
      <c r="O38" s="696"/>
      <c r="P38" s="696"/>
      <c r="Q38" s="696"/>
      <c r="S38" s="696"/>
      <c r="T38" s="696"/>
      <c r="U38" s="696"/>
      <c r="V38" s="696"/>
      <c r="W38" s="696"/>
      <c r="X38" s="696"/>
      <c r="Y38" s="696"/>
      <c r="Z38" s="696"/>
      <c r="AA38" s="696"/>
      <c r="AB38" s="696"/>
      <c r="AC38" s="696"/>
      <c r="AD38" s="696"/>
    </row>
    <row r="39" spans="2:30">
      <c r="F39" s="696"/>
      <c r="G39" s="696"/>
      <c r="H39" s="696"/>
      <c r="I39" s="696"/>
      <c r="J39" s="696"/>
      <c r="K39" s="696"/>
      <c r="L39" s="696"/>
      <c r="M39" s="696"/>
      <c r="N39" s="696"/>
      <c r="O39" s="696"/>
      <c r="P39" s="696"/>
      <c r="Q39" s="696"/>
      <c r="S39" s="696"/>
      <c r="T39" s="696"/>
      <c r="U39" s="696"/>
      <c r="V39" s="696"/>
      <c r="W39" s="696"/>
      <c r="X39" s="696"/>
      <c r="Y39" s="696"/>
      <c r="Z39" s="696"/>
      <c r="AA39" s="696"/>
      <c r="AB39" s="696"/>
      <c r="AC39" s="696"/>
      <c r="AD39" s="696"/>
    </row>
    <row r="40" spans="2:30">
      <c r="F40" s="696"/>
      <c r="G40" s="696"/>
      <c r="H40" s="696"/>
      <c r="I40" s="696"/>
      <c r="J40" s="696"/>
      <c r="K40" s="696"/>
      <c r="L40" s="696"/>
      <c r="M40" s="696"/>
      <c r="N40" s="696"/>
      <c r="O40" s="696"/>
      <c r="P40" s="696"/>
      <c r="Q40" s="696"/>
      <c r="S40" s="696"/>
      <c r="T40" s="696"/>
      <c r="U40" s="696"/>
      <c r="V40" s="696"/>
      <c r="W40" s="696"/>
      <c r="X40" s="696"/>
      <c r="Y40" s="696"/>
      <c r="Z40" s="696"/>
      <c r="AA40" s="696"/>
      <c r="AB40" s="696"/>
      <c r="AC40" s="696"/>
      <c r="AD40" s="696"/>
    </row>
    <row r="41" spans="2:30">
      <c r="F41" s="696"/>
      <c r="G41" s="696"/>
      <c r="H41" s="696"/>
      <c r="I41" s="696"/>
      <c r="J41" s="696"/>
      <c r="K41" s="696"/>
      <c r="L41" s="696"/>
      <c r="M41" s="696"/>
      <c r="N41" s="696"/>
      <c r="O41" s="696"/>
      <c r="P41" s="696"/>
      <c r="Q41" s="696"/>
      <c r="S41" s="696"/>
      <c r="T41" s="696"/>
      <c r="U41" s="696"/>
      <c r="V41" s="696"/>
      <c r="W41" s="696"/>
      <c r="X41" s="696"/>
      <c r="Y41" s="696"/>
      <c r="Z41" s="696"/>
      <c r="AA41" s="696"/>
      <c r="AB41" s="696"/>
      <c r="AC41" s="696"/>
      <c r="AD41" s="696"/>
    </row>
    <row r="42" spans="2:30">
      <c r="F42" s="696"/>
      <c r="G42" s="696"/>
      <c r="H42" s="696"/>
      <c r="I42" s="696"/>
      <c r="J42" s="696"/>
      <c r="K42" s="696"/>
      <c r="L42" s="696"/>
      <c r="M42" s="696"/>
      <c r="N42" s="696"/>
      <c r="O42" s="696"/>
      <c r="P42" s="696"/>
      <c r="Q42" s="696"/>
      <c r="S42" s="696"/>
      <c r="T42" s="696"/>
      <c r="U42" s="696"/>
      <c r="V42" s="696"/>
      <c r="W42" s="696"/>
      <c r="X42" s="696"/>
      <c r="Y42" s="696"/>
      <c r="Z42" s="696"/>
      <c r="AA42" s="696"/>
      <c r="AB42" s="696"/>
      <c r="AC42" s="696"/>
      <c r="AD42" s="696"/>
    </row>
    <row r="43" spans="2:30">
      <c r="F43" s="696"/>
      <c r="G43" s="696"/>
      <c r="H43" s="696"/>
      <c r="I43" s="696"/>
      <c r="J43" s="696"/>
      <c r="K43" s="696"/>
      <c r="L43" s="696"/>
      <c r="M43" s="696"/>
      <c r="N43" s="696"/>
      <c r="O43" s="696"/>
      <c r="P43" s="696"/>
      <c r="Q43" s="696"/>
      <c r="S43" s="696"/>
      <c r="T43" s="696"/>
      <c r="U43" s="696"/>
      <c r="V43" s="696"/>
      <c r="W43" s="696"/>
      <c r="X43" s="696"/>
      <c r="Y43" s="696"/>
      <c r="Z43" s="696"/>
      <c r="AA43" s="696"/>
      <c r="AB43" s="696"/>
      <c r="AC43" s="696"/>
      <c r="AD43" s="696"/>
    </row>
    <row r="44" spans="2:30">
      <c r="F44" s="696"/>
      <c r="G44" s="696"/>
      <c r="H44" s="696"/>
      <c r="I44" s="696"/>
      <c r="J44" s="696"/>
      <c r="K44" s="696"/>
      <c r="L44" s="696"/>
      <c r="M44" s="696"/>
      <c r="N44" s="696"/>
      <c r="O44" s="696"/>
      <c r="P44" s="696"/>
      <c r="Q44" s="696"/>
      <c r="S44" s="696"/>
      <c r="T44" s="696"/>
      <c r="U44" s="696"/>
      <c r="V44" s="696"/>
      <c r="W44" s="696"/>
      <c r="X44" s="696"/>
      <c r="Y44" s="696"/>
      <c r="Z44" s="696"/>
      <c r="AA44" s="696"/>
      <c r="AB44" s="696"/>
      <c r="AC44" s="696"/>
      <c r="AD44" s="696"/>
    </row>
    <row r="45" spans="2:30">
      <c r="F45" s="696"/>
      <c r="G45" s="696"/>
      <c r="H45" s="696"/>
      <c r="I45" s="696"/>
      <c r="J45" s="696"/>
      <c r="K45" s="696"/>
      <c r="L45" s="696"/>
      <c r="M45" s="696"/>
      <c r="N45" s="696"/>
      <c r="O45" s="696"/>
      <c r="P45" s="696"/>
      <c r="Q45" s="696"/>
      <c r="S45" s="696"/>
      <c r="T45" s="696"/>
      <c r="U45" s="696"/>
      <c r="V45" s="696"/>
      <c r="W45" s="696"/>
      <c r="X45" s="696"/>
      <c r="Y45" s="696"/>
      <c r="Z45" s="696"/>
      <c r="AA45" s="696"/>
      <c r="AB45" s="696"/>
      <c r="AC45" s="696"/>
      <c r="AD45" s="696"/>
    </row>
    <row r="46" spans="2:30">
      <c r="S46" s="696"/>
      <c r="T46" s="696"/>
      <c r="U46" s="696"/>
      <c r="V46" s="696"/>
      <c r="W46" s="696"/>
      <c r="X46" s="696"/>
      <c r="Y46" s="696"/>
      <c r="Z46" s="696"/>
      <c r="AA46" s="696"/>
      <c r="AB46" s="696"/>
      <c r="AC46" s="696"/>
      <c r="AD46" s="696"/>
    </row>
    <row r="47" spans="2:30">
      <c r="S47" s="696"/>
      <c r="T47" s="696"/>
      <c r="U47" s="696"/>
      <c r="V47" s="696"/>
      <c r="W47" s="696"/>
      <c r="X47" s="696"/>
      <c r="Y47" s="696"/>
      <c r="Z47" s="696"/>
      <c r="AA47" s="696"/>
      <c r="AB47" s="696"/>
      <c r="AC47" s="696"/>
      <c r="AD47" s="696"/>
    </row>
  </sheetData>
  <sheetProtection algorithmName="SHA-512" hashValue="Wqb60RbY4WNFsJYff6bb2k3CfRoaizwNGUjNL+8ddLDp/vN9Iq7ypfix6g8qgOJTdwNioLPMSZTscyxIX/lmAA==" saltValue="KF/2ueHR56d1STVENUl4fg==" spinCount="100000" sheet="1" formatCells="0" formatColumns="0" formatRows="0" insertColumns="0" insertRows="0"/>
  <mergeCells count="3">
    <mergeCell ref="G7:Q7"/>
    <mergeCell ref="T7:AD7"/>
    <mergeCell ref="T8:AD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42446-CD8B-404A-BF63-A1FCEDA399F7}">
  <dimension ref="A1:K56"/>
  <sheetViews>
    <sheetView workbookViewId="0"/>
  </sheetViews>
  <sheetFormatPr defaultColWidth="8.88671875" defaultRowHeight="15.6"/>
  <cols>
    <col min="1" max="1" width="3.5546875" style="172" customWidth="1"/>
    <col min="2" max="2" width="11.109375" style="172" customWidth="1"/>
    <col min="3" max="3" width="16" style="172" customWidth="1"/>
    <col min="4" max="8" width="12.88671875" style="172" customWidth="1"/>
    <col min="9" max="9" width="8.88671875" style="172"/>
    <col min="10" max="10" width="2.5546875" style="172" customWidth="1"/>
    <col min="11" max="16384" width="8.88671875" style="4"/>
  </cols>
  <sheetData>
    <row r="1" spans="1:11">
      <c r="A1" s="172" t="s">
        <v>304</v>
      </c>
      <c r="K1" s="4" t="s">
        <v>304</v>
      </c>
    </row>
    <row r="2" spans="1:11">
      <c r="A2" s="172" t="s">
        <v>34</v>
      </c>
      <c r="K2" s="4" t="s">
        <v>34</v>
      </c>
    </row>
    <row r="3" spans="1:11" ht="18.45" customHeight="1">
      <c r="A3" s="174"/>
    </row>
    <row r="4" spans="1:11" ht="18.45" customHeight="1">
      <c r="A4" s="175"/>
      <c r="K4" s="4" t="s">
        <v>35</v>
      </c>
    </row>
    <row r="5" spans="1:11">
      <c r="A5" s="175"/>
      <c r="B5" s="176" t="s">
        <v>36</v>
      </c>
      <c r="C5" s="172" t="s">
        <v>305</v>
      </c>
    </row>
    <row r="6" spans="1:11">
      <c r="C6" s="172" t="s">
        <v>306</v>
      </c>
    </row>
    <row r="8" spans="1:11">
      <c r="C8" s="224" t="s">
        <v>307</v>
      </c>
    </row>
    <row r="9" spans="1:11" ht="15.6" customHeight="1">
      <c r="C9" s="1407" t="s">
        <v>222</v>
      </c>
      <c r="D9" s="1408"/>
      <c r="E9" s="1411" t="s">
        <v>308</v>
      </c>
      <c r="F9" s="1412"/>
      <c r="G9" s="1413"/>
    </row>
    <row r="10" spans="1:11" ht="15.6" customHeight="1">
      <c r="C10" s="1409"/>
      <c r="D10" s="1410"/>
      <c r="E10" s="1414"/>
      <c r="F10" s="1415"/>
      <c r="G10" s="1416"/>
    </row>
    <row r="11" spans="1:11">
      <c r="C11" s="1374" t="s">
        <v>224</v>
      </c>
      <c r="D11" s="1374"/>
      <c r="E11" s="1374" t="s">
        <v>42</v>
      </c>
      <c r="F11" s="1374"/>
      <c r="G11" s="1374"/>
    </row>
    <row r="12" spans="1:11">
      <c r="C12" s="1374" t="s">
        <v>309</v>
      </c>
      <c r="D12" s="1374"/>
      <c r="E12" s="1417" t="s">
        <v>310</v>
      </c>
      <c r="F12" s="1417"/>
      <c r="G12" s="1417"/>
    </row>
    <row r="13" spans="1:11">
      <c r="C13" s="1374" t="s">
        <v>46</v>
      </c>
      <c r="D13" s="1374"/>
      <c r="E13" s="1417" t="s">
        <v>311</v>
      </c>
      <c r="F13" s="1417"/>
      <c r="G13" s="1417"/>
    </row>
    <row r="14" spans="1:11">
      <c r="C14" s="228" t="s">
        <v>312</v>
      </c>
      <c r="D14" s="229"/>
      <c r="E14" s="230" t="s">
        <v>313</v>
      </c>
      <c r="F14" s="231"/>
      <c r="G14" s="232"/>
    </row>
    <row r="16" spans="1:11">
      <c r="C16" s="224" t="s">
        <v>230</v>
      </c>
    </row>
    <row r="17" spans="3:8">
      <c r="C17" s="1418" t="s">
        <v>231</v>
      </c>
      <c r="D17" s="1419"/>
      <c r="E17" s="233">
        <v>0.05</v>
      </c>
      <c r="F17" s="1420" t="s">
        <v>52</v>
      </c>
      <c r="G17" s="1420"/>
      <c r="H17" s="1419"/>
    </row>
    <row r="18" spans="3:8">
      <c r="C18" s="1418" t="s">
        <v>235</v>
      </c>
      <c r="D18" s="1419"/>
      <c r="E18" s="1418" t="s">
        <v>314</v>
      </c>
      <c r="F18" s="1420"/>
      <c r="G18" s="1420"/>
      <c r="H18" s="1419"/>
    </row>
    <row r="19" spans="3:8">
      <c r="C19" s="1407" t="s">
        <v>315</v>
      </c>
      <c r="D19" s="1408"/>
      <c r="E19" s="1418" t="s">
        <v>316</v>
      </c>
      <c r="F19" s="1419"/>
      <c r="G19" s="234">
        <v>0.05</v>
      </c>
      <c r="H19" s="232" t="s">
        <v>52</v>
      </c>
    </row>
    <row r="20" spans="3:8">
      <c r="C20" s="1409"/>
      <c r="D20" s="1410"/>
      <c r="E20" s="225" t="s">
        <v>317</v>
      </c>
      <c r="F20" s="226"/>
      <c r="G20" s="235">
        <v>0</v>
      </c>
      <c r="H20" s="236" t="s">
        <v>52</v>
      </c>
    </row>
    <row r="21" spans="3:8">
      <c r="C21" s="1418" t="s">
        <v>318</v>
      </c>
      <c r="D21" s="1419"/>
      <c r="E21" s="1418" t="s">
        <v>59</v>
      </c>
      <c r="F21" s="1420"/>
      <c r="G21" s="1420"/>
      <c r="H21" s="1419"/>
    </row>
    <row r="22" spans="3:8">
      <c r="C22" s="1418" t="s">
        <v>237</v>
      </c>
      <c r="D22" s="1419"/>
      <c r="E22" s="1418" t="s">
        <v>319</v>
      </c>
      <c r="F22" s="1420"/>
      <c r="G22" s="1420"/>
      <c r="H22" s="1419"/>
    </row>
    <row r="24" spans="3:8">
      <c r="C24" s="224" t="s">
        <v>320</v>
      </c>
    </row>
    <row r="25" spans="3:8">
      <c r="C25" s="237"/>
      <c r="D25" s="238" t="s">
        <v>67</v>
      </c>
      <c r="E25" s="238" t="s">
        <v>68</v>
      </c>
      <c r="F25" s="238" t="s">
        <v>240</v>
      </c>
      <c r="G25" s="239"/>
      <c r="H25" s="239"/>
    </row>
    <row r="26" spans="3:8">
      <c r="C26" s="237" t="s">
        <v>272</v>
      </c>
      <c r="D26" s="240">
        <v>43</v>
      </c>
      <c r="E26" s="240">
        <v>50</v>
      </c>
      <c r="F26" s="240">
        <v>59</v>
      </c>
      <c r="G26" s="241"/>
      <c r="H26" s="241"/>
    </row>
    <row r="27" spans="3:8">
      <c r="C27" s="237" t="s">
        <v>321</v>
      </c>
      <c r="D27" s="240">
        <v>13</v>
      </c>
      <c r="E27" s="240">
        <v>15</v>
      </c>
      <c r="F27" s="240">
        <v>19</v>
      </c>
      <c r="G27" s="241"/>
      <c r="H27" s="241"/>
    </row>
    <row r="28" spans="3:8">
      <c r="C28" s="241"/>
      <c r="D28" s="1421"/>
      <c r="E28" s="1421"/>
      <c r="F28" s="1421"/>
      <c r="G28" s="1421"/>
      <c r="H28" s="241"/>
    </row>
    <row r="29" spans="3:8">
      <c r="C29" s="242" t="s">
        <v>322</v>
      </c>
      <c r="D29" s="241"/>
      <c r="E29" s="241"/>
      <c r="F29" s="241"/>
      <c r="G29" s="241"/>
      <c r="H29" s="241"/>
    </row>
    <row r="30" spans="3:8" ht="19.8">
      <c r="C30" s="243" t="s">
        <v>323</v>
      </c>
      <c r="D30" s="244">
        <v>14.8</v>
      </c>
      <c r="E30" s="243" t="s">
        <v>324</v>
      </c>
      <c r="F30" s="244">
        <v>14.5</v>
      </c>
      <c r="G30" s="241"/>
      <c r="H30" s="241"/>
    </row>
    <row r="31" spans="3:8">
      <c r="C31" s="241"/>
      <c r="D31" s="241"/>
      <c r="E31" s="241"/>
      <c r="F31" s="241"/>
      <c r="G31" s="241"/>
      <c r="H31" s="241"/>
    </row>
    <row r="32" spans="3:8">
      <c r="C32" s="242" t="s">
        <v>325</v>
      </c>
      <c r="D32" s="241"/>
      <c r="E32" s="241"/>
      <c r="F32" s="241"/>
      <c r="G32" s="241"/>
      <c r="H32" s="241"/>
    </row>
    <row r="33" spans="2:10">
      <c r="C33" s="245" t="s">
        <v>326</v>
      </c>
      <c r="D33" s="241"/>
      <c r="E33" s="241"/>
      <c r="F33" s="246">
        <v>0</v>
      </c>
      <c r="G33" s="241"/>
      <c r="H33" s="241"/>
    </row>
    <row r="34" spans="2:10">
      <c r="C34" s="241"/>
      <c r="D34" s="241"/>
      <c r="E34" s="241"/>
      <c r="F34" s="241"/>
      <c r="G34" s="241"/>
      <c r="H34" s="241"/>
    </row>
    <row r="36" spans="2:10">
      <c r="B36" s="172" t="s">
        <v>246</v>
      </c>
      <c r="C36" s="176" t="s">
        <v>257</v>
      </c>
      <c r="D36" s="172" t="s">
        <v>327</v>
      </c>
    </row>
    <row r="37" spans="2:10">
      <c r="C37" s="176"/>
      <c r="D37" s="247" t="s">
        <v>328</v>
      </c>
    </row>
    <row r="39" spans="2:10">
      <c r="D39" s="1422" t="s">
        <v>95</v>
      </c>
      <c r="E39" s="1423"/>
      <c r="F39" s="1423"/>
      <c r="G39" s="1423"/>
      <c r="H39" s="1423"/>
      <c r="I39" s="1423"/>
      <c r="J39" s="1424"/>
    </row>
    <row r="40" spans="2:10">
      <c r="D40" s="1425"/>
      <c r="E40" s="1426"/>
      <c r="F40" s="1426"/>
      <c r="G40" s="1426"/>
      <c r="H40" s="1426"/>
      <c r="I40" s="1426"/>
      <c r="J40" s="1427"/>
    </row>
    <row r="42" spans="2:10">
      <c r="C42" s="172" t="s">
        <v>78</v>
      </c>
    </row>
    <row r="43" spans="2:10">
      <c r="C43" s="247" t="s">
        <v>329</v>
      </c>
    </row>
    <row r="44" spans="2:10">
      <c r="C44" s="247" t="s">
        <v>330</v>
      </c>
    </row>
    <row r="47" spans="2:10">
      <c r="B47" s="172" t="s">
        <v>6</v>
      </c>
      <c r="C47" s="176" t="s">
        <v>331</v>
      </c>
      <c r="D47" s="172" t="s">
        <v>332</v>
      </c>
    </row>
    <row r="49" spans="2:10">
      <c r="D49" s="1422" t="s">
        <v>95</v>
      </c>
      <c r="E49" s="1423"/>
      <c r="F49" s="1423"/>
      <c r="G49" s="1423"/>
      <c r="H49" s="1423"/>
      <c r="I49" s="1423"/>
      <c r="J49" s="1424"/>
    </row>
    <row r="50" spans="2:10">
      <c r="D50" s="1425"/>
      <c r="E50" s="1426"/>
      <c r="F50" s="1426"/>
      <c r="G50" s="1426"/>
      <c r="H50" s="1426"/>
      <c r="I50" s="1426"/>
      <c r="J50" s="1427"/>
    </row>
    <row r="52" spans="2:10">
      <c r="B52" s="172" t="s">
        <v>256</v>
      </c>
      <c r="C52" s="176" t="s">
        <v>331</v>
      </c>
      <c r="D52" s="172" t="s">
        <v>333</v>
      </c>
    </row>
    <row r="53" spans="2:10">
      <c r="D53" s="172" t="s">
        <v>334</v>
      </c>
    </row>
    <row r="55" spans="2:10">
      <c r="D55" s="1422" t="s">
        <v>95</v>
      </c>
      <c r="E55" s="1423"/>
      <c r="F55" s="1423"/>
      <c r="G55" s="1423"/>
      <c r="H55" s="1423"/>
      <c r="I55" s="1423"/>
      <c r="J55" s="1424"/>
    </row>
    <row r="56" spans="2:10">
      <c r="D56" s="1425"/>
      <c r="E56" s="1426"/>
      <c r="F56" s="1426"/>
      <c r="G56" s="1426"/>
      <c r="H56" s="1426"/>
      <c r="I56" s="1426"/>
      <c r="J56" s="1427"/>
    </row>
  </sheetData>
  <mergeCells count="23">
    <mergeCell ref="D28:E28"/>
    <mergeCell ref="F28:G28"/>
    <mergeCell ref="D39:J40"/>
    <mergeCell ref="D49:J50"/>
    <mergeCell ref="D55:J56"/>
    <mergeCell ref="C19:D20"/>
    <mergeCell ref="E19:F19"/>
    <mergeCell ref="C21:D21"/>
    <mergeCell ref="E21:H21"/>
    <mergeCell ref="C22:D22"/>
    <mergeCell ref="E22:H22"/>
    <mergeCell ref="C13:D13"/>
    <mergeCell ref="E13:G13"/>
    <mergeCell ref="C17:D17"/>
    <mergeCell ref="F17:H17"/>
    <mergeCell ref="C18:D18"/>
    <mergeCell ref="E18:H18"/>
    <mergeCell ref="C9:D10"/>
    <mergeCell ref="E9:G10"/>
    <mergeCell ref="C11:D11"/>
    <mergeCell ref="E11:G11"/>
    <mergeCell ref="C12:D12"/>
    <mergeCell ref="E12:G12"/>
  </mergeCell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C0D56-3D26-475E-8FB0-EB173CE6E4D2}">
  <dimension ref="A1:EL47"/>
  <sheetViews>
    <sheetView zoomScale="70" zoomScaleNormal="70" workbookViewId="0">
      <selection sqref="A1:XFD1048576"/>
    </sheetView>
  </sheetViews>
  <sheetFormatPr defaultColWidth="9.33203125" defaultRowHeight="15.6"/>
  <cols>
    <col min="1" max="1" width="3.6640625" style="2" customWidth="1"/>
    <col min="2" max="2" width="45.33203125" style="2" customWidth="1"/>
    <col min="3" max="3" width="22.33203125" style="2" customWidth="1"/>
    <col min="4" max="4" width="13.6640625" style="2" customWidth="1"/>
    <col min="5" max="5" width="1" style="3" customWidth="1"/>
    <col min="6" max="6" width="4" style="560" customWidth="1"/>
    <col min="7" max="7" width="14.5546875" style="560" bestFit="1" customWidth="1"/>
    <col min="8" max="8" width="13.88671875" style="560" bestFit="1" customWidth="1"/>
    <col min="9" max="12" width="9.33203125" style="560"/>
    <col min="13" max="13" width="16.88671875" style="560" customWidth="1"/>
    <col min="14" max="17" width="9.33203125" style="560"/>
    <col min="18" max="18" width="1" style="561" customWidth="1"/>
    <col min="19" max="19" width="9.33203125" style="560"/>
    <col min="20" max="20" width="30.5546875" style="560" bestFit="1" customWidth="1"/>
    <col min="21" max="21" width="11" style="560" bestFit="1" customWidth="1"/>
    <col min="22" max="30" width="9.33203125" style="560"/>
    <col min="31" max="31" width="1.88671875" style="617" customWidth="1"/>
    <col min="32" max="16384" width="9.33203125" style="560"/>
  </cols>
  <sheetData>
    <row r="1" spans="1:142">
      <c r="A1" s="1" t="s">
        <v>822</v>
      </c>
      <c r="F1" s="1" t="s">
        <v>822</v>
      </c>
      <c r="G1" s="2"/>
      <c r="H1" s="2"/>
      <c r="I1" s="2"/>
      <c r="J1" s="2"/>
      <c r="K1" s="2"/>
      <c r="L1" s="2"/>
      <c r="M1" s="2"/>
      <c r="N1" s="2"/>
      <c r="O1" s="2"/>
      <c r="P1" s="2"/>
      <c r="Q1" s="2"/>
      <c r="S1" s="1" t="s">
        <v>822</v>
      </c>
      <c r="T1" s="2"/>
      <c r="U1" s="2"/>
      <c r="V1" s="2"/>
      <c r="W1" s="2"/>
      <c r="X1" s="2"/>
      <c r="Y1" s="2"/>
      <c r="Z1" s="2"/>
      <c r="AA1" s="2"/>
      <c r="AB1" s="2"/>
      <c r="AC1" s="2"/>
      <c r="AD1" s="2"/>
      <c r="AF1" s="561"/>
      <c r="AG1" s="561"/>
      <c r="AH1" s="561"/>
      <c r="AI1" s="561"/>
      <c r="AJ1" s="561"/>
      <c r="AK1" s="561"/>
      <c r="AL1" s="561"/>
      <c r="AM1" s="561"/>
      <c r="AN1" s="561"/>
      <c r="AO1" s="561"/>
      <c r="AP1" s="561"/>
      <c r="AQ1" s="561"/>
      <c r="AR1" s="561"/>
      <c r="AS1" s="561"/>
      <c r="AT1" s="561"/>
      <c r="AU1" s="561"/>
      <c r="AV1" s="561"/>
      <c r="AW1" s="561"/>
      <c r="AX1" s="561"/>
      <c r="AY1" s="561"/>
      <c r="AZ1" s="561"/>
      <c r="BA1" s="561"/>
      <c r="BB1" s="561"/>
      <c r="BC1" s="561"/>
      <c r="BD1" s="561"/>
      <c r="BE1" s="561"/>
      <c r="BF1" s="561"/>
      <c r="BG1" s="561"/>
      <c r="BH1" s="561"/>
      <c r="BI1" s="561"/>
      <c r="BJ1" s="561"/>
      <c r="BK1" s="561"/>
      <c r="BL1" s="561"/>
      <c r="BM1" s="561"/>
      <c r="BN1" s="561"/>
      <c r="BO1" s="561"/>
      <c r="BP1" s="561"/>
      <c r="BQ1" s="561"/>
      <c r="BR1" s="561"/>
      <c r="BS1" s="561"/>
      <c r="BT1" s="561"/>
      <c r="BU1" s="561"/>
      <c r="BV1" s="561"/>
      <c r="BW1" s="561"/>
      <c r="BX1" s="561"/>
      <c r="BY1" s="561"/>
      <c r="BZ1" s="561"/>
      <c r="CA1" s="561"/>
      <c r="CB1" s="561"/>
      <c r="CC1" s="561"/>
      <c r="CD1" s="561"/>
      <c r="CE1" s="561"/>
      <c r="CF1" s="561"/>
      <c r="CG1" s="561"/>
      <c r="CH1" s="561"/>
      <c r="CI1" s="561"/>
      <c r="CJ1" s="561"/>
      <c r="CK1" s="561"/>
      <c r="CL1" s="561"/>
      <c r="CM1" s="561"/>
      <c r="CN1" s="561"/>
      <c r="CO1" s="561"/>
      <c r="CP1" s="561"/>
      <c r="CQ1" s="561"/>
      <c r="CR1" s="561"/>
      <c r="CS1" s="561"/>
      <c r="CT1" s="561"/>
      <c r="CU1" s="561"/>
      <c r="CV1" s="561"/>
      <c r="CW1" s="561"/>
      <c r="CX1" s="561"/>
      <c r="CY1" s="561"/>
      <c r="CZ1" s="561"/>
      <c r="DA1" s="561"/>
      <c r="DB1" s="561"/>
      <c r="DC1" s="561"/>
      <c r="DD1" s="561"/>
      <c r="DE1" s="561"/>
      <c r="DF1" s="561"/>
      <c r="DG1" s="561"/>
      <c r="DH1" s="561"/>
      <c r="DI1" s="561"/>
      <c r="DJ1" s="561"/>
      <c r="DK1" s="561"/>
      <c r="DL1" s="561"/>
      <c r="DM1" s="561"/>
      <c r="DN1" s="561"/>
      <c r="DO1" s="561"/>
      <c r="DP1" s="561"/>
      <c r="DQ1" s="561"/>
      <c r="DR1" s="561"/>
      <c r="DS1" s="561"/>
      <c r="DT1" s="561"/>
      <c r="DU1" s="561"/>
      <c r="DV1" s="561"/>
      <c r="DW1" s="561"/>
      <c r="DX1" s="561"/>
      <c r="DY1" s="561"/>
      <c r="DZ1" s="561"/>
      <c r="EA1" s="561"/>
      <c r="EB1" s="561"/>
      <c r="EC1" s="561"/>
      <c r="ED1" s="561"/>
      <c r="EE1" s="561"/>
      <c r="EF1" s="561"/>
      <c r="EG1" s="561"/>
      <c r="EH1" s="561"/>
      <c r="EI1" s="561"/>
      <c r="EJ1" s="561"/>
      <c r="EK1" s="561"/>
      <c r="EL1" s="561"/>
    </row>
    <row r="2" spans="1:142">
      <c r="A2" s="1" t="s">
        <v>732</v>
      </c>
      <c r="F2" s="1" t="s">
        <v>732</v>
      </c>
      <c r="G2" s="2"/>
      <c r="H2" s="2"/>
      <c r="I2" s="2"/>
      <c r="J2" s="2"/>
      <c r="K2" s="2"/>
      <c r="L2" s="2"/>
      <c r="M2" s="2"/>
      <c r="N2" s="2"/>
      <c r="O2" s="2"/>
      <c r="P2" s="2"/>
      <c r="Q2" s="2"/>
      <c r="S2" s="1" t="s">
        <v>732</v>
      </c>
      <c r="T2" s="2"/>
      <c r="U2" s="2"/>
      <c r="V2" s="2"/>
      <c r="W2" s="2"/>
      <c r="X2" s="2"/>
      <c r="Y2" s="2"/>
      <c r="Z2" s="2"/>
      <c r="AA2" s="2"/>
      <c r="AB2" s="2"/>
      <c r="AC2" s="2"/>
      <c r="AD2" s="2"/>
      <c r="AF2" s="561"/>
      <c r="AG2" s="561"/>
      <c r="AH2" s="561"/>
      <c r="AI2" s="561"/>
      <c r="AJ2" s="561"/>
      <c r="AK2" s="561"/>
      <c r="AL2" s="561"/>
      <c r="AM2" s="561"/>
      <c r="AN2" s="561"/>
      <c r="AO2" s="561"/>
      <c r="AP2" s="561"/>
      <c r="AQ2" s="561"/>
      <c r="AR2" s="561"/>
      <c r="AS2" s="561"/>
      <c r="AT2" s="561"/>
      <c r="AU2" s="561"/>
      <c r="AV2" s="561"/>
      <c r="AW2" s="561"/>
      <c r="AX2" s="561"/>
      <c r="AY2" s="561"/>
      <c r="AZ2" s="561"/>
      <c r="BA2" s="561"/>
      <c r="BB2" s="561"/>
      <c r="BC2" s="561"/>
      <c r="BD2" s="561"/>
      <c r="BE2" s="561"/>
      <c r="BF2" s="561"/>
      <c r="BG2" s="561"/>
      <c r="BH2" s="561"/>
      <c r="BI2" s="561"/>
      <c r="BJ2" s="561"/>
      <c r="BK2" s="561"/>
      <c r="BL2" s="561"/>
      <c r="BM2" s="561"/>
      <c r="BN2" s="561"/>
      <c r="BO2" s="561"/>
      <c r="BP2" s="561"/>
      <c r="BQ2" s="561"/>
      <c r="BR2" s="561"/>
      <c r="BS2" s="561"/>
      <c r="BT2" s="561"/>
      <c r="BU2" s="561"/>
      <c r="BV2" s="561"/>
      <c r="BW2" s="561"/>
      <c r="BX2" s="561"/>
      <c r="BY2" s="561"/>
      <c r="BZ2" s="561"/>
      <c r="CA2" s="561"/>
      <c r="CB2" s="561"/>
      <c r="CC2" s="561"/>
      <c r="CD2" s="561"/>
      <c r="CE2" s="561"/>
      <c r="CF2" s="561"/>
      <c r="CG2" s="561"/>
      <c r="CH2" s="561"/>
      <c r="CI2" s="561"/>
      <c r="CJ2" s="561"/>
      <c r="CK2" s="561"/>
      <c r="CL2" s="561"/>
      <c r="CM2" s="561"/>
      <c r="CN2" s="561"/>
      <c r="CO2" s="561"/>
      <c r="CP2" s="561"/>
      <c r="CQ2" s="561"/>
      <c r="CR2" s="561"/>
      <c r="CS2" s="561"/>
      <c r="CT2" s="561"/>
      <c r="CU2" s="561"/>
      <c r="CV2" s="561"/>
      <c r="CW2" s="561"/>
      <c r="CX2" s="561"/>
      <c r="CY2" s="561"/>
      <c r="CZ2" s="561"/>
      <c r="DA2" s="561"/>
      <c r="DB2" s="561"/>
      <c r="DC2" s="561"/>
      <c r="DD2" s="561"/>
      <c r="DE2" s="561"/>
      <c r="DF2" s="561"/>
      <c r="DG2" s="561"/>
      <c r="DH2" s="561"/>
      <c r="DI2" s="561"/>
      <c r="DJ2" s="561"/>
      <c r="DK2" s="561"/>
      <c r="DL2" s="561"/>
      <c r="DM2" s="561"/>
      <c r="DN2" s="561"/>
      <c r="DO2" s="561"/>
      <c r="DP2" s="561"/>
      <c r="DQ2" s="561"/>
      <c r="DR2" s="561"/>
      <c r="DS2" s="561"/>
      <c r="DT2" s="561"/>
      <c r="DU2" s="561"/>
      <c r="DV2" s="561"/>
      <c r="DW2" s="561"/>
      <c r="DX2" s="561"/>
      <c r="DY2" s="561"/>
      <c r="DZ2" s="561"/>
      <c r="EA2" s="561"/>
      <c r="EB2" s="561"/>
      <c r="EC2" s="561"/>
      <c r="ED2" s="561"/>
      <c r="EE2" s="561"/>
      <c r="EF2" s="561"/>
      <c r="EG2" s="561"/>
      <c r="EH2" s="561"/>
      <c r="EI2" s="561"/>
      <c r="EJ2" s="561"/>
      <c r="EK2" s="561"/>
      <c r="EL2" s="561"/>
    </row>
    <row r="3" spans="1:142">
      <c r="A3" s="1" t="s">
        <v>464</v>
      </c>
      <c r="F3" s="1" t="s">
        <v>464</v>
      </c>
      <c r="G3" s="2"/>
      <c r="H3" s="2"/>
      <c r="I3" s="2"/>
      <c r="J3" s="2"/>
      <c r="K3" s="2"/>
      <c r="L3" s="2"/>
      <c r="M3" s="2"/>
      <c r="N3" s="2"/>
      <c r="O3" s="2"/>
      <c r="P3" s="2"/>
      <c r="Q3" s="2"/>
      <c r="S3" s="1" t="s">
        <v>464</v>
      </c>
      <c r="T3" s="2"/>
      <c r="U3" s="2"/>
      <c r="V3" s="2"/>
      <c r="W3" s="2"/>
      <c r="X3" s="2"/>
      <c r="Y3" s="2"/>
      <c r="Z3" s="2"/>
      <c r="AA3" s="2"/>
      <c r="AB3" s="2"/>
      <c r="AC3" s="2"/>
      <c r="AD3" s="2"/>
      <c r="AF3" s="561"/>
      <c r="AG3" s="561"/>
      <c r="AH3" s="561"/>
      <c r="AI3" s="561"/>
      <c r="AJ3" s="561"/>
      <c r="AK3" s="561"/>
      <c r="AL3" s="561"/>
      <c r="AM3" s="561"/>
      <c r="AN3" s="561"/>
      <c r="AO3" s="561"/>
      <c r="AP3" s="561"/>
      <c r="AQ3" s="561"/>
      <c r="AR3" s="561"/>
      <c r="AS3" s="561"/>
      <c r="AT3" s="561"/>
      <c r="AU3" s="561"/>
      <c r="AV3" s="561"/>
      <c r="AW3" s="561"/>
      <c r="AX3" s="561"/>
      <c r="AY3" s="561"/>
      <c r="AZ3" s="561"/>
      <c r="BA3" s="561"/>
      <c r="BB3" s="561"/>
      <c r="BC3" s="561"/>
      <c r="BD3" s="561"/>
      <c r="BE3" s="561"/>
      <c r="BF3" s="561"/>
      <c r="BG3" s="561"/>
      <c r="BH3" s="561"/>
      <c r="BI3" s="561"/>
      <c r="BJ3" s="561"/>
      <c r="BK3" s="561"/>
      <c r="BL3" s="561"/>
      <c r="BM3" s="561"/>
      <c r="BN3" s="561"/>
      <c r="BO3" s="561"/>
      <c r="BP3" s="561"/>
      <c r="BQ3" s="561"/>
      <c r="BR3" s="561"/>
      <c r="BS3" s="561"/>
      <c r="BT3" s="561"/>
      <c r="BU3" s="561"/>
      <c r="BV3" s="561"/>
      <c r="BW3" s="561"/>
      <c r="BX3" s="561"/>
      <c r="BY3" s="561"/>
      <c r="BZ3" s="561"/>
      <c r="CA3" s="561"/>
      <c r="CB3" s="561"/>
      <c r="CC3" s="561"/>
      <c r="CD3" s="561"/>
      <c r="CE3" s="561"/>
      <c r="CF3" s="561"/>
      <c r="CG3" s="561"/>
      <c r="CH3" s="561"/>
      <c r="CI3" s="561"/>
      <c r="CJ3" s="561"/>
      <c r="CK3" s="561"/>
      <c r="CL3" s="561"/>
      <c r="CM3" s="561"/>
      <c r="CN3" s="561"/>
      <c r="CO3" s="561"/>
      <c r="CP3" s="561"/>
      <c r="CQ3" s="561"/>
      <c r="CR3" s="561"/>
      <c r="CS3" s="561"/>
      <c r="CT3" s="561"/>
      <c r="CU3" s="561"/>
      <c r="CV3" s="561"/>
      <c r="CW3" s="561"/>
      <c r="CX3" s="561"/>
      <c r="CY3" s="561"/>
      <c r="CZ3" s="561"/>
      <c r="DA3" s="561"/>
      <c r="DB3" s="561"/>
      <c r="DC3" s="561"/>
      <c r="DD3" s="561"/>
      <c r="DE3" s="561"/>
      <c r="DF3" s="561"/>
      <c r="DG3" s="561"/>
      <c r="DH3" s="561"/>
      <c r="DI3" s="561"/>
      <c r="DJ3" s="561"/>
      <c r="DK3" s="561"/>
      <c r="DL3" s="561"/>
      <c r="DM3" s="561"/>
      <c r="DN3" s="561"/>
      <c r="DO3" s="561"/>
      <c r="DP3" s="561"/>
      <c r="DQ3" s="561"/>
      <c r="DR3" s="561"/>
      <c r="DS3" s="561"/>
      <c r="DT3" s="561"/>
      <c r="DU3" s="561"/>
      <c r="DV3" s="561"/>
      <c r="DW3" s="561"/>
      <c r="DX3" s="561"/>
      <c r="DY3" s="561"/>
      <c r="DZ3" s="561"/>
      <c r="EA3" s="561"/>
      <c r="EB3" s="561"/>
      <c r="EC3" s="561"/>
      <c r="ED3" s="561"/>
      <c r="EE3" s="561"/>
      <c r="EF3" s="561"/>
      <c r="EG3" s="561"/>
      <c r="EH3" s="561"/>
      <c r="EI3" s="561"/>
      <c r="EJ3" s="561"/>
      <c r="EK3" s="561"/>
      <c r="EL3" s="561"/>
    </row>
    <row r="4" spans="1:142">
      <c r="F4" s="2"/>
      <c r="G4" s="2"/>
      <c r="H4" s="2"/>
      <c r="I4" s="2"/>
      <c r="J4" s="2"/>
      <c r="K4" s="2"/>
      <c r="L4" s="2"/>
      <c r="M4" s="2"/>
      <c r="N4" s="2"/>
      <c r="O4" s="2"/>
      <c r="P4" s="2"/>
      <c r="Q4" s="2"/>
      <c r="S4" s="2"/>
      <c r="T4" s="2"/>
      <c r="U4" s="2"/>
      <c r="V4" s="2"/>
      <c r="W4" s="2"/>
      <c r="X4" s="2"/>
      <c r="Y4" s="2"/>
      <c r="Z4" s="2"/>
      <c r="AA4" s="2"/>
      <c r="AB4" s="2"/>
      <c r="AC4" s="2"/>
      <c r="AD4" s="2"/>
      <c r="AF4" s="561"/>
      <c r="AG4" s="561"/>
      <c r="AH4" s="561"/>
      <c r="AI4" s="561"/>
      <c r="AJ4" s="561"/>
      <c r="AK4" s="561"/>
      <c r="AL4" s="561"/>
      <c r="AM4" s="561"/>
      <c r="AN4" s="561"/>
      <c r="AO4" s="561"/>
      <c r="AP4" s="561"/>
      <c r="AQ4" s="561"/>
      <c r="AR4" s="561"/>
      <c r="AS4" s="561"/>
      <c r="AT4" s="561"/>
      <c r="AU4" s="561"/>
      <c r="AV4" s="561"/>
      <c r="AW4" s="561"/>
      <c r="AX4" s="561"/>
      <c r="AY4" s="561"/>
      <c r="AZ4" s="561"/>
      <c r="BA4" s="561"/>
      <c r="BB4" s="561"/>
      <c r="BC4" s="561"/>
      <c r="BD4" s="561"/>
      <c r="BE4" s="561"/>
      <c r="BF4" s="561"/>
      <c r="BG4" s="561"/>
      <c r="BH4" s="561"/>
      <c r="BI4" s="561"/>
      <c r="BJ4" s="561"/>
      <c r="BK4" s="561"/>
      <c r="BL4" s="561"/>
      <c r="BM4" s="561"/>
      <c r="BN4" s="561"/>
      <c r="BO4" s="561"/>
      <c r="BP4" s="561"/>
      <c r="BQ4" s="561"/>
      <c r="BR4" s="561"/>
      <c r="BS4" s="561"/>
      <c r="BT4" s="561"/>
      <c r="BU4" s="561"/>
      <c r="BV4" s="561"/>
      <c r="BW4" s="561"/>
      <c r="BX4" s="561"/>
      <c r="BY4" s="561"/>
      <c r="BZ4" s="561"/>
      <c r="CA4" s="561"/>
      <c r="CB4" s="561"/>
      <c r="CC4" s="561"/>
      <c r="CD4" s="561"/>
      <c r="CE4" s="561"/>
      <c r="CF4" s="561"/>
      <c r="CG4" s="561"/>
      <c r="CH4" s="561"/>
      <c r="CI4" s="561"/>
      <c r="CJ4" s="561"/>
      <c r="CK4" s="561"/>
      <c r="CL4" s="561"/>
      <c r="CM4" s="561"/>
      <c r="CN4" s="561"/>
      <c r="CO4" s="561"/>
      <c r="CP4" s="561"/>
      <c r="CQ4" s="561"/>
      <c r="CR4" s="561"/>
      <c r="CS4" s="561"/>
      <c r="CT4" s="561"/>
      <c r="CU4" s="561"/>
      <c r="CV4" s="561"/>
      <c r="CW4" s="561"/>
      <c r="CX4" s="561"/>
      <c r="CY4" s="561"/>
      <c r="CZ4" s="561"/>
      <c r="DA4" s="561"/>
      <c r="DB4" s="561"/>
      <c r="DC4" s="561"/>
      <c r="DD4" s="561"/>
      <c r="DE4" s="561"/>
      <c r="DF4" s="561"/>
      <c r="DG4" s="561"/>
      <c r="DH4" s="561"/>
      <c r="DI4" s="561"/>
      <c r="DJ4" s="561"/>
      <c r="DK4" s="561"/>
      <c r="DL4" s="561"/>
      <c r="DM4" s="561"/>
      <c r="DN4" s="561"/>
      <c r="DO4" s="561"/>
      <c r="DP4" s="561"/>
      <c r="DQ4" s="561"/>
      <c r="DR4" s="561"/>
      <c r="DS4" s="561"/>
      <c r="DT4" s="561"/>
      <c r="DU4" s="561"/>
      <c r="DV4" s="561"/>
      <c r="DW4" s="561"/>
      <c r="DX4" s="561"/>
      <c r="DY4" s="561"/>
      <c r="DZ4" s="561"/>
      <c r="EA4" s="561"/>
      <c r="EB4" s="561"/>
      <c r="EC4" s="561"/>
      <c r="ED4" s="561"/>
      <c r="EE4" s="561"/>
      <c r="EF4" s="561"/>
      <c r="EG4" s="561"/>
      <c r="EH4" s="561"/>
      <c r="EI4" s="561"/>
      <c r="EJ4" s="561"/>
      <c r="EK4" s="561"/>
      <c r="EL4" s="561"/>
    </row>
    <row r="5" spans="1:142" ht="16.2">
      <c r="A5" s="6" t="s">
        <v>697</v>
      </c>
      <c r="F5" s="660" t="s">
        <v>696</v>
      </c>
      <c r="G5" s="2"/>
      <c r="H5" s="2"/>
      <c r="I5" s="2"/>
      <c r="J5" s="2"/>
      <c r="K5" s="2"/>
      <c r="L5" s="2"/>
      <c r="M5" s="2"/>
      <c r="N5" s="2"/>
      <c r="O5" s="2"/>
      <c r="P5" s="2"/>
      <c r="Q5" s="2"/>
      <c r="S5" s="660" t="s">
        <v>786</v>
      </c>
      <c r="T5" s="2"/>
      <c r="U5" s="2"/>
      <c r="V5" s="2"/>
      <c r="W5" s="2"/>
      <c r="X5" s="2"/>
      <c r="Y5" s="2"/>
      <c r="Z5" s="2"/>
      <c r="AA5" s="2"/>
      <c r="AB5" s="2"/>
      <c r="AC5" s="2"/>
      <c r="AD5" s="2"/>
      <c r="AF5" s="561"/>
      <c r="AG5" s="561"/>
      <c r="AH5" s="561"/>
      <c r="AI5" s="561"/>
      <c r="AJ5" s="561"/>
      <c r="AK5" s="561"/>
      <c r="AL5" s="561"/>
      <c r="AM5" s="561"/>
      <c r="AN5" s="561"/>
      <c r="AO5" s="561"/>
      <c r="AP5" s="561"/>
      <c r="AQ5" s="561"/>
      <c r="AR5" s="561"/>
      <c r="AS5" s="561"/>
      <c r="AT5" s="561"/>
      <c r="AU5" s="561"/>
      <c r="AV5" s="561"/>
      <c r="AW5" s="561"/>
      <c r="AX5" s="561"/>
      <c r="AY5" s="561"/>
      <c r="AZ5" s="561"/>
      <c r="BA5" s="561"/>
      <c r="BB5" s="561"/>
      <c r="BC5" s="561"/>
      <c r="BD5" s="561"/>
      <c r="BE5" s="561"/>
      <c r="BF5" s="561"/>
      <c r="BG5" s="561"/>
      <c r="BH5" s="561"/>
      <c r="BI5" s="561"/>
      <c r="BJ5" s="561"/>
      <c r="BK5" s="561"/>
      <c r="BL5" s="561"/>
      <c r="BM5" s="561"/>
      <c r="BN5" s="561"/>
      <c r="BO5" s="561"/>
      <c r="BP5" s="561"/>
      <c r="BQ5" s="561"/>
      <c r="BR5" s="561"/>
      <c r="BS5" s="561"/>
      <c r="BT5" s="561"/>
      <c r="BU5" s="561"/>
      <c r="BV5" s="561"/>
      <c r="BW5" s="561"/>
      <c r="BX5" s="561"/>
      <c r="BY5" s="561"/>
      <c r="BZ5" s="561"/>
      <c r="CA5" s="561"/>
      <c r="CB5" s="561"/>
      <c r="CC5" s="561"/>
      <c r="CD5" s="561"/>
      <c r="CE5" s="561"/>
      <c r="CF5" s="561"/>
      <c r="CG5" s="561"/>
      <c r="CH5" s="561"/>
      <c r="CI5" s="561"/>
      <c r="CJ5" s="561"/>
      <c r="CK5" s="561"/>
      <c r="CL5" s="561"/>
      <c r="CM5" s="561"/>
      <c r="CN5" s="561"/>
      <c r="CO5" s="561"/>
      <c r="CP5" s="561"/>
      <c r="CQ5" s="561"/>
      <c r="CR5" s="561"/>
      <c r="CS5" s="561"/>
      <c r="CT5" s="561"/>
      <c r="CU5" s="561"/>
      <c r="CV5" s="561"/>
      <c r="CW5" s="561"/>
      <c r="CX5" s="561"/>
      <c r="CY5" s="561"/>
      <c r="CZ5" s="561"/>
      <c r="DA5" s="561"/>
      <c r="DB5" s="561"/>
      <c r="DC5" s="561"/>
      <c r="DD5" s="561"/>
      <c r="DE5" s="561"/>
      <c r="DF5" s="561"/>
      <c r="DG5" s="561"/>
      <c r="DH5" s="561"/>
      <c r="DI5" s="561"/>
      <c r="DJ5" s="561"/>
      <c r="DK5" s="561"/>
      <c r="DL5" s="561"/>
      <c r="DM5" s="561"/>
      <c r="DN5" s="561"/>
      <c r="DO5" s="561"/>
      <c r="DP5" s="561"/>
      <c r="DQ5" s="561"/>
      <c r="DR5" s="561"/>
      <c r="DS5" s="561"/>
      <c r="DT5" s="561"/>
      <c r="DU5" s="561"/>
      <c r="DV5" s="561"/>
      <c r="DW5" s="561"/>
      <c r="DX5" s="561"/>
      <c r="DY5" s="561"/>
      <c r="DZ5" s="561"/>
      <c r="EA5" s="561"/>
      <c r="EB5" s="561"/>
      <c r="EC5" s="561"/>
      <c r="ED5" s="561"/>
      <c r="EE5" s="561"/>
      <c r="EF5" s="561"/>
      <c r="EG5" s="561"/>
      <c r="EH5" s="561"/>
      <c r="EI5" s="561"/>
      <c r="EJ5" s="561"/>
      <c r="EK5" s="561"/>
      <c r="EL5" s="561"/>
    </row>
    <row r="6" spans="1:142">
      <c r="A6" s="594"/>
      <c r="F6" s="2"/>
      <c r="G6" s="2"/>
      <c r="H6" s="2"/>
      <c r="I6" s="2"/>
      <c r="J6" s="2"/>
      <c r="K6" s="2"/>
      <c r="L6" s="2"/>
      <c r="M6" s="2"/>
      <c r="N6" s="2"/>
      <c r="O6" s="2"/>
      <c r="P6" s="2"/>
      <c r="Q6" s="2"/>
      <c r="S6" s="2"/>
      <c r="T6" s="2"/>
      <c r="U6" s="2"/>
      <c r="V6" s="2"/>
      <c r="W6" s="2"/>
      <c r="X6" s="2"/>
      <c r="Y6" s="2"/>
      <c r="Z6" s="2"/>
      <c r="AA6" s="2"/>
      <c r="AB6" s="2"/>
      <c r="AC6" s="2"/>
      <c r="AD6" s="2"/>
      <c r="AF6" s="561"/>
      <c r="AG6" s="561"/>
      <c r="AH6" s="561"/>
      <c r="AI6" s="561"/>
      <c r="AJ6" s="561"/>
      <c r="AK6" s="561"/>
      <c r="AL6" s="561"/>
      <c r="AM6" s="561"/>
      <c r="AN6" s="561"/>
      <c r="AO6" s="561"/>
      <c r="AP6" s="561"/>
      <c r="AQ6" s="561"/>
      <c r="AR6" s="561"/>
      <c r="AS6" s="561"/>
      <c r="AT6" s="561"/>
      <c r="AU6" s="561"/>
      <c r="AV6" s="561"/>
      <c r="AW6" s="561"/>
      <c r="AX6" s="561"/>
      <c r="AY6" s="561"/>
      <c r="AZ6" s="561"/>
      <c r="BA6" s="561"/>
      <c r="BB6" s="561"/>
      <c r="BC6" s="561"/>
      <c r="BD6" s="561"/>
      <c r="BE6" s="561"/>
      <c r="BF6" s="561"/>
      <c r="BG6" s="561"/>
      <c r="BH6" s="561"/>
      <c r="BI6" s="561"/>
      <c r="BJ6" s="561"/>
      <c r="BK6" s="561"/>
      <c r="BL6" s="561"/>
      <c r="BM6" s="561"/>
      <c r="BN6" s="561"/>
      <c r="BO6" s="561"/>
      <c r="BP6" s="561"/>
      <c r="BQ6" s="561"/>
      <c r="BR6" s="561"/>
      <c r="BS6" s="561"/>
      <c r="BT6" s="561"/>
      <c r="BU6" s="561"/>
      <c r="BV6" s="561"/>
      <c r="BW6" s="561"/>
      <c r="BX6" s="561"/>
      <c r="BY6" s="561"/>
      <c r="BZ6" s="561"/>
      <c r="CA6" s="561"/>
      <c r="CB6" s="561"/>
      <c r="CC6" s="561"/>
      <c r="CD6" s="561"/>
      <c r="CE6" s="561"/>
      <c r="CF6" s="561"/>
      <c r="CG6" s="561"/>
      <c r="CH6" s="561"/>
      <c r="CI6" s="561"/>
      <c r="CJ6" s="561"/>
      <c r="CK6" s="561"/>
      <c r="CL6" s="561"/>
      <c r="CM6" s="561"/>
      <c r="CN6" s="561"/>
      <c r="CO6" s="561"/>
      <c r="CP6" s="561"/>
      <c r="CQ6" s="561"/>
      <c r="CR6" s="561"/>
      <c r="CS6" s="561"/>
      <c r="CT6" s="561"/>
      <c r="CU6" s="561"/>
      <c r="CV6" s="561"/>
      <c r="CW6" s="561"/>
      <c r="CX6" s="561"/>
      <c r="CY6" s="561"/>
      <c r="CZ6" s="561"/>
      <c r="DA6" s="561"/>
      <c r="DB6" s="561"/>
      <c r="DC6" s="561"/>
      <c r="DD6" s="561"/>
      <c r="DE6" s="561"/>
      <c r="DF6" s="561"/>
      <c r="DG6" s="561"/>
      <c r="DH6" s="561"/>
      <c r="DI6" s="561"/>
      <c r="DJ6" s="561"/>
      <c r="DK6" s="561"/>
      <c r="DL6" s="561"/>
      <c r="DM6" s="561"/>
      <c r="DN6" s="561"/>
      <c r="DO6" s="561"/>
      <c r="DP6" s="561"/>
      <c r="DQ6" s="561"/>
      <c r="DR6" s="561"/>
      <c r="DS6" s="561"/>
      <c r="DT6" s="561"/>
      <c r="DU6" s="561"/>
      <c r="DV6" s="561"/>
      <c r="DW6" s="561"/>
      <c r="DX6" s="561"/>
      <c r="DY6" s="561"/>
      <c r="DZ6" s="561"/>
      <c r="EA6" s="561"/>
      <c r="EB6" s="561"/>
      <c r="EC6" s="561"/>
      <c r="ED6" s="561"/>
      <c r="EE6" s="561"/>
      <c r="EF6" s="561"/>
      <c r="EG6" s="561"/>
      <c r="EH6" s="561"/>
      <c r="EI6" s="561"/>
      <c r="EJ6" s="561"/>
      <c r="EK6" s="561"/>
      <c r="EL6" s="561"/>
    </row>
    <row r="7" spans="1:142">
      <c r="A7" s="2" t="s">
        <v>1516</v>
      </c>
      <c r="F7" s="2" t="s">
        <v>246</v>
      </c>
      <c r="G7" s="1462" t="s">
        <v>1515</v>
      </c>
      <c r="H7" s="1462"/>
      <c r="I7" s="1462"/>
      <c r="J7" s="1462"/>
      <c r="K7" s="1462"/>
      <c r="L7" s="1462"/>
      <c r="M7" s="1462"/>
      <c r="N7" s="1462"/>
      <c r="O7" s="1462"/>
      <c r="P7" s="1462"/>
      <c r="Q7" s="1462"/>
      <c r="S7" s="2" t="s">
        <v>6</v>
      </c>
      <c r="T7" s="1462" t="s">
        <v>1514</v>
      </c>
      <c r="U7" s="1462"/>
      <c r="V7" s="1462"/>
      <c r="W7" s="1462"/>
      <c r="X7" s="1462"/>
      <c r="Y7" s="1462"/>
      <c r="Z7" s="1462"/>
      <c r="AA7" s="1462"/>
      <c r="AB7" s="1462"/>
      <c r="AC7" s="1462"/>
      <c r="AD7" s="1462"/>
      <c r="AF7" s="561"/>
      <c r="AG7" s="561"/>
      <c r="AH7" s="561"/>
      <c r="AI7" s="561"/>
      <c r="AJ7" s="561"/>
      <c r="AK7" s="561"/>
      <c r="AL7" s="561"/>
      <c r="AM7" s="561"/>
      <c r="AN7" s="561"/>
      <c r="AO7" s="561"/>
      <c r="AP7" s="561"/>
      <c r="AQ7" s="561"/>
      <c r="AR7" s="561"/>
      <c r="AS7" s="561"/>
      <c r="AT7" s="561"/>
      <c r="AU7" s="561"/>
      <c r="AV7" s="561"/>
      <c r="AW7" s="561"/>
      <c r="AX7" s="561"/>
      <c r="AY7" s="561"/>
      <c r="AZ7" s="561"/>
      <c r="BA7" s="561"/>
      <c r="BB7" s="561"/>
      <c r="BC7" s="561"/>
      <c r="BD7" s="561"/>
      <c r="BE7" s="561"/>
      <c r="BF7" s="561"/>
      <c r="BG7" s="561"/>
      <c r="BH7" s="561"/>
      <c r="BI7" s="561"/>
      <c r="BJ7" s="561"/>
      <c r="BK7" s="561"/>
      <c r="BL7" s="561"/>
      <c r="BM7" s="561"/>
      <c r="BN7" s="561"/>
      <c r="BO7" s="561"/>
      <c r="BP7" s="561"/>
      <c r="BQ7" s="561"/>
      <c r="BR7" s="561"/>
      <c r="BS7" s="561"/>
      <c r="BT7" s="561"/>
      <c r="BU7" s="561"/>
      <c r="BV7" s="561"/>
      <c r="BW7" s="561"/>
      <c r="BX7" s="561"/>
      <c r="BY7" s="561"/>
      <c r="BZ7" s="561"/>
      <c r="CA7" s="561"/>
      <c r="CB7" s="561"/>
      <c r="CC7" s="561"/>
      <c r="CD7" s="561"/>
      <c r="CE7" s="561"/>
      <c r="CF7" s="561"/>
      <c r="CG7" s="561"/>
      <c r="CH7" s="561"/>
      <c r="CI7" s="561"/>
      <c r="CJ7" s="561"/>
      <c r="CK7" s="561"/>
      <c r="CL7" s="561"/>
      <c r="CM7" s="561"/>
      <c r="CN7" s="561"/>
      <c r="CO7" s="561"/>
      <c r="CP7" s="561"/>
      <c r="CQ7" s="561"/>
      <c r="CR7" s="561"/>
      <c r="CS7" s="561"/>
      <c r="CT7" s="561"/>
      <c r="CU7" s="561"/>
      <c r="CV7" s="561"/>
      <c r="CW7" s="561"/>
      <c r="CX7" s="561"/>
      <c r="CY7" s="561"/>
      <c r="CZ7" s="561"/>
      <c r="DA7" s="561"/>
      <c r="DB7" s="561"/>
      <c r="DC7" s="561"/>
      <c r="DD7" s="561"/>
      <c r="DE7" s="561"/>
      <c r="DF7" s="561"/>
      <c r="DG7" s="561"/>
      <c r="DH7" s="561"/>
      <c r="DI7" s="561"/>
      <c r="DJ7" s="561"/>
      <c r="DK7" s="561"/>
      <c r="DL7" s="561"/>
      <c r="DM7" s="561"/>
      <c r="DN7" s="561"/>
      <c r="DO7" s="561"/>
      <c r="DP7" s="561"/>
      <c r="DQ7" s="561"/>
      <c r="DR7" s="561"/>
      <c r="DS7" s="561"/>
      <c r="DT7" s="561"/>
      <c r="DU7" s="561"/>
      <c r="DV7" s="561"/>
      <c r="DW7" s="561"/>
      <c r="DX7" s="561"/>
      <c r="DY7" s="561"/>
      <c r="DZ7" s="561"/>
      <c r="EA7" s="561"/>
      <c r="EB7" s="561"/>
      <c r="EC7" s="561"/>
      <c r="ED7" s="561"/>
      <c r="EE7" s="561"/>
      <c r="EF7" s="561"/>
      <c r="EG7" s="561"/>
      <c r="EH7" s="561"/>
      <c r="EI7" s="561"/>
      <c r="EJ7" s="561"/>
      <c r="EK7" s="561"/>
      <c r="EL7" s="561"/>
    </row>
    <row r="8" spans="1:142">
      <c r="F8" s="2"/>
      <c r="G8" s="581"/>
      <c r="H8" s="2"/>
      <c r="I8" s="2"/>
      <c r="J8" s="2"/>
      <c r="K8" s="2"/>
      <c r="L8" s="582"/>
      <c r="M8" s="9"/>
      <c r="N8" s="9"/>
      <c r="O8" s="9"/>
      <c r="P8" s="9"/>
      <c r="Q8" s="9"/>
      <c r="S8" s="2"/>
      <c r="T8" s="1462" t="s">
        <v>1513</v>
      </c>
      <c r="U8" s="1462"/>
      <c r="V8" s="1462"/>
      <c r="W8" s="1462"/>
      <c r="X8" s="1462"/>
      <c r="Y8" s="1462"/>
      <c r="Z8" s="1462"/>
      <c r="AA8" s="1462"/>
      <c r="AB8" s="1462"/>
      <c r="AC8" s="1462"/>
      <c r="AD8" s="1462"/>
      <c r="AF8" s="561"/>
      <c r="AG8" s="561"/>
      <c r="AH8" s="561"/>
      <c r="AI8" s="561"/>
      <c r="AJ8" s="561"/>
      <c r="AK8" s="561"/>
      <c r="AL8" s="561"/>
      <c r="AM8" s="561"/>
      <c r="AN8" s="561"/>
      <c r="AO8" s="561"/>
      <c r="AP8" s="561"/>
      <c r="AQ8" s="561"/>
      <c r="AR8" s="561"/>
      <c r="AS8" s="561"/>
      <c r="AT8" s="561"/>
      <c r="AU8" s="561"/>
      <c r="AV8" s="561"/>
      <c r="AW8" s="561"/>
      <c r="AX8" s="561"/>
      <c r="AY8" s="561"/>
      <c r="AZ8" s="561"/>
      <c r="BA8" s="561"/>
      <c r="BB8" s="561"/>
      <c r="BC8" s="561"/>
      <c r="BD8" s="561"/>
      <c r="BE8" s="561"/>
      <c r="BF8" s="561"/>
      <c r="BG8" s="561"/>
      <c r="BH8" s="561"/>
      <c r="BI8" s="561"/>
      <c r="BJ8" s="561"/>
      <c r="BK8" s="561"/>
      <c r="BL8" s="561"/>
      <c r="BM8" s="561"/>
      <c r="BN8" s="561"/>
      <c r="BO8" s="561"/>
      <c r="BP8" s="561"/>
      <c r="BQ8" s="561"/>
      <c r="BR8" s="561"/>
      <c r="BS8" s="561"/>
      <c r="BT8" s="561"/>
      <c r="BU8" s="561"/>
      <c r="BV8" s="561"/>
      <c r="BW8" s="561"/>
      <c r="BX8" s="561"/>
      <c r="BY8" s="561"/>
      <c r="BZ8" s="561"/>
      <c r="CA8" s="561"/>
      <c r="CB8" s="561"/>
      <c r="CC8" s="561"/>
      <c r="CD8" s="561"/>
      <c r="CE8" s="561"/>
      <c r="CF8" s="561"/>
      <c r="CG8" s="561"/>
      <c r="CH8" s="561"/>
      <c r="CI8" s="561"/>
      <c r="CJ8" s="561"/>
      <c r="CK8" s="561"/>
      <c r="CL8" s="561"/>
      <c r="CM8" s="561"/>
      <c r="CN8" s="561"/>
      <c r="CO8" s="561"/>
      <c r="CP8" s="561"/>
      <c r="CQ8" s="561"/>
      <c r="CR8" s="561"/>
      <c r="CS8" s="561"/>
      <c r="CT8" s="561"/>
      <c r="CU8" s="561"/>
      <c r="CV8" s="561"/>
      <c r="CW8" s="561"/>
      <c r="CX8" s="561"/>
      <c r="CY8" s="561"/>
      <c r="CZ8" s="561"/>
      <c r="DA8" s="561"/>
      <c r="DB8" s="561"/>
      <c r="DC8" s="561"/>
      <c r="DD8" s="561"/>
      <c r="DE8" s="561"/>
      <c r="DF8" s="561"/>
      <c r="DG8" s="561"/>
      <c r="DH8" s="561"/>
      <c r="DI8" s="561"/>
      <c r="DJ8" s="561"/>
      <c r="DK8" s="561"/>
      <c r="DL8" s="561"/>
      <c r="DM8" s="561"/>
      <c r="DN8" s="561"/>
      <c r="DO8" s="561"/>
      <c r="DP8" s="561"/>
      <c r="DQ8" s="561"/>
      <c r="DR8" s="561"/>
      <c r="DS8" s="561"/>
      <c r="DT8" s="561"/>
      <c r="DU8" s="561"/>
      <c r="DV8" s="561"/>
      <c r="DW8" s="561"/>
      <c r="DX8" s="561"/>
      <c r="DY8" s="561"/>
      <c r="DZ8" s="561"/>
      <c r="EA8" s="561"/>
      <c r="EB8" s="561"/>
      <c r="EC8" s="561"/>
      <c r="ED8" s="561"/>
      <c r="EE8" s="561"/>
      <c r="EF8" s="561"/>
      <c r="EG8" s="561"/>
      <c r="EH8" s="561"/>
      <c r="EI8" s="561"/>
      <c r="EJ8" s="561"/>
      <c r="EK8" s="561"/>
      <c r="EL8" s="561"/>
    </row>
    <row r="9" spans="1:142">
      <c r="A9" s="2" t="s">
        <v>1512</v>
      </c>
      <c r="B9" s="593"/>
      <c r="C9" s="593"/>
      <c r="F9" s="2"/>
      <c r="G9" s="581" t="s">
        <v>1511</v>
      </c>
      <c r="H9" s="2"/>
      <c r="I9" s="2"/>
      <c r="J9" s="2"/>
      <c r="K9" s="2"/>
      <c r="L9" s="582"/>
      <c r="M9" s="9"/>
      <c r="N9" s="9"/>
      <c r="O9" s="9"/>
      <c r="P9" s="9"/>
      <c r="Q9" s="9"/>
      <c r="S9" s="2"/>
      <c r="T9" s="581"/>
      <c r="U9" s="2"/>
      <c r="V9" s="2"/>
      <c r="W9" s="2"/>
      <c r="X9" s="2"/>
      <c r="Y9" s="582"/>
      <c r="Z9" s="9"/>
      <c r="AA9" s="9"/>
      <c r="AB9" s="9"/>
      <c r="AC9" s="9"/>
      <c r="AD9" s="9"/>
      <c r="AF9" s="561"/>
      <c r="AG9" s="561"/>
      <c r="AH9" s="561"/>
      <c r="AI9" s="561"/>
      <c r="AJ9" s="561"/>
      <c r="AK9" s="561"/>
      <c r="AL9" s="561"/>
      <c r="AM9" s="561"/>
      <c r="AN9" s="561"/>
      <c r="AO9" s="561"/>
      <c r="AP9" s="561"/>
      <c r="AQ9" s="561"/>
      <c r="AR9" s="561"/>
      <c r="AS9" s="561"/>
      <c r="AT9" s="561"/>
      <c r="AU9" s="561"/>
      <c r="AV9" s="561"/>
      <c r="AW9" s="561"/>
      <c r="AX9" s="561"/>
      <c r="AY9" s="561"/>
      <c r="AZ9" s="561"/>
      <c r="BA9" s="561"/>
      <c r="BB9" s="561"/>
      <c r="BC9" s="561"/>
      <c r="BD9" s="561"/>
      <c r="BE9" s="561"/>
      <c r="BF9" s="561"/>
      <c r="BG9" s="561"/>
      <c r="BH9" s="561"/>
      <c r="BI9" s="561"/>
      <c r="BJ9" s="561"/>
      <c r="BK9" s="561"/>
      <c r="BL9" s="561"/>
      <c r="BM9" s="561"/>
      <c r="BN9" s="561"/>
      <c r="BO9" s="561"/>
      <c r="BP9" s="561"/>
      <c r="BQ9" s="561"/>
      <c r="BR9" s="561"/>
      <c r="BS9" s="561"/>
      <c r="BT9" s="561"/>
      <c r="BU9" s="561"/>
      <c r="BV9" s="561"/>
      <c r="BW9" s="561"/>
      <c r="BX9" s="561"/>
      <c r="BY9" s="561"/>
      <c r="BZ9" s="561"/>
      <c r="CA9" s="561"/>
      <c r="CB9" s="561"/>
      <c r="CC9" s="561"/>
      <c r="CD9" s="561"/>
      <c r="CE9" s="561"/>
      <c r="CF9" s="561"/>
      <c r="CG9" s="561"/>
      <c r="CH9" s="561"/>
      <c r="CI9" s="561"/>
      <c r="CJ9" s="561"/>
      <c r="CK9" s="561"/>
      <c r="CL9" s="561"/>
      <c r="CM9" s="561"/>
      <c r="CN9" s="561"/>
      <c r="CO9" s="561"/>
      <c r="CP9" s="561"/>
      <c r="CQ9" s="561"/>
      <c r="CR9" s="561"/>
      <c r="CS9" s="561"/>
      <c r="CT9" s="561"/>
      <c r="CU9" s="561"/>
      <c r="CV9" s="561"/>
      <c r="CW9" s="561"/>
      <c r="CX9" s="561"/>
      <c r="CY9" s="561"/>
      <c r="CZ9" s="561"/>
      <c r="DA9" s="561"/>
      <c r="DB9" s="561"/>
      <c r="DC9" s="561"/>
      <c r="DD9" s="561"/>
      <c r="DE9" s="561"/>
      <c r="DF9" s="561"/>
      <c r="DG9" s="561"/>
      <c r="DH9" s="561"/>
      <c r="DI9" s="561"/>
      <c r="DJ9" s="561"/>
      <c r="DK9" s="561"/>
      <c r="DL9" s="561"/>
      <c r="DM9" s="561"/>
      <c r="DN9" s="561"/>
      <c r="DO9" s="561"/>
      <c r="DP9" s="561"/>
      <c r="DQ9" s="561"/>
      <c r="DR9" s="561"/>
      <c r="DS9" s="561"/>
      <c r="DT9" s="561"/>
      <c r="DU9" s="561"/>
      <c r="DV9" s="561"/>
      <c r="DW9" s="561"/>
      <c r="DX9" s="561"/>
      <c r="DY9" s="561"/>
      <c r="DZ9" s="561"/>
      <c r="EA9" s="561"/>
      <c r="EB9" s="561"/>
      <c r="EC9" s="561"/>
      <c r="ED9" s="561"/>
      <c r="EE9" s="561"/>
      <c r="EF9" s="561"/>
      <c r="EG9" s="561"/>
      <c r="EH9" s="561"/>
      <c r="EI9" s="561"/>
      <c r="EJ9" s="561"/>
      <c r="EK9" s="561"/>
      <c r="EL9" s="561"/>
    </row>
    <row r="10" spans="1:142">
      <c r="B10" s="591"/>
      <c r="C10" s="591"/>
      <c r="F10" s="2"/>
      <c r="G10" s="581"/>
      <c r="H10" s="2"/>
      <c r="I10" s="2"/>
      <c r="J10" s="2"/>
      <c r="K10" s="2"/>
      <c r="L10" s="584"/>
      <c r="M10" s="9"/>
      <c r="N10" s="9"/>
      <c r="O10" s="9"/>
      <c r="P10" s="9"/>
      <c r="Q10" s="9"/>
      <c r="S10" s="2"/>
      <c r="T10" s="28" t="s">
        <v>683</v>
      </c>
      <c r="U10" s="2"/>
      <c r="V10" s="2"/>
      <c r="W10" s="2"/>
      <c r="X10" s="2"/>
      <c r="Y10" s="584"/>
      <c r="Z10" s="9"/>
      <c r="AA10" s="9"/>
      <c r="AB10" s="9"/>
      <c r="AC10" s="9"/>
      <c r="AD10" s="9"/>
      <c r="AF10" s="561"/>
      <c r="AG10" s="561"/>
      <c r="AH10" s="561"/>
      <c r="AI10" s="561"/>
      <c r="AJ10" s="561"/>
      <c r="AK10" s="561"/>
      <c r="AL10" s="561"/>
      <c r="AM10" s="561"/>
      <c r="AN10" s="561"/>
      <c r="AO10" s="561"/>
      <c r="AP10" s="561"/>
      <c r="AQ10" s="561"/>
      <c r="AR10" s="561"/>
      <c r="AS10" s="561"/>
      <c r="AT10" s="561"/>
      <c r="AU10" s="561"/>
      <c r="AV10" s="561"/>
      <c r="AW10" s="561"/>
      <c r="AX10" s="561"/>
      <c r="AY10" s="561"/>
      <c r="AZ10" s="561"/>
      <c r="BA10" s="561"/>
      <c r="BB10" s="561"/>
      <c r="BC10" s="561"/>
      <c r="BD10" s="561"/>
      <c r="BE10" s="561"/>
      <c r="BF10" s="561"/>
      <c r="BG10" s="561"/>
      <c r="BH10" s="561"/>
      <c r="BI10" s="561"/>
      <c r="BJ10" s="561"/>
      <c r="BK10" s="561"/>
      <c r="BL10" s="561"/>
      <c r="BM10" s="561"/>
      <c r="BN10" s="561"/>
      <c r="BO10" s="561"/>
      <c r="BP10" s="561"/>
      <c r="BQ10" s="561"/>
      <c r="BR10" s="561"/>
      <c r="BS10" s="561"/>
      <c r="BT10" s="561"/>
      <c r="BU10" s="561"/>
      <c r="BV10" s="561"/>
      <c r="BW10" s="561"/>
      <c r="BX10" s="561"/>
      <c r="BY10" s="561"/>
      <c r="BZ10" s="561"/>
      <c r="CA10" s="561"/>
      <c r="CB10" s="561"/>
      <c r="CC10" s="561"/>
      <c r="CD10" s="561"/>
      <c r="CE10" s="561"/>
      <c r="CF10" s="561"/>
      <c r="CG10" s="561"/>
      <c r="CH10" s="561"/>
      <c r="CI10" s="561"/>
      <c r="CJ10" s="561"/>
      <c r="CK10" s="561"/>
      <c r="CL10" s="561"/>
      <c r="CM10" s="561"/>
      <c r="CN10" s="561"/>
      <c r="CO10" s="561"/>
      <c r="CP10" s="561"/>
      <c r="CQ10" s="561"/>
      <c r="CR10" s="561"/>
      <c r="CS10" s="561"/>
      <c r="CT10" s="561"/>
      <c r="CU10" s="561"/>
      <c r="CV10" s="561"/>
      <c r="CW10" s="561"/>
      <c r="CX10" s="561"/>
      <c r="CY10" s="561"/>
      <c r="CZ10" s="561"/>
      <c r="DA10" s="561"/>
      <c r="DB10" s="561"/>
      <c r="DC10" s="561"/>
      <c r="DD10" s="561"/>
      <c r="DE10" s="561"/>
      <c r="DF10" s="561"/>
      <c r="DG10" s="561"/>
      <c r="DH10" s="561"/>
      <c r="DI10" s="561"/>
      <c r="DJ10" s="561"/>
      <c r="DK10" s="561"/>
      <c r="DL10" s="561"/>
      <c r="DM10" s="561"/>
      <c r="DN10" s="561"/>
      <c r="DO10" s="561"/>
      <c r="DP10" s="561"/>
      <c r="DQ10" s="561"/>
      <c r="DR10" s="561"/>
      <c r="DS10" s="561"/>
      <c r="DT10" s="561"/>
      <c r="DU10" s="561"/>
      <c r="DV10" s="561"/>
      <c r="DW10" s="561"/>
      <c r="DX10" s="561"/>
      <c r="DY10" s="561"/>
      <c r="DZ10" s="561"/>
      <c r="EA10" s="561"/>
      <c r="EB10" s="561"/>
      <c r="EC10" s="561"/>
      <c r="ED10" s="561"/>
      <c r="EE10" s="561"/>
      <c r="EF10" s="561"/>
      <c r="EG10" s="561"/>
      <c r="EH10" s="561"/>
      <c r="EI10" s="561"/>
      <c r="EJ10" s="561"/>
      <c r="EK10" s="561"/>
      <c r="EL10" s="561"/>
    </row>
    <row r="11" spans="1:142">
      <c r="B11" s="590" t="s">
        <v>1510</v>
      </c>
      <c r="C11" s="708" t="s">
        <v>1509</v>
      </c>
      <c r="F11" s="2"/>
      <c r="G11" s="581" t="s">
        <v>1508</v>
      </c>
      <c r="H11" s="2"/>
      <c r="I11" s="2"/>
      <c r="J11" s="2"/>
      <c r="K11" s="2"/>
      <c r="L11" s="584"/>
      <c r="M11" s="9"/>
      <c r="N11" s="9"/>
      <c r="O11" s="9"/>
      <c r="P11" s="9"/>
      <c r="Q11" s="9"/>
      <c r="S11" s="2"/>
      <c r="T11" s="581"/>
      <c r="U11" s="2"/>
      <c r="V11" s="2"/>
      <c r="W11" s="2"/>
      <c r="X11" s="2"/>
      <c r="Y11" s="584"/>
      <c r="Z11" s="9"/>
      <c r="AA11" s="9"/>
      <c r="AB11" s="9"/>
      <c r="AC11" s="9"/>
      <c r="AD11" s="9"/>
      <c r="AF11" s="561"/>
      <c r="AG11" s="561"/>
      <c r="AH11" s="561"/>
      <c r="AI11" s="561"/>
      <c r="AJ11" s="561"/>
      <c r="AK11" s="561"/>
      <c r="AL11" s="561"/>
      <c r="AM11" s="561"/>
      <c r="AN11" s="561"/>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561"/>
      <c r="BK11" s="561"/>
      <c r="BL11" s="561"/>
      <c r="BM11" s="561"/>
      <c r="BN11" s="561"/>
      <c r="BO11" s="561"/>
      <c r="BP11" s="561"/>
      <c r="BQ11" s="561"/>
      <c r="BR11" s="561"/>
      <c r="BS11" s="561"/>
      <c r="BT11" s="561"/>
      <c r="BU11" s="561"/>
      <c r="BV11" s="561"/>
      <c r="BW11" s="561"/>
      <c r="BX11" s="561"/>
      <c r="BY11" s="561"/>
      <c r="BZ11" s="561"/>
      <c r="CA11" s="561"/>
      <c r="CB11" s="561"/>
      <c r="CC11" s="561"/>
      <c r="CD11" s="561"/>
      <c r="CE11" s="561"/>
      <c r="CF11" s="561"/>
      <c r="CG11" s="561"/>
      <c r="CH11" s="561"/>
      <c r="CI11" s="561"/>
      <c r="CJ11" s="561"/>
      <c r="CK11" s="561"/>
      <c r="CL11" s="561"/>
      <c r="CM11" s="561"/>
      <c r="CN11" s="561"/>
      <c r="CO11" s="561"/>
      <c r="CP11" s="561"/>
      <c r="CQ11" s="561"/>
      <c r="CR11" s="561"/>
      <c r="CS11" s="561"/>
      <c r="CT11" s="561"/>
      <c r="CU11" s="561"/>
      <c r="CV11" s="561"/>
      <c r="CW11" s="561"/>
      <c r="CX11" s="561"/>
      <c r="CY11" s="561"/>
      <c r="CZ11" s="561"/>
      <c r="DA11" s="561"/>
      <c r="DB11" s="561"/>
      <c r="DC11" s="561"/>
      <c r="DD11" s="561"/>
      <c r="DE11" s="561"/>
      <c r="DF11" s="561"/>
      <c r="DG11" s="561"/>
      <c r="DH11" s="561"/>
      <c r="DI11" s="561"/>
      <c r="DJ11" s="561"/>
      <c r="DK11" s="561"/>
      <c r="DL11" s="561"/>
      <c r="DM11" s="561"/>
      <c r="DN11" s="561"/>
      <c r="DO11" s="561"/>
      <c r="DP11" s="561"/>
      <c r="DQ11" s="561"/>
      <c r="DR11" s="561"/>
      <c r="DS11" s="561"/>
      <c r="DT11" s="561"/>
      <c r="DU11" s="561"/>
      <c r="DV11" s="561"/>
      <c r="DW11" s="561"/>
      <c r="DX11" s="561"/>
      <c r="DY11" s="561"/>
      <c r="DZ11" s="561"/>
      <c r="EA11" s="561"/>
      <c r="EB11" s="561"/>
      <c r="EC11" s="561"/>
      <c r="ED11" s="561"/>
      <c r="EE11" s="561"/>
      <c r="EF11" s="561"/>
      <c r="EG11" s="561"/>
      <c r="EH11" s="561"/>
      <c r="EI11" s="561"/>
      <c r="EJ11" s="561"/>
      <c r="EK11" s="561"/>
      <c r="EL11" s="561"/>
    </row>
    <row r="12" spans="1:142">
      <c r="B12" s="590" t="s">
        <v>1507</v>
      </c>
      <c r="C12" s="694">
        <v>1110000</v>
      </c>
      <c r="F12" s="2"/>
      <c r="G12" s="5"/>
      <c r="H12" s="5"/>
      <c r="I12" s="5"/>
      <c r="J12" s="5"/>
      <c r="K12" s="5"/>
      <c r="L12" s="5"/>
      <c r="M12" s="5"/>
      <c r="N12" s="5"/>
      <c r="O12" s="5"/>
      <c r="P12" s="5"/>
      <c r="Q12" s="5"/>
      <c r="S12" s="2"/>
      <c r="T12" s="5"/>
      <c r="U12" s="5"/>
      <c r="V12" s="5"/>
      <c r="W12" s="5"/>
      <c r="X12" s="5"/>
      <c r="Y12" s="5"/>
      <c r="Z12" s="5"/>
      <c r="AA12" s="5"/>
      <c r="AB12" s="5"/>
      <c r="AC12" s="5"/>
      <c r="AD12" s="5"/>
      <c r="AF12" s="561"/>
      <c r="AG12" s="561"/>
      <c r="AH12" s="561"/>
      <c r="AI12" s="561"/>
      <c r="AJ12" s="561"/>
      <c r="AK12" s="561"/>
      <c r="AL12" s="561"/>
      <c r="AM12" s="561"/>
      <c r="AN12" s="561"/>
      <c r="AO12" s="561"/>
      <c r="AP12" s="561"/>
      <c r="AQ12" s="561"/>
      <c r="AR12" s="561"/>
      <c r="AS12" s="561"/>
      <c r="AT12" s="561"/>
      <c r="AU12" s="561"/>
      <c r="AV12" s="561"/>
      <c r="AW12" s="561"/>
      <c r="AX12" s="561"/>
      <c r="AY12" s="561"/>
      <c r="AZ12" s="561"/>
      <c r="BA12" s="561"/>
      <c r="BB12" s="561"/>
      <c r="BC12" s="561"/>
      <c r="BD12" s="561"/>
      <c r="BE12" s="561"/>
      <c r="BF12" s="561"/>
      <c r="BG12" s="561"/>
      <c r="BH12" s="561"/>
      <c r="BI12" s="561"/>
      <c r="BJ12" s="561"/>
      <c r="BK12" s="561"/>
      <c r="BL12" s="561"/>
      <c r="BM12" s="561"/>
      <c r="BN12" s="561"/>
      <c r="BO12" s="561"/>
      <c r="BP12" s="561"/>
      <c r="BQ12" s="561"/>
      <c r="BR12" s="561"/>
      <c r="BS12" s="561"/>
      <c r="BT12" s="561"/>
      <c r="BU12" s="561"/>
      <c r="BV12" s="561"/>
      <c r="BW12" s="561"/>
      <c r="BX12" s="561"/>
      <c r="BY12" s="561"/>
      <c r="BZ12" s="561"/>
      <c r="CA12" s="561"/>
      <c r="CB12" s="561"/>
      <c r="CC12" s="561"/>
      <c r="CD12" s="561"/>
      <c r="CE12" s="561"/>
      <c r="CF12" s="561"/>
      <c r="CG12" s="561"/>
      <c r="CH12" s="561"/>
      <c r="CI12" s="561"/>
      <c r="CJ12" s="561"/>
      <c r="CK12" s="561"/>
      <c r="CL12" s="561"/>
      <c r="CM12" s="561"/>
      <c r="CN12" s="561"/>
      <c r="CO12" s="561"/>
      <c r="CP12" s="561"/>
      <c r="CQ12" s="561"/>
      <c r="CR12" s="561"/>
      <c r="CS12" s="561"/>
      <c r="CT12" s="561"/>
      <c r="CU12" s="561"/>
      <c r="CV12" s="561"/>
      <c r="CW12" s="561"/>
      <c r="CX12" s="561"/>
      <c r="CY12" s="561"/>
      <c r="CZ12" s="561"/>
      <c r="DA12" s="561"/>
      <c r="DB12" s="561"/>
      <c r="DC12" s="561"/>
      <c r="DD12" s="561"/>
      <c r="DE12" s="561"/>
      <c r="DF12" s="561"/>
      <c r="DG12" s="561"/>
      <c r="DH12" s="561"/>
      <c r="DI12" s="561"/>
      <c r="DJ12" s="561"/>
      <c r="DK12" s="561"/>
      <c r="DL12" s="561"/>
      <c r="DM12" s="561"/>
      <c r="DN12" s="561"/>
      <c r="DO12" s="561"/>
      <c r="DP12" s="561"/>
      <c r="DQ12" s="561"/>
      <c r="DR12" s="561"/>
      <c r="DS12" s="561"/>
      <c r="DT12" s="561"/>
      <c r="DU12" s="561"/>
      <c r="DV12" s="561"/>
      <c r="DW12" s="561"/>
      <c r="DX12" s="561"/>
      <c r="DY12" s="561"/>
      <c r="DZ12" s="561"/>
      <c r="EA12" s="561"/>
      <c r="EB12" s="561"/>
      <c r="EC12" s="561"/>
      <c r="ED12" s="561"/>
      <c r="EE12" s="561"/>
      <c r="EF12" s="561"/>
      <c r="EG12" s="561"/>
      <c r="EH12" s="561"/>
      <c r="EI12" s="561"/>
      <c r="EJ12" s="561"/>
      <c r="EK12" s="561"/>
      <c r="EL12" s="561"/>
    </row>
    <row r="13" spans="1:142">
      <c r="B13" s="590" t="s">
        <v>1506</v>
      </c>
      <c r="C13" s="693">
        <v>1000000</v>
      </c>
      <c r="F13" s="2"/>
      <c r="G13" s="28" t="s">
        <v>683</v>
      </c>
      <c r="H13" s="5"/>
      <c r="I13" s="5"/>
      <c r="J13" s="5"/>
      <c r="K13" s="5"/>
      <c r="L13" s="5"/>
      <c r="M13" s="5"/>
      <c r="N13" s="5"/>
      <c r="O13" s="5"/>
      <c r="P13" s="5"/>
      <c r="Q13" s="5"/>
      <c r="S13" s="2"/>
      <c r="T13" s="28"/>
      <c r="U13" s="5"/>
      <c r="V13" s="5"/>
      <c r="W13" s="5"/>
      <c r="X13" s="5"/>
      <c r="Y13" s="5"/>
      <c r="Z13" s="5"/>
      <c r="AA13" s="5"/>
      <c r="AB13" s="5"/>
      <c r="AC13" s="5"/>
      <c r="AD13" s="5"/>
      <c r="AF13" s="561"/>
      <c r="AG13" s="561"/>
      <c r="AH13" s="561"/>
      <c r="AI13" s="561"/>
      <c r="AJ13" s="561"/>
      <c r="AK13" s="561"/>
      <c r="AL13" s="561"/>
      <c r="AM13" s="561"/>
      <c r="AN13" s="561"/>
      <c r="AO13" s="561"/>
      <c r="AP13" s="561"/>
      <c r="AQ13" s="561"/>
      <c r="AR13" s="561"/>
      <c r="AS13" s="561"/>
      <c r="AT13" s="561"/>
      <c r="AU13" s="561"/>
      <c r="AV13" s="561"/>
      <c r="AW13" s="561"/>
      <c r="AX13" s="561"/>
      <c r="AY13" s="561"/>
      <c r="AZ13" s="561"/>
      <c r="BA13" s="561"/>
      <c r="BB13" s="561"/>
      <c r="BC13" s="561"/>
      <c r="BD13" s="561"/>
      <c r="BE13" s="561"/>
      <c r="BF13" s="561"/>
      <c r="BG13" s="561"/>
      <c r="BH13" s="561"/>
      <c r="BI13" s="561"/>
      <c r="BJ13" s="561"/>
      <c r="BK13" s="561"/>
      <c r="BL13" s="561"/>
      <c r="BM13" s="561"/>
      <c r="BN13" s="561"/>
      <c r="BO13" s="561"/>
      <c r="BP13" s="561"/>
      <c r="BQ13" s="561"/>
      <c r="BR13" s="561"/>
      <c r="BS13" s="561"/>
      <c r="BT13" s="561"/>
      <c r="BU13" s="561"/>
      <c r="BV13" s="561"/>
      <c r="BW13" s="561"/>
      <c r="BX13" s="561"/>
      <c r="BY13" s="561"/>
      <c r="BZ13" s="561"/>
      <c r="CA13" s="561"/>
      <c r="CB13" s="561"/>
      <c r="CC13" s="561"/>
      <c r="CD13" s="561"/>
      <c r="CE13" s="561"/>
      <c r="CF13" s="561"/>
      <c r="CG13" s="561"/>
      <c r="CH13" s="561"/>
      <c r="CI13" s="561"/>
      <c r="CJ13" s="561"/>
      <c r="CK13" s="561"/>
      <c r="CL13" s="561"/>
      <c r="CM13" s="561"/>
      <c r="CN13" s="561"/>
      <c r="CO13" s="561"/>
      <c r="CP13" s="561"/>
      <c r="CQ13" s="561"/>
      <c r="CR13" s="561"/>
      <c r="CS13" s="561"/>
      <c r="CT13" s="561"/>
      <c r="CU13" s="561"/>
      <c r="CV13" s="561"/>
      <c r="CW13" s="561"/>
      <c r="CX13" s="561"/>
      <c r="CY13" s="561"/>
      <c r="CZ13" s="561"/>
      <c r="DA13" s="561"/>
      <c r="DB13" s="561"/>
      <c r="DC13" s="561"/>
      <c r="DD13" s="561"/>
      <c r="DE13" s="561"/>
      <c r="DF13" s="561"/>
      <c r="DG13" s="561"/>
      <c r="DH13" s="561"/>
      <c r="DI13" s="561"/>
      <c r="DJ13" s="561"/>
      <c r="DK13" s="561"/>
      <c r="DL13" s="561"/>
      <c r="DM13" s="561"/>
      <c r="DN13" s="561"/>
      <c r="DO13" s="561"/>
      <c r="DP13" s="561"/>
      <c r="DQ13" s="561"/>
      <c r="DR13" s="561"/>
      <c r="DS13" s="561"/>
      <c r="DT13" s="561"/>
      <c r="DU13" s="561"/>
      <c r="DV13" s="561"/>
      <c r="DW13" s="561"/>
      <c r="DX13" s="561"/>
      <c r="DY13" s="561"/>
      <c r="DZ13" s="561"/>
      <c r="EA13" s="561"/>
      <c r="EB13" s="561"/>
      <c r="EC13" s="561"/>
      <c r="ED13" s="561"/>
      <c r="EE13" s="561"/>
      <c r="EF13" s="561"/>
      <c r="EG13" s="561"/>
      <c r="EH13" s="561"/>
      <c r="EI13" s="561"/>
      <c r="EJ13" s="561"/>
      <c r="EK13" s="561"/>
      <c r="EL13" s="561"/>
    </row>
    <row r="14" spans="1:142">
      <c r="B14" s="590" t="s">
        <v>1505</v>
      </c>
      <c r="C14" s="694">
        <v>910000</v>
      </c>
      <c r="F14" s="2"/>
      <c r="G14" s="581"/>
      <c r="H14" s="2"/>
      <c r="I14" s="2"/>
      <c r="J14" s="2"/>
      <c r="K14" s="2"/>
      <c r="L14" s="584"/>
      <c r="M14" s="9"/>
      <c r="N14" s="9"/>
      <c r="O14" s="9"/>
      <c r="P14" s="9"/>
      <c r="Q14" s="9"/>
      <c r="S14" s="2"/>
      <c r="T14" s="581"/>
      <c r="U14" s="2"/>
      <c r="V14" s="2"/>
      <c r="W14" s="2"/>
      <c r="X14" s="2"/>
      <c r="Y14" s="584"/>
      <c r="Z14" s="9"/>
      <c r="AA14" s="9"/>
      <c r="AB14" s="9"/>
      <c r="AC14" s="9"/>
      <c r="AD14" s="9"/>
      <c r="AF14" s="561"/>
      <c r="AG14" s="561"/>
      <c r="AH14" s="561"/>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1"/>
      <c r="BW14" s="561"/>
      <c r="BX14" s="561"/>
      <c r="BY14" s="561"/>
      <c r="BZ14" s="561"/>
      <c r="CA14" s="561"/>
      <c r="CB14" s="561"/>
      <c r="CC14" s="561"/>
      <c r="CD14" s="561"/>
      <c r="CE14" s="561"/>
      <c r="CF14" s="561"/>
      <c r="CG14" s="561"/>
      <c r="CH14" s="561"/>
      <c r="CI14" s="561"/>
      <c r="CJ14" s="561"/>
      <c r="CK14" s="561"/>
      <c r="CL14" s="561"/>
      <c r="CM14" s="561"/>
      <c r="CN14" s="561"/>
      <c r="CO14" s="561"/>
      <c r="CP14" s="561"/>
      <c r="CQ14" s="561"/>
      <c r="CR14" s="561"/>
      <c r="CS14" s="561"/>
      <c r="CT14" s="561"/>
      <c r="CU14" s="561"/>
      <c r="CV14" s="561"/>
      <c r="CW14" s="561"/>
      <c r="CX14" s="561"/>
      <c r="CY14" s="561"/>
      <c r="CZ14" s="561"/>
      <c r="DA14" s="561"/>
      <c r="DB14" s="561"/>
      <c r="DC14" s="561"/>
      <c r="DD14" s="561"/>
      <c r="DE14" s="561"/>
      <c r="DF14" s="561"/>
      <c r="DG14" s="561"/>
      <c r="DH14" s="561"/>
      <c r="DI14" s="561"/>
      <c r="DJ14" s="561"/>
      <c r="DK14" s="561"/>
      <c r="DL14" s="561"/>
      <c r="DM14" s="561"/>
      <c r="DN14" s="561"/>
      <c r="DO14" s="561"/>
      <c r="DP14" s="561"/>
      <c r="DQ14" s="561"/>
      <c r="DR14" s="561"/>
      <c r="DS14" s="561"/>
      <c r="DT14" s="561"/>
      <c r="DU14" s="561"/>
      <c r="DV14" s="561"/>
      <c r="DW14" s="561"/>
      <c r="DX14" s="561"/>
      <c r="DY14" s="561"/>
      <c r="DZ14" s="561"/>
      <c r="EA14" s="561"/>
      <c r="EB14" s="561"/>
      <c r="EC14" s="561"/>
      <c r="ED14" s="561"/>
      <c r="EE14" s="561"/>
      <c r="EF14" s="561"/>
      <c r="EG14" s="561"/>
      <c r="EH14" s="561"/>
      <c r="EI14" s="561"/>
      <c r="EJ14" s="561"/>
      <c r="EK14" s="561"/>
      <c r="EL14" s="561"/>
    </row>
    <row r="15" spans="1:142">
      <c r="F15" s="696"/>
      <c r="G15" s="696"/>
      <c r="H15" s="696"/>
      <c r="I15" s="696"/>
      <c r="J15" s="696"/>
      <c r="K15" s="696"/>
      <c r="L15" s="696"/>
      <c r="M15" s="696"/>
      <c r="N15" s="696"/>
      <c r="O15" s="696"/>
      <c r="P15" s="696"/>
      <c r="Q15" s="696"/>
      <c r="S15" s="696"/>
      <c r="T15" s="696"/>
      <c r="U15" s="696"/>
      <c r="V15" s="696"/>
      <c r="W15" s="696"/>
      <c r="X15" s="696"/>
      <c r="Y15" s="696"/>
      <c r="Z15" s="696"/>
      <c r="AA15" s="696"/>
      <c r="AB15" s="696"/>
      <c r="AC15" s="696"/>
      <c r="AD15" s="696"/>
      <c r="AF15" s="561"/>
      <c r="AG15" s="561"/>
      <c r="AH15" s="561"/>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1"/>
      <c r="BW15" s="561"/>
      <c r="BX15" s="561"/>
      <c r="BY15" s="561"/>
      <c r="BZ15" s="561"/>
      <c r="CA15" s="561"/>
      <c r="CB15" s="561"/>
      <c r="CC15" s="561"/>
      <c r="CD15" s="561"/>
      <c r="CE15" s="561"/>
      <c r="CF15" s="561"/>
      <c r="CG15" s="561"/>
      <c r="CH15" s="561"/>
      <c r="CI15" s="561"/>
      <c r="CJ15" s="561"/>
      <c r="CK15" s="561"/>
      <c r="CL15" s="561"/>
      <c r="CM15" s="561"/>
      <c r="CN15" s="561"/>
      <c r="CO15" s="561"/>
      <c r="CP15" s="561"/>
      <c r="CQ15" s="561"/>
      <c r="CR15" s="561"/>
      <c r="CS15" s="561"/>
      <c r="CT15" s="561"/>
      <c r="CU15" s="561"/>
      <c r="CV15" s="561"/>
      <c r="CW15" s="561"/>
      <c r="CX15" s="561"/>
      <c r="CY15" s="561"/>
      <c r="CZ15" s="561"/>
      <c r="DA15" s="561"/>
      <c r="DB15" s="561"/>
      <c r="DC15" s="561"/>
      <c r="DD15" s="561"/>
      <c r="DE15" s="561"/>
      <c r="DF15" s="561"/>
      <c r="DG15" s="561"/>
      <c r="DH15" s="561"/>
      <c r="DI15" s="561"/>
      <c r="DJ15" s="561"/>
      <c r="DK15" s="561"/>
      <c r="DL15" s="561"/>
      <c r="DM15" s="561"/>
      <c r="DN15" s="561"/>
      <c r="DO15" s="561"/>
      <c r="DP15" s="561"/>
      <c r="DQ15" s="561"/>
      <c r="DR15" s="561"/>
      <c r="DS15" s="561"/>
      <c r="DT15" s="561"/>
      <c r="DU15" s="561"/>
      <c r="DV15" s="561"/>
      <c r="DW15" s="561"/>
      <c r="DX15" s="561"/>
      <c r="DY15" s="561"/>
      <c r="DZ15" s="561"/>
      <c r="EA15" s="561"/>
      <c r="EB15" s="561"/>
      <c r="EC15" s="561"/>
      <c r="ED15" s="561"/>
      <c r="EE15" s="561"/>
      <c r="EF15" s="561"/>
      <c r="EG15" s="561"/>
      <c r="EH15" s="561"/>
      <c r="EI15" s="561"/>
      <c r="EJ15" s="561"/>
      <c r="EK15" s="561"/>
      <c r="EL15" s="561"/>
    </row>
    <row r="16" spans="1:142" ht="19.5" customHeight="1">
      <c r="B16" s="619" t="s">
        <v>1504</v>
      </c>
      <c r="F16" s="560" t="s">
        <v>1536</v>
      </c>
      <c r="G16" s="1122" t="s">
        <v>1535</v>
      </c>
      <c r="H16" s="673"/>
      <c r="I16" s="673"/>
      <c r="J16" s="673"/>
      <c r="K16" s="673"/>
      <c r="L16" s="673"/>
      <c r="M16" s="673"/>
      <c r="N16" s="673"/>
      <c r="O16" s="673"/>
      <c r="P16" s="699"/>
      <c r="Q16" s="696"/>
      <c r="S16" s="696"/>
      <c r="T16" s="603" t="s">
        <v>1524</v>
      </c>
      <c r="AB16" s="696"/>
      <c r="AC16" s="696"/>
      <c r="AD16" s="696"/>
      <c r="AF16" s="561"/>
      <c r="AG16" s="561"/>
      <c r="AH16" s="561"/>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1"/>
      <c r="BW16" s="561"/>
      <c r="BX16" s="561"/>
      <c r="BY16" s="561"/>
      <c r="BZ16" s="561"/>
      <c r="CA16" s="561"/>
      <c r="CB16" s="561"/>
      <c r="CC16" s="561"/>
      <c r="CD16" s="561"/>
      <c r="CE16" s="561"/>
      <c r="CF16" s="561"/>
      <c r="CG16" s="561"/>
      <c r="CH16" s="561"/>
      <c r="CI16" s="561"/>
      <c r="CJ16" s="561"/>
      <c r="CK16" s="561"/>
      <c r="CL16" s="561"/>
      <c r="CM16" s="561"/>
      <c r="CN16" s="561"/>
      <c r="CO16" s="561"/>
      <c r="CP16" s="561"/>
      <c r="CQ16" s="561"/>
      <c r="CR16" s="561"/>
      <c r="CS16" s="561"/>
      <c r="CT16" s="561"/>
      <c r="CU16" s="561"/>
      <c r="CV16" s="561"/>
      <c r="CW16" s="561"/>
      <c r="CX16" s="561"/>
      <c r="CY16" s="561"/>
      <c r="CZ16" s="561"/>
      <c r="DA16" s="561"/>
      <c r="DB16" s="561"/>
      <c r="DC16" s="561"/>
      <c r="DD16" s="561"/>
      <c r="DE16" s="561"/>
      <c r="DF16" s="561"/>
      <c r="DG16" s="561"/>
      <c r="DH16" s="561"/>
      <c r="DI16" s="561"/>
      <c r="DJ16" s="561"/>
      <c r="DK16" s="561"/>
      <c r="DL16" s="561"/>
      <c r="DM16" s="561"/>
      <c r="DN16" s="561"/>
      <c r="DO16" s="561"/>
      <c r="DP16" s="561"/>
      <c r="DQ16" s="561"/>
      <c r="DR16" s="561"/>
      <c r="DS16" s="561"/>
      <c r="DT16" s="561"/>
      <c r="DU16" s="561"/>
      <c r="DV16" s="561"/>
      <c r="DW16" s="561"/>
      <c r="DX16" s="561"/>
      <c r="DY16" s="561"/>
      <c r="DZ16" s="561"/>
      <c r="EA16" s="561"/>
      <c r="EB16" s="561"/>
      <c r="EC16" s="561"/>
      <c r="ED16" s="561"/>
      <c r="EE16" s="561"/>
      <c r="EF16" s="561"/>
      <c r="EG16" s="561"/>
      <c r="EH16" s="561"/>
      <c r="EI16" s="561"/>
      <c r="EJ16" s="561"/>
      <c r="EK16" s="561"/>
      <c r="EL16" s="561"/>
    </row>
    <row r="17" spans="1:142">
      <c r="G17" s="1122"/>
      <c r="H17" s="673"/>
      <c r="I17" s="673"/>
      <c r="J17" s="673"/>
      <c r="K17" s="673"/>
      <c r="L17" s="673"/>
      <c r="M17" s="673"/>
      <c r="N17" s="673"/>
      <c r="O17" s="673"/>
      <c r="P17" s="699"/>
      <c r="Q17" s="696"/>
      <c r="S17" s="696"/>
      <c r="T17" s="1125" t="s">
        <v>1534</v>
      </c>
      <c r="AB17" s="696"/>
      <c r="AC17" s="696"/>
      <c r="AD17" s="696"/>
      <c r="AF17" s="561"/>
      <c r="AG17" s="561"/>
      <c r="AH17" s="561"/>
      <c r="AI17" s="561"/>
      <c r="AJ17" s="561"/>
      <c r="AK17" s="561"/>
      <c r="AL17" s="561"/>
      <c r="AM17" s="561"/>
      <c r="AN17" s="561"/>
      <c r="AO17" s="561"/>
      <c r="AP17" s="561"/>
      <c r="AQ17" s="561"/>
      <c r="AR17" s="561"/>
      <c r="AS17" s="561"/>
      <c r="AT17" s="561"/>
      <c r="AU17" s="561"/>
      <c r="AV17" s="561"/>
      <c r="AW17" s="561"/>
      <c r="AX17" s="561"/>
      <c r="AY17" s="561"/>
      <c r="AZ17" s="561"/>
      <c r="BA17" s="561"/>
      <c r="BB17" s="561"/>
      <c r="BC17" s="561"/>
      <c r="BD17" s="561"/>
      <c r="BE17" s="561"/>
      <c r="BF17" s="561"/>
      <c r="BG17" s="561"/>
      <c r="BH17" s="561"/>
      <c r="BI17" s="561"/>
      <c r="BJ17" s="561"/>
      <c r="BK17" s="561"/>
      <c r="BL17" s="561"/>
      <c r="BM17" s="561"/>
      <c r="BN17" s="561"/>
      <c r="BO17" s="561"/>
      <c r="BP17" s="561"/>
      <c r="BQ17" s="561"/>
      <c r="BR17" s="561"/>
      <c r="BS17" s="561"/>
      <c r="BT17" s="561"/>
      <c r="BU17" s="561"/>
      <c r="BV17" s="561"/>
      <c r="BW17" s="561"/>
      <c r="BX17" s="561"/>
      <c r="BY17" s="561"/>
      <c r="BZ17" s="561"/>
      <c r="CA17" s="561"/>
      <c r="CB17" s="561"/>
      <c r="CC17" s="561"/>
      <c r="CD17" s="561"/>
      <c r="CE17" s="561"/>
      <c r="CF17" s="561"/>
      <c r="CG17" s="561"/>
      <c r="CH17" s="561"/>
      <c r="CI17" s="561"/>
      <c r="CJ17" s="561"/>
      <c r="CK17" s="561"/>
      <c r="CL17" s="561"/>
      <c r="CM17" s="561"/>
      <c r="CN17" s="561"/>
      <c r="CO17" s="561"/>
      <c r="CP17" s="561"/>
      <c r="CQ17" s="561"/>
      <c r="CR17" s="561"/>
      <c r="CS17" s="561"/>
      <c r="CT17" s="561"/>
      <c r="CU17" s="561"/>
      <c r="CV17" s="561"/>
      <c r="CW17" s="561"/>
      <c r="CX17" s="561"/>
      <c r="CY17" s="561"/>
      <c r="CZ17" s="561"/>
      <c r="DA17" s="561"/>
      <c r="DB17" s="561"/>
      <c r="DC17" s="561"/>
      <c r="DD17" s="561"/>
      <c r="DE17" s="561"/>
      <c r="DF17" s="561"/>
      <c r="DG17" s="561"/>
      <c r="DH17" s="561"/>
      <c r="DI17" s="561"/>
      <c r="DJ17" s="561"/>
      <c r="DK17" s="561"/>
      <c r="DL17" s="561"/>
      <c r="DM17" s="561"/>
      <c r="DN17" s="561"/>
      <c r="DO17" s="561"/>
      <c r="DP17" s="561"/>
      <c r="DQ17" s="561"/>
      <c r="DR17" s="561"/>
      <c r="DS17" s="561"/>
      <c r="DT17" s="561"/>
      <c r="DU17" s="561"/>
      <c r="DV17" s="561"/>
      <c r="DW17" s="561"/>
      <c r="DX17" s="561"/>
      <c r="DY17" s="561"/>
      <c r="DZ17" s="561"/>
      <c r="EA17" s="561"/>
      <c r="EB17" s="561"/>
      <c r="EC17" s="561"/>
      <c r="ED17" s="561"/>
      <c r="EE17" s="561"/>
      <c r="EF17" s="561"/>
      <c r="EG17" s="561"/>
      <c r="EH17" s="561"/>
      <c r="EI17" s="561"/>
      <c r="EJ17" s="561"/>
      <c r="EK17" s="561"/>
      <c r="EL17" s="561"/>
    </row>
    <row r="18" spans="1:142" ht="18">
      <c r="B18" s="2" t="s">
        <v>1503</v>
      </c>
      <c r="G18" s="560" t="s">
        <v>1533</v>
      </c>
      <c r="H18" s="673"/>
      <c r="I18" s="673"/>
      <c r="J18" s="673"/>
      <c r="K18" s="673"/>
      <c r="L18" s="673"/>
      <c r="M18" s="673"/>
      <c r="N18" s="673"/>
      <c r="O18" s="673"/>
      <c r="P18" s="699"/>
      <c r="Q18" s="696"/>
      <c r="S18" s="696"/>
      <c r="T18" s="560" t="s">
        <v>1521</v>
      </c>
      <c r="U18" s="1128">
        <f>1-(C14/C13)</f>
        <v>8.9999999999999969E-2</v>
      </c>
      <c r="V18" s="573" t="s">
        <v>1532</v>
      </c>
      <c r="AB18" s="696"/>
      <c r="AC18" s="696"/>
      <c r="AD18" s="696"/>
      <c r="AF18" s="561"/>
      <c r="AG18" s="561"/>
      <c r="AH18" s="561"/>
      <c r="AI18" s="561"/>
      <c r="AJ18" s="561"/>
      <c r="AK18" s="561"/>
      <c r="AL18" s="561"/>
      <c r="AM18" s="561"/>
      <c r="AN18" s="561"/>
      <c r="AO18" s="561"/>
      <c r="AP18" s="561"/>
      <c r="AQ18" s="561"/>
      <c r="AR18" s="561"/>
      <c r="AS18" s="561"/>
      <c r="AT18" s="561"/>
      <c r="AU18" s="561"/>
      <c r="AV18" s="561"/>
      <c r="AW18" s="561"/>
      <c r="AX18" s="561"/>
      <c r="AY18" s="561"/>
      <c r="AZ18" s="561"/>
      <c r="BA18" s="561"/>
      <c r="BB18" s="561"/>
      <c r="BC18" s="561"/>
      <c r="BD18" s="561"/>
      <c r="BE18" s="561"/>
      <c r="BF18" s="561"/>
      <c r="BG18" s="561"/>
      <c r="BH18" s="561"/>
      <c r="BI18" s="561"/>
      <c r="BJ18" s="561"/>
      <c r="BK18" s="561"/>
      <c r="BL18" s="561"/>
      <c r="BM18" s="561"/>
      <c r="BN18" s="561"/>
      <c r="BO18" s="561"/>
      <c r="BP18" s="561"/>
      <c r="BQ18" s="561"/>
      <c r="BR18" s="561"/>
      <c r="BS18" s="561"/>
      <c r="BT18" s="561"/>
      <c r="BU18" s="561"/>
      <c r="BV18" s="561"/>
      <c r="BW18" s="561"/>
      <c r="BX18" s="561"/>
      <c r="BY18" s="561"/>
      <c r="BZ18" s="561"/>
      <c r="CA18" s="561"/>
      <c r="CB18" s="561"/>
      <c r="CC18" s="561"/>
      <c r="CD18" s="561"/>
      <c r="CE18" s="561"/>
      <c r="CF18" s="561"/>
      <c r="CG18" s="561"/>
      <c r="CH18" s="561"/>
      <c r="CI18" s="561"/>
      <c r="CJ18" s="561"/>
      <c r="CK18" s="561"/>
      <c r="CL18" s="561"/>
      <c r="CM18" s="561"/>
      <c r="CN18" s="561"/>
      <c r="CO18" s="561"/>
      <c r="CP18" s="561"/>
      <c r="CQ18" s="561"/>
      <c r="CR18" s="561"/>
      <c r="CS18" s="561"/>
      <c r="CT18" s="561"/>
      <c r="CU18" s="561"/>
      <c r="CV18" s="561"/>
      <c r="CW18" s="561"/>
      <c r="CX18" s="561"/>
      <c r="CY18" s="561"/>
      <c r="CZ18" s="561"/>
      <c r="DA18" s="561"/>
      <c r="DB18" s="561"/>
      <c r="DC18" s="561"/>
      <c r="DD18" s="561"/>
      <c r="DE18" s="561"/>
      <c r="DF18" s="561"/>
      <c r="DG18" s="561"/>
      <c r="DH18" s="561"/>
      <c r="DI18" s="561"/>
      <c r="DJ18" s="561"/>
      <c r="DK18" s="561"/>
      <c r="DL18" s="561"/>
      <c r="DM18" s="561"/>
      <c r="DN18" s="561"/>
      <c r="DO18" s="561"/>
      <c r="DP18" s="561"/>
      <c r="DQ18" s="561"/>
      <c r="DR18" s="561"/>
      <c r="DS18" s="561"/>
      <c r="DT18" s="561"/>
      <c r="DU18" s="561"/>
      <c r="DV18" s="561"/>
      <c r="DW18" s="561"/>
      <c r="DX18" s="561"/>
      <c r="DY18" s="561"/>
      <c r="DZ18" s="561"/>
      <c r="EA18" s="561"/>
      <c r="EB18" s="561"/>
      <c r="EC18" s="561"/>
      <c r="ED18" s="561"/>
      <c r="EE18" s="561"/>
      <c r="EF18" s="561"/>
      <c r="EG18" s="561"/>
      <c r="EH18" s="561"/>
      <c r="EI18" s="561"/>
      <c r="EJ18" s="561"/>
      <c r="EK18" s="561"/>
      <c r="EL18" s="561"/>
    </row>
    <row r="19" spans="1:142">
      <c r="G19" s="1122"/>
      <c r="H19" s="673"/>
      <c r="I19" s="673"/>
      <c r="J19" s="673"/>
      <c r="K19" s="673"/>
      <c r="L19" s="673"/>
      <c r="M19" s="673"/>
      <c r="N19" s="673"/>
      <c r="O19" s="673"/>
      <c r="P19" s="699"/>
      <c r="Q19" s="696"/>
      <c r="S19" s="696"/>
      <c r="T19" s="560" t="s">
        <v>1519</v>
      </c>
      <c r="U19" s="1129">
        <f>0.05-0.04</f>
        <v>1.0000000000000002E-2</v>
      </c>
      <c r="V19" s="1127" t="s">
        <v>1531</v>
      </c>
      <c r="AB19" s="696"/>
      <c r="AC19" s="696"/>
      <c r="AD19" s="696"/>
      <c r="AF19" s="561"/>
      <c r="AG19" s="561"/>
      <c r="AH19" s="561"/>
      <c r="AI19" s="561"/>
      <c r="AJ19" s="561"/>
      <c r="AK19" s="561"/>
      <c r="AL19" s="561"/>
      <c r="AM19" s="561"/>
      <c r="AN19" s="561"/>
      <c r="AO19" s="561"/>
      <c r="AP19" s="561"/>
      <c r="AQ19" s="561"/>
      <c r="AR19" s="561"/>
      <c r="AS19" s="561"/>
      <c r="AT19" s="561"/>
      <c r="AU19" s="561"/>
      <c r="AV19" s="561"/>
      <c r="AW19" s="561"/>
      <c r="AX19" s="561"/>
      <c r="AY19" s="561"/>
      <c r="AZ19" s="561"/>
      <c r="BA19" s="561"/>
      <c r="BB19" s="561"/>
      <c r="BC19" s="561"/>
      <c r="BD19" s="561"/>
      <c r="BE19" s="561"/>
      <c r="BF19" s="561"/>
      <c r="BG19" s="561"/>
      <c r="BH19" s="561"/>
      <c r="BI19" s="561"/>
      <c r="BJ19" s="561"/>
      <c r="BK19" s="561"/>
      <c r="BL19" s="561"/>
      <c r="BM19" s="561"/>
      <c r="BN19" s="561"/>
      <c r="BO19" s="561"/>
      <c r="BP19" s="561"/>
      <c r="BQ19" s="561"/>
      <c r="BR19" s="561"/>
      <c r="BS19" s="561"/>
      <c r="BT19" s="561"/>
      <c r="BU19" s="561"/>
      <c r="BV19" s="561"/>
      <c r="BW19" s="561"/>
      <c r="BX19" s="561"/>
      <c r="BY19" s="561"/>
      <c r="BZ19" s="561"/>
      <c r="CA19" s="561"/>
      <c r="CB19" s="561"/>
      <c r="CC19" s="561"/>
      <c r="CD19" s="561"/>
      <c r="CE19" s="561"/>
      <c r="CF19" s="561"/>
      <c r="CG19" s="561"/>
      <c r="CH19" s="561"/>
      <c r="CI19" s="561"/>
      <c r="CJ19" s="561"/>
      <c r="CK19" s="561"/>
      <c r="CL19" s="561"/>
      <c r="CM19" s="561"/>
      <c r="CN19" s="561"/>
      <c r="CO19" s="561"/>
      <c r="CP19" s="561"/>
      <c r="CQ19" s="561"/>
      <c r="CR19" s="561"/>
      <c r="CS19" s="561"/>
      <c r="CT19" s="561"/>
      <c r="CU19" s="561"/>
      <c r="CV19" s="561"/>
      <c r="CW19" s="561"/>
      <c r="CX19" s="561"/>
      <c r="CY19" s="561"/>
      <c r="CZ19" s="561"/>
      <c r="DA19" s="561"/>
      <c r="DB19" s="561"/>
      <c r="DC19" s="561"/>
      <c r="DD19" s="561"/>
      <c r="DE19" s="561"/>
      <c r="DF19" s="561"/>
      <c r="DG19" s="561"/>
      <c r="DH19" s="561"/>
      <c r="DI19" s="561"/>
      <c r="DJ19" s="561"/>
      <c r="DK19" s="561"/>
      <c r="DL19" s="561"/>
      <c r="DM19" s="561"/>
      <c r="DN19" s="561"/>
      <c r="DO19" s="561"/>
      <c r="DP19" s="561"/>
      <c r="DQ19" s="561"/>
      <c r="DR19" s="561"/>
      <c r="DS19" s="561"/>
      <c r="DT19" s="561"/>
      <c r="DU19" s="561"/>
      <c r="DV19" s="561"/>
      <c r="DW19" s="561"/>
      <c r="DX19" s="561"/>
      <c r="DY19" s="561"/>
      <c r="DZ19" s="561"/>
      <c r="EA19" s="561"/>
      <c r="EB19" s="561"/>
      <c r="EC19" s="561"/>
      <c r="ED19" s="561"/>
      <c r="EE19" s="561"/>
      <c r="EF19" s="561"/>
      <c r="EG19" s="561"/>
      <c r="EH19" s="561"/>
      <c r="EI19" s="561"/>
      <c r="EJ19" s="561"/>
      <c r="EK19" s="561"/>
      <c r="EL19" s="561"/>
    </row>
    <row r="20" spans="1:142">
      <c r="B20" s="2" t="s">
        <v>1502</v>
      </c>
      <c r="C20" s="581"/>
      <c r="G20" s="673" t="s">
        <v>1521</v>
      </c>
      <c r="H20" s="1120">
        <f>C12-C14</f>
        <v>200000</v>
      </c>
      <c r="I20" s="1121" t="s">
        <v>1530</v>
      </c>
      <c r="J20" s="673"/>
      <c r="K20" s="673"/>
      <c r="L20" s="673"/>
      <c r="M20" s="673"/>
      <c r="N20" s="673"/>
      <c r="O20" s="673"/>
      <c r="P20" s="699"/>
      <c r="Q20" s="696"/>
      <c r="S20" s="696"/>
      <c r="T20" s="560" t="s">
        <v>1517</v>
      </c>
      <c r="U20" s="1128">
        <f>U18/U19</f>
        <v>8.9999999999999947</v>
      </c>
      <c r="V20" s="1127"/>
      <c r="AB20" s="696"/>
      <c r="AC20" s="696"/>
      <c r="AD20" s="696"/>
      <c r="AF20" s="561"/>
      <c r="AG20" s="561"/>
      <c r="AH20" s="561"/>
      <c r="AI20" s="561"/>
      <c r="AJ20" s="561"/>
      <c r="AK20" s="561"/>
      <c r="AL20" s="561"/>
      <c r="AM20" s="561"/>
      <c r="AN20" s="561"/>
      <c r="AO20" s="561"/>
      <c r="AP20" s="561"/>
      <c r="AQ20" s="561"/>
      <c r="AR20" s="561"/>
      <c r="AS20" s="561"/>
      <c r="AT20" s="561"/>
      <c r="AU20" s="561"/>
      <c r="AV20" s="561"/>
      <c r="AW20" s="561"/>
      <c r="AX20" s="561"/>
      <c r="AY20" s="561"/>
      <c r="AZ20" s="561"/>
      <c r="BA20" s="561"/>
      <c r="BB20" s="561"/>
      <c r="BC20" s="561"/>
      <c r="BD20" s="561"/>
      <c r="BE20" s="561"/>
      <c r="BF20" s="561"/>
      <c r="BG20" s="561"/>
      <c r="BH20" s="561"/>
      <c r="BI20" s="561"/>
      <c r="BJ20" s="561"/>
      <c r="BK20" s="561"/>
      <c r="BL20" s="561"/>
      <c r="BM20" s="561"/>
      <c r="BN20" s="561"/>
      <c r="BO20" s="561"/>
      <c r="BP20" s="561"/>
      <c r="BQ20" s="561"/>
      <c r="BR20" s="561"/>
      <c r="BS20" s="561"/>
      <c r="BT20" s="561"/>
      <c r="BU20" s="561"/>
      <c r="BV20" s="561"/>
      <c r="BW20" s="561"/>
      <c r="BX20" s="561"/>
      <c r="BY20" s="561"/>
      <c r="BZ20" s="561"/>
      <c r="CA20" s="561"/>
      <c r="CB20" s="561"/>
      <c r="CC20" s="561"/>
      <c r="CD20" s="561"/>
      <c r="CE20" s="561"/>
      <c r="CF20" s="561"/>
      <c r="CG20" s="561"/>
      <c r="CH20" s="561"/>
      <c r="CI20" s="561"/>
      <c r="CJ20" s="561"/>
      <c r="CK20" s="561"/>
      <c r="CL20" s="561"/>
      <c r="CM20" s="561"/>
      <c r="CN20" s="561"/>
      <c r="CO20" s="561"/>
      <c r="CP20" s="561"/>
      <c r="CQ20" s="561"/>
      <c r="CR20" s="561"/>
      <c r="CS20" s="561"/>
      <c r="CT20" s="561"/>
      <c r="CU20" s="561"/>
      <c r="CV20" s="561"/>
      <c r="CW20" s="561"/>
      <c r="CX20" s="561"/>
      <c r="CY20" s="561"/>
      <c r="CZ20" s="561"/>
      <c r="DA20" s="561"/>
      <c r="DB20" s="561"/>
      <c r="DC20" s="561"/>
      <c r="DD20" s="561"/>
      <c r="DE20" s="561"/>
      <c r="DF20" s="561"/>
      <c r="DG20" s="561"/>
      <c r="DH20" s="561"/>
      <c r="DI20" s="561"/>
      <c r="DJ20" s="561"/>
      <c r="DK20" s="561"/>
      <c r="DL20" s="561"/>
      <c r="DM20" s="561"/>
      <c r="DN20" s="561"/>
      <c r="DO20" s="561"/>
      <c r="DP20" s="561"/>
      <c r="DQ20" s="561"/>
      <c r="DR20" s="561"/>
      <c r="DS20" s="561"/>
      <c r="DT20" s="561"/>
      <c r="DU20" s="561"/>
      <c r="DV20" s="561"/>
      <c r="DW20" s="561"/>
      <c r="DX20" s="561"/>
      <c r="DY20" s="561"/>
      <c r="DZ20" s="561"/>
      <c r="EA20" s="561"/>
      <c r="EB20" s="561"/>
      <c r="EC20" s="561"/>
      <c r="ED20" s="561"/>
      <c r="EE20" s="561"/>
      <c r="EF20" s="561"/>
      <c r="EG20" s="561"/>
      <c r="EH20" s="561"/>
      <c r="EI20" s="561"/>
      <c r="EJ20" s="561"/>
      <c r="EK20" s="561"/>
      <c r="EL20" s="561"/>
    </row>
    <row r="21" spans="1:142">
      <c r="B21" s="581"/>
      <c r="C21" s="581"/>
      <c r="G21" s="673"/>
      <c r="H21" s="1120"/>
      <c r="I21" s="673"/>
      <c r="J21" s="673"/>
      <c r="K21" s="673"/>
      <c r="L21" s="673"/>
      <c r="M21" s="673"/>
      <c r="N21" s="673"/>
      <c r="O21" s="673"/>
      <c r="P21" s="699"/>
      <c r="Q21" s="696"/>
      <c r="S21" s="696"/>
      <c r="U21" s="1124"/>
      <c r="AB21" s="696"/>
      <c r="AC21" s="696"/>
      <c r="AD21" s="696"/>
    </row>
    <row r="22" spans="1:142">
      <c r="B22" s="2" t="s">
        <v>788</v>
      </c>
      <c r="G22" s="673" t="s">
        <v>1519</v>
      </c>
      <c r="H22" s="1120">
        <f>2*C13*((0.05-0.03)/2)</f>
        <v>20000.000000000004</v>
      </c>
      <c r="I22" s="1121" t="s">
        <v>1529</v>
      </c>
      <c r="J22" s="673"/>
      <c r="K22" s="673"/>
      <c r="L22" s="673"/>
      <c r="M22" s="673"/>
      <c r="N22" s="673"/>
      <c r="O22" s="673"/>
      <c r="P22" s="699"/>
      <c r="Q22" s="696"/>
      <c r="S22" s="696"/>
      <c r="U22" s="1124"/>
      <c r="V22" s="573"/>
      <c r="AB22" s="696"/>
      <c r="AC22" s="696"/>
      <c r="AD22" s="696"/>
    </row>
    <row r="23" spans="1:142">
      <c r="G23" s="673"/>
      <c r="H23" s="1120"/>
      <c r="I23" s="673"/>
      <c r="J23" s="673"/>
      <c r="K23" s="673"/>
      <c r="L23" s="673"/>
      <c r="M23" s="673"/>
      <c r="N23" s="673"/>
      <c r="O23" s="673"/>
      <c r="P23" s="699"/>
      <c r="Q23" s="696"/>
      <c r="S23" s="696"/>
      <c r="T23" s="1125" t="s">
        <v>1528</v>
      </c>
      <c r="U23" s="1124"/>
      <c r="AB23" s="696"/>
      <c r="AC23" s="696"/>
      <c r="AD23" s="696"/>
    </row>
    <row r="24" spans="1:142" ht="19.8">
      <c r="A24" s="2" t="s">
        <v>1501</v>
      </c>
      <c r="G24" s="673" t="s">
        <v>1517</v>
      </c>
      <c r="H24" s="1126">
        <f>H20/H22</f>
        <v>9.9999999999999982</v>
      </c>
      <c r="I24" s="673"/>
      <c r="J24" s="673"/>
      <c r="K24" s="673"/>
      <c r="L24" s="673"/>
      <c r="M24" s="673"/>
      <c r="N24" s="673"/>
      <c r="O24" s="673"/>
      <c r="P24" s="699"/>
      <c r="Q24" s="696"/>
      <c r="S24" s="696"/>
      <c r="T24" s="560" t="s">
        <v>1517</v>
      </c>
      <c r="U24" s="1124">
        <f>C13*(1-U20/100)^0.7</f>
        <v>936114.50495807093</v>
      </c>
      <c r="V24" s="573" t="s">
        <v>1527</v>
      </c>
      <c r="AB24" s="696"/>
      <c r="AC24" s="696"/>
      <c r="AD24" s="696"/>
    </row>
    <row r="25" spans="1:142">
      <c r="A25" s="2" t="s">
        <v>1500</v>
      </c>
      <c r="G25" s="673"/>
      <c r="H25" s="1120"/>
      <c r="I25" s="673"/>
      <c r="J25" s="673"/>
      <c r="K25" s="673"/>
      <c r="L25" s="673"/>
      <c r="M25" s="673"/>
      <c r="N25" s="673"/>
      <c r="O25" s="673"/>
      <c r="P25" s="699"/>
      <c r="Q25" s="696"/>
      <c r="S25" s="696"/>
      <c r="U25" s="1124"/>
      <c r="AB25" s="696"/>
      <c r="AC25" s="696"/>
      <c r="AD25" s="696"/>
    </row>
    <row r="26" spans="1:142">
      <c r="A26" s="2" t="s">
        <v>1499</v>
      </c>
      <c r="F26" s="560" t="s">
        <v>1526</v>
      </c>
      <c r="G26" s="1122" t="s">
        <v>1525</v>
      </c>
      <c r="H26" s="1120"/>
      <c r="I26" s="673"/>
      <c r="J26" s="673"/>
      <c r="K26" s="673"/>
      <c r="L26" s="673"/>
      <c r="M26" s="673"/>
      <c r="N26" s="673"/>
      <c r="O26" s="673"/>
      <c r="P26" s="699"/>
      <c r="Q26" s="696"/>
      <c r="S26" s="696"/>
      <c r="T26" s="1125" t="s">
        <v>1524</v>
      </c>
      <c r="U26" s="1124"/>
      <c r="V26" s="573"/>
      <c r="AB26" s="696"/>
      <c r="AC26" s="696"/>
      <c r="AD26" s="696"/>
    </row>
    <row r="27" spans="1:142">
      <c r="H27" s="1120"/>
      <c r="I27" s="673"/>
      <c r="J27" s="673"/>
      <c r="K27" s="673"/>
      <c r="L27" s="673"/>
      <c r="M27" s="673"/>
      <c r="N27" s="673"/>
      <c r="O27" s="673"/>
      <c r="P27" s="699"/>
      <c r="Q27" s="696"/>
      <c r="S27" s="696"/>
      <c r="T27" s="560" t="s">
        <v>1517</v>
      </c>
      <c r="U27" s="981">
        <f>U24-C28</f>
        <v>-53885.495041929069</v>
      </c>
      <c r="V27" s="1123" t="s">
        <v>1523</v>
      </c>
      <c r="AB27" s="696"/>
      <c r="AC27" s="696"/>
      <c r="AD27" s="696"/>
    </row>
    <row r="28" spans="1:142" ht="19.8">
      <c r="B28" s="590" t="s">
        <v>1498</v>
      </c>
      <c r="C28" s="694">
        <v>990000</v>
      </c>
      <c r="G28" s="560" t="s">
        <v>1522</v>
      </c>
      <c r="H28" s="1120"/>
      <c r="I28" s="673"/>
      <c r="J28" s="673"/>
      <c r="K28" s="673"/>
      <c r="L28" s="673"/>
      <c r="M28" s="673"/>
      <c r="N28" s="673"/>
      <c r="O28" s="673"/>
      <c r="P28" s="699"/>
      <c r="Q28" s="696"/>
      <c r="S28" s="696"/>
      <c r="T28" s="696"/>
      <c r="U28" s="696"/>
      <c r="V28" s="696"/>
      <c r="W28" s="696"/>
      <c r="X28" s="696"/>
      <c r="Y28" s="696"/>
      <c r="Z28" s="696"/>
      <c r="AA28" s="696"/>
      <c r="AB28" s="696"/>
      <c r="AC28" s="696"/>
      <c r="AD28" s="696"/>
    </row>
    <row r="29" spans="1:142">
      <c r="B29" s="590" t="s">
        <v>1497</v>
      </c>
      <c r="C29" s="691">
        <v>4.7E-2</v>
      </c>
      <c r="G29" s="1122"/>
      <c r="H29" s="1120"/>
      <c r="I29" s="673"/>
      <c r="J29" s="673"/>
      <c r="K29" s="673"/>
      <c r="L29" s="673"/>
      <c r="M29" s="673"/>
      <c r="N29" s="673"/>
      <c r="O29" s="673"/>
      <c r="P29" s="699"/>
      <c r="Q29" s="696"/>
      <c r="S29" s="696"/>
      <c r="T29" s="696"/>
      <c r="U29" s="696"/>
      <c r="V29" s="696"/>
      <c r="W29" s="696"/>
      <c r="X29" s="696"/>
      <c r="Y29" s="696"/>
      <c r="Z29" s="696"/>
      <c r="AA29" s="696"/>
      <c r="AB29" s="696"/>
      <c r="AC29" s="696"/>
      <c r="AD29" s="696"/>
    </row>
    <row r="30" spans="1:142">
      <c r="G30" s="673" t="s">
        <v>1521</v>
      </c>
      <c r="H30" s="1120">
        <f>C12+C14-2*C13</f>
        <v>20000</v>
      </c>
      <c r="I30" s="1121" t="s">
        <v>1520</v>
      </c>
      <c r="J30" s="673"/>
      <c r="K30" s="673"/>
      <c r="L30" s="673"/>
      <c r="M30" s="673"/>
      <c r="N30" s="673"/>
      <c r="O30" s="673"/>
      <c r="P30" s="696"/>
      <c r="Q30" s="696"/>
      <c r="S30" s="696"/>
      <c r="T30" s="696"/>
      <c r="U30" s="696"/>
      <c r="V30" s="696"/>
      <c r="W30" s="696"/>
      <c r="X30" s="696"/>
      <c r="Y30" s="696"/>
      <c r="Z30" s="696"/>
      <c r="AA30" s="696"/>
      <c r="AB30" s="696"/>
      <c r="AC30" s="696"/>
      <c r="AD30" s="696"/>
    </row>
    <row r="31" spans="1:142">
      <c r="B31" s="619" t="s">
        <v>1496</v>
      </c>
      <c r="G31" s="673"/>
      <c r="H31" s="1120"/>
      <c r="I31" s="673"/>
      <c r="J31" s="673"/>
      <c r="K31" s="673"/>
      <c r="L31" s="673"/>
      <c r="M31" s="673"/>
      <c r="N31" s="673"/>
      <c r="O31" s="673"/>
      <c r="P31" s="696"/>
      <c r="Q31" s="696"/>
      <c r="S31" s="696"/>
      <c r="T31" s="696"/>
      <c r="U31" s="696"/>
      <c r="V31" s="696"/>
      <c r="W31" s="696"/>
      <c r="X31" s="696"/>
      <c r="Y31" s="696"/>
      <c r="Z31" s="696"/>
      <c r="AA31" s="696"/>
      <c r="AB31" s="696"/>
      <c r="AC31" s="696"/>
      <c r="AD31" s="696"/>
    </row>
    <row r="32" spans="1:142" ht="18.600000000000001">
      <c r="B32" s="2" t="s">
        <v>1495</v>
      </c>
      <c r="G32" s="673" t="s">
        <v>1519</v>
      </c>
      <c r="H32" s="1120">
        <f>2*C13*(((0.05-0.03)/2)^2)</f>
        <v>200.00000000000009</v>
      </c>
      <c r="I32" s="1121" t="s">
        <v>1518</v>
      </c>
      <c r="J32" s="673"/>
      <c r="K32" s="673"/>
      <c r="L32" s="673"/>
      <c r="M32" s="673"/>
      <c r="N32" s="673"/>
      <c r="O32" s="673"/>
      <c r="P32" s="696"/>
      <c r="Q32" s="696"/>
      <c r="S32" s="696"/>
      <c r="T32" s="696"/>
      <c r="U32" s="696"/>
      <c r="V32" s="696"/>
      <c r="W32" s="696"/>
      <c r="X32" s="696"/>
      <c r="Y32" s="696"/>
      <c r="Z32" s="696"/>
      <c r="AA32" s="696"/>
      <c r="AB32" s="696"/>
      <c r="AC32" s="696"/>
      <c r="AD32" s="696"/>
    </row>
    <row r="33" spans="2:30">
      <c r="G33" s="673"/>
      <c r="H33" s="673"/>
      <c r="I33" s="673"/>
      <c r="J33" s="673"/>
      <c r="K33" s="673"/>
      <c r="L33" s="673"/>
      <c r="M33" s="673"/>
      <c r="N33" s="673"/>
      <c r="O33" s="673"/>
      <c r="P33" s="696"/>
      <c r="Q33" s="696"/>
      <c r="S33" s="696"/>
      <c r="T33" s="696"/>
      <c r="U33" s="696"/>
      <c r="V33" s="696"/>
      <c r="W33" s="696"/>
      <c r="X33" s="696"/>
      <c r="Y33" s="696"/>
      <c r="Z33" s="696"/>
      <c r="AA33" s="696"/>
      <c r="AB33" s="696"/>
      <c r="AC33" s="696"/>
      <c r="AD33" s="696"/>
    </row>
    <row r="34" spans="2:30">
      <c r="B34" s="2" t="s">
        <v>788</v>
      </c>
      <c r="G34" s="673" t="s">
        <v>1517</v>
      </c>
      <c r="H34" s="1120">
        <f>H30/H32</f>
        <v>99.999999999999957</v>
      </c>
      <c r="I34" s="673"/>
      <c r="J34" s="673"/>
      <c r="K34" s="673"/>
      <c r="L34" s="673"/>
      <c r="M34" s="673"/>
      <c r="N34" s="673"/>
      <c r="O34" s="673"/>
      <c r="P34" s="696"/>
      <c r="Q34" s="696"/>
      <c r="S34" s="696"/>
      <c r="T34" s="696"/>
      <c r="U34" s="696"/>
      <c r="V34" s="696"/>
      <c r="W34" s="696"/>
      <c r="X34" s="696"/>
      <c r="Y34" s="696"/>
      <c r="Z34" s="696"/>
      <c r="AA34" s="696"/>
      <c r="AB34" s="696"/>
      <c r="AC34" s="696"/>
      <c r="AD34" s="696"/>
    </row>
    <row r="35" spans="2:30">
      <c r="F35" s="696"/>
      <c r="G35" s="698"/>
      <c r="H35" s="696"/>
      <c r="I35" s="696"/>
      <c r="J35" s="696"/>
      <c r="K35" s="696"/>
      <c r="L35" s="696"/>
      <c r="M35" s="696"/>
      <c r="N35" s="696"/>
      <c r="O35" s="696"/>
      <c r="P35" s="696"/>
      <c r="Q35" s="696"/>
      <c r="S35" s="696"/>
      <c r="T35" s="696"/>
      <c r="U35" s="696"/>
      <c r="V35" s="696"/>
      <c r="W35" s="696"/>
      <c r="X35" s="696"/>
      <c r="Y35" s="696"/>
      <c r="Z35" s="696"/>
      <c r="AA35" s="696"/>
      <c r="AB35" s="696"/>
      <c r="AC35" s="696"/>
      <c r="AD35" s="696"/>
    </row>
    <row r="36" spans="2:30">
      <c r="F36" s="696"/>
      <c r="G36" s="697"/>
      <c r="H36" s="696"/>
      <c r="I36" s="696"/>
      <c r="J36" s="696"/>
      <c r="K36" s="696"/>
      <c r="L36" s="696"/>
      <c r="M36" s="696"/>
      <c r="N36" s="696"/>
      <c r="O36" s="696"/>
      <c r="P36" s="696"/>
      <c r="Q36" s="696"/>
      <c r="S36" s="696"/>
      <c r="T36" s="696"/>
      <c r="U36" s="696"/>
      <c r="V36" s="696"/>
      <c r="W36" s="696"/>
      <c r="X36" s="696"/>
      <c r="Y36" s="696"/>
      <c r="Z36" s="696"/>
      <c r="AA36" s="696"/>
      <c r="AB36" s="696"/>
      <c r="AC36" s="696"/>
      <c r="AD36" s="696"/>
    </row>
    <row r="37" spans="2:30">
      <c r="F37" s="696"/>
      <c r="G37" s="697"/>
      <c r="H37" s="696"/>
      <c r="I37" s="696"/>
      <c r="J37" s="696"/>
      <c r="K37" s="696"/>
      <c r="L37" s="696"/>
      <c r="M37" s="696"/>
      <c r="N37" s="696"/>
      <c r="O37" s="696"/>
      <c r="P37" s="696"/>
      <c r="Q37" s="696"/>
      <c r="S37" s="696"/>
      <c r="T37" s="696"/>
      <c r="U37" s="696"/>
      <c r="V37" s="696"/>
      <c r="W37" s="696"/>
      <c r="X37" s="696"/>
      <c r="Y37" s="696"/>
      <c r="Z37" s="696"/>
      <c r="AA37" s="696"/>
      <c r="AB37" s="696"/>
      <c r="AC37" s="696"/>
      <c r="AD37" s="696"/>
    </row>
    <row r="38" spans="2:30">
      <c r="F38" s="696"/>
      <c r="G38" s="697"/>
      <c r="H38" s="696"/>
      <c r="I38" s="696"/>
      <c r="J38" s="696"/>
      <c r="K38" s="696"/>
      <c r="L38" s="696"/>
      <c r="M38" s="696"/>
      <c r="N38" s="696"/>
      <c r="O38" s="696"/>
      <c r="P38" s="696"/>
      <c r="Q38" s="696"/>
      <c r="S38" s="696"/>
      <c r="T38" s="696"/>
      <c r="U38" s="696"/>
      <c r="V38" s="696"/>
      <c r="W38" s="696"/>
      <c r="X38" s="696"/>
      <c r="Y38" s="696"/>
      <c r="Z38" s="696"/>
      <c r="AA38" s="696"/>
      <c r="AB38" s="696"/>
      <c r="AC38" s="696"/>
      <c r="AD38" s="696"/>
    </row>
    <row r="39" spans="2:30">
      <c r="F39" s="696"/>
      <c r="G39" s="696"/>
      <c r="H39" s="696"/>
      <c r="I39" s="696"/>
      <c r="J39" s="696"/>
      <c r="K39" s="696"/>
      <c r="L39" s="696"/>
      <c r="M39" s="696"/>
      <c r="N39" s="696"/>
      <c r="O39" s="696"/>
      <c r="P39" s="696"/>
      <c r="Q39" s="696"/>
      <c r="S39" s="696"/>
      <c r="T39" s="696"/>
      <c r="U39" s="696"/>
      <c r="V39" s="696"/>
      <c r="W39" s="696"/>
      <c r="X39" s="696"/>
      <c r="Y39" s="696"/>
      <c r="Z39" s="696"/>
      <c r="AA39" s="696"/>
      <c r="AB39" s="696"/>
      <c r="AC39" s="696"/>
      <c r="AD39" s="696"/>
    </row>
    <row r="40" spans="2:30">
      <c r="F40" s="696"/>
      <c r="G40" s="696"/>
      <c r="H40" s="696"/>
      <c r="I40" s="696"/>
      <c r="J40" s="696"/>
      <c r="K40" s="696"/>
      <c r="L40" s="696"/>
      <c r="M40" s="696"/>
      <c r="N40" s="696"/>
      <c r="O40" s="696"/>
      <c r="P40" s="696"/>
      <c r="Q40" s="696"/>
      <c r="S40" s="696"/>
      <c r="T40" s="696"/>
      <c r="U40" s="696"/>
      <c r="V40" s="696"/>
      <c r="W40" s="696"/>
      <c r="X40" s="696"/>
      <c r="Y40" s="696"/>
      <c r="Z40" s="696"/>
      <c r="AA40" s="696"/>
      <c r="AB40" s="696"/>
      <c r="AC40" s="696"/>
      <c r="AD40" s="696"/>
    </row>
    <row r="41" spans="2:30">
      <c r="F41" s="696"/>
      <c r="G41" s="696"/>
      <c r="H41" s="696"/>
      <c r="I41" s="696"/>
      <c r="J41" s="696"/>
      <c r="K41" s="696"/>
      <c r="L41" s="696"/>
      <c r="M41" s="696"/>
      <c r="N41" s="696"/>
      <c r="O41" s="696"/>
      <c r="P41" s="696"/>
      <c r="Q41" s="696"/>
      <c r="S41" s="696"/>
      <c r="T41" s="696"/>
      <c r="U41" s="696"/>
      <c r="V41" s="696"/>
      <c r="W41" s="696"/>
      <c r="X41" s="696"/>
      <c r="Y41" s="696"/>
      <c r="Z41" s="696"/>
      <c r="AA41" s="696"/>
      <c r="AB41" s="696"/>
      <c r="AC41" s="696"/>
      <c r="AD41" s="696"/>
    </row>
    <row r="42" spans="2:30">
      <c r="F42" s="696"/>
      <c r="G42" s="696"/>
      <c r="H42" s="696"/>
      <c r="I42" s="696"/>
      <c r="J42" s="696"/>
      <c r="K42" s="696"/>
      <c r="L42" s="696"/>
      <c r="M42" s="696"/>
      <c r="N42" s="696"/>
      <c r="O42" s="696"/>
      <c r="P42" s="696"/>
      <c r="Q42" s="696"/>
      <c r="S42" s="696"/>
      <c r="T42" s="696"/>
      <c r="U42" s="696"/>
      <c r="V42" s="696"/>
      <c r="W42" s="696"/>
      <c r="X42" s="696"/>
      <c r="Y42" s="696"/>
      <c r="Z42" s="696"/>
      <c r="AA42" s="696"/>
      <c r="AB42" s="696"/>
      <c r="AC42" s="696"/>
      <c r="AD42" s="696"/>
    </row>
    <row r="43" spans="2:30">
      <c r="F43" s="696"/>
      <c r="G43" s="696"/>
      <c r="H43" s="696"/>
      <c r="I43" s="696"/>
      <c r="J43" s="696"/>
      <c r="K43" s="696"/>
      <c r="L43" s="696"/>
      <c r="M43" s="696"/>
      <c r="N43" s="696"/>
      <c r="O43" s="696"/>
      <c r="P43" s="696"/>
      <c r="Q43" s="696"/>
      <c r="S43" s="696"/>
      <c r="T43" s="696"/>
      <c r="U43" s="696"/>
      <c r="V43" s="696"/>
      <c r="W43" s="696"/>
      <c r="X43" s="696"/>
      <c r="Y43" s="696"/>
      <c r="Z43" s="696"/>
      <c r="AA43" s="696"/>
      <c r="AB43" s="696"/>
      <c r="AC43" s="696"/>
      <c r="AD43" s="696"/>
    </row>
    <row r="44" spans="2:30">
      <c r="F44" s="696"/>
      <c r="G44" s="696"/>
      <c r="H44" s="696"/>
      <c r="I44" s="696"/>
      <c r="J44" s="696"/>
      <c r="K44" s="696"/>
      <c r="L44" s="696"/>
      <c r="M44" s="696"/>
      <c r="N44" s="696"/>
      <c r="O44" s="696"/>
      <c r="P44" s="696"/>
      <c r="Q44" s="696"/>
      <c r="S44" s="696"/>
      <c r="T44" s="696"/>
      <c r="U44" s="696"/>
      <c r="V44" s="696"/>
      <c r="W44" s="696"/>
      <c r="X44" s="696"/>
      <c r="Y44" s="696"/>
      <c r="Z44" s="696"/>
      <c r="AA44" s="696"/>
      <c r="AB44" s="696"/>
      <c r="AC44" s="696"/>
      <c r="AD44" s="696"/>
    </row>
    <row r="45" spans="2:30">
      <c r="F45" s="696"/>
      <c r="G45" s="696"/>
      <c r="H45" s="696"/>
      <c r="I45" s="696"/>
      <c r="J45" s="696"/>
      <c r="K45" s="696"/>
      <c r="L45" s="696"/>
      <c r="M45" s="696"/>
      <c r="N45" s="696"/>
      <c r="O45" s="696"/>
      <c r="P45" s="696"/>
      <c r="Q45" s="696"/>
      <c r="S45" s="696"/>
      <c r="T45" s="696"/>
      <c r="U45" s="696"/>
      <c r="V45" s="696"/>
      <c r="W45" s="696"/>
      <c r="X45" s="696"/>
      <c r="Y45" s="696"/>
      <c r="Z45" s="696"/>
      <c r="AA45" s="696"/>
      <c r="AB45" s="696"/>
      <c r="AC45" s="696"/>
      <c r="AD45" s="696"/>
    </row>
    <row r="46" spans="2:30">
      <c r="S46" s="696"/>
      <c r="T46" s="696"/>
      <c r="U46" s="696"/>
      <c r="V46" s="696"/>
      <c r="W46" s="696"/>
      <c r="X46" s="696"/>
      <c r="Y46" s="696"/>
      <c r="Z46" s="696"/>
      <c r="AA46" s="696"/>
      <c r="AB46" s="696"/>
      <c r="AC46" s="696"/>
      <c r="AD46" s="696"/>
    </row>
    <row r="47" spans="2:30">
      <c r="S47" s="696"/>
      <c r="T47" s="696"/>
      <c r="U47" s="696"/>
      <c r="V47" s="696"/>
      <c r="W47" s="696"/>
      <c r="X47" s="696"/>
      <c r="Y47" s="696"/>
      <c r="Z47" s="696"/>
      <c r="AA47" s="696"/>
      <c r="AB47" s="696"/>
      <c r="AC47" s="696"/>
      <c r="AD47" s="696"/>
    </row>
  </sheetData>
  <sheetProtection algorithmName="SHA-512" hashValue="Wqb60RbY4WNFsJYff6bb2k3CfRoaizwNGUjNL+8ddLDp/vN9Iq7ypfix6g8qgOJTdwNioLPMSZTscyxIX/lmAA==" saltValue="KF/2ueHR56d1STVENUl4fg==" spinCount="100000" sheet="1" formatCells="0" formatColumns="0" formatRows="0" insertColumns="0" insertRows="0"/>
  <mergeCells count="3">
    <mergeCell ref="G7:Q7"/>
    <mergeCell ref="T7:AD7"/>
    <mergeCell ref="T8:AD8"/>
  </mergeCell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7A40-8E2F-4F8F-A11A-68BE821BBDC3}">
  <dimension ref="A1:EL53"/>
  <sheetViews>
    <sheetView zoomScale="70" zoomScaleNormal="70" workbookViewId="0">
      <selection activeCell="AF48" sqref="AF48"/>
    </sheetView>
  </sheetViews>
  <sheetFormatPr defaultColWidth="9.33203125" defaultRowHeight="15.6"/>
  <cols>
    <col min="1" max="1" width="3.6640625" style="2" customWidth="1"/>
    <col min="2" max="2" width="45.33203125" style="2" customWidth="1"/>
    <col min="3" max="4" width="22.6640625" style="2" customWidth="1"/>
    <col min="5" max="5" width="1" style="3" customWidth="1"/>
    <col min="6" max="6" width="4" style="560" customWidth="1"/>
    <col min="7" max="7" width="14.5546875" style="560" bestFit="1" customWidth="1"/>
    <col min="8" max="8" width="13.88671875" style="560" bestFit="1" customWidth="1"/>
    <col min="9" max="12" width="9.33203125" style="560"/>
    <col min="13" max="13" width="16.88671875" style="560" customWidth="1"/>
    <col min="14" max="17" width="9.33203125" style="560"/>
    <col min="18" max="18" width="1" style="561" customWidth="1"/>
    <col min="19" max="30" width="9.33203125" style="560"/>
    <col min="31" max="31" width="1.88671875" style="617" customWidth="1"/>
    <col min="32" max="16384" width="9.33203125" style="560"/>
  </cols>
  <sheetData>
    <row r="1" spans="1:142">
      <c r="A1" s="1" t="s">
        <v>822</v>
      </c>
      <c r="F1" s="1" t="s">
        <v>822</v>
      </c>
      <c r="G1" s="2"/>
      <c r="H1" s="2"/>
      <c r="I1" s="2"/>
      <c r="J1" s="2"/>
      <c r="K1" s="2"/>
      <c r="L1" s="2"/>
      <c r="M1" s="2"/>
      <c r="N1" s="2"/>
      <c r="O1" s="2"/>
      <c r="P1" s="2"/>
      <c r="Q1" s="2"/>
      <c r="S1" s="1" t="s">
        <v>822</v>
      </c>
      <c r="T1" s="2"/>
      <c r="U1" s="2"/>
      <c r="V1" s="2"/>
      <c r="W1" s="2"/>
      <c r="X1" s="2"/>
      <c r="Y1" s="2"/>
      <c r="Z1" s="2"/>
      <c r="AA1" s="2"/>
      <c r="AB1" s="2"/>
      <c r="AC1" s="2"/>
      <c r="AD1" s="2"/>
      <c r="AF1" s="561"/>
      <c r="AG1" s="561"/>
      <c r="AH1" s="561"/>
      <c r="AI1" s="561"/>
      <c r="AJ1" s="561"/>
      <c r="AK1" s="561"/>
      <c r="AL1" s="561"/>
      <c r="AM1" s="561"/>
      <c r="AN1" s="561"/>
      <c r="AO1" s="561"/>
      <c r="AP1" s="561"/>
      <c r="AQ1" s="561"/>
      <c r="AR1" s="561"/>
      <c r="AS1" s="561"/>
      <c r="AT1" s="561"/>
      <c r="AU1" s="561"/>
      <c r="AV1" s="561"/>
      <c r="AW1" s="561"/>
      <c r="AX1" s="561"/>
      <c r="AY1" s="561"/>
      <c r="AZ1" s="561"/>
      <c r="BA1" s="561"/>
      <c r="BB1" s="561"/>
      <c r="BC1" s="561"/>
      <c r="BD1" s="561"/>
      <c r="BE1" s="561"/>
      <c r="BF1" s="561"/>
      <c r="BG1" s="561"/>
      <c r="BH1" s="561"/>
      <c r="BI1" s="561"/>
      <c r="BJ1" s="561"/>
      <c r="BK1" s="561"/>
      <c r="BL1" s="561"/>
      <c r="BM1" s="561"/>
      <c r="BN1" s="561"/>
      <c r="BO1" s="561"/>
      <c r="BP1" s="561"/>
      <c r="BQ1" s="561"/>
      <c r="BR1" s="561"/>
      <c r="BS1" s="561"/>
      <c r="BT1" s="561"/>
      <c r="BU1" s="561"/>
      <c r="BV1" s="561"/>
      <c r="BW1" s="561"/>
      <c r="BX1" s="561"/>
      <c r="BY1" s="561"/>
      <c r="BZ1" s="561"/>
      <c r="CA1" s="561"/>
      <c r="CB1" s="561"/>
      <c r="CC1" s="561"/>
      <c r="CD1" s="561"/>
      <c r="CE1" s="561"/>
      <c r="CF1" s="561"/>
      <c r="CG1" s="561"/>
      <c r="CH1" s="561"/>
      <c r="CI1" s="561"/>
      <c r="CJ1" s="561"/>
      <c r="CK1" s="561"/>
      <c r="CL1" s="561"/>
      <c r="CM1" s="561"/>
      <c r="CN1" s="561"/>
      <c r="CO1" s="561"/>
      <c r="CP1" s="561"/>
      <c r="CQ1" s="561"/>
      <c r="CR1" s="561"/>
      <c r="CS1" s="561"/>
      <c r="CT1" s="561"/>
      <c r="CU1" s="561"/>
      <c r="CV1" s="561"/>
      <c r="CW1" s="561"/>
      <c r="CX1" s="561"/>
      <c r="CY1" s="561"/>
      <c r="CZ1" s="561"/>
      <c r="DA1" s="561"/>
      <c r="DB1" s="561"/>
      <c r="DC1" s="561"/>
      <c r="DD1" s="561"/>
      <c r="DE1" s="561"/>
      <c r="DF1" s="561"/>
      <c r="DG1" s="561"/>
      <c r="DH1" s="561"/>
      <c r="DI1" s="561"/>
      <c r="DJ1" s="561"/>
      <c r="DK1" s="561"/>
      <c r="DL1" s="561"/>
      <c r="DM1" s="561"/>
      <c r="DN1" s="561"/>
      <c r="DO1" s="561"/>
      <c r="DP1" s="561"/>
      <c r="DQ1" s="561"/>
      <c r="DR1" s="561"/>
      <c r="DS1" s="561"/>
      <c r="DT1" s="561"/>
      <c r="DU1" s="561"/>
      <c r="DV1" s="561"/>
      <c r="DW1" s="561"/>
      <c r="DX1" s="561"/>
      <c r="DY1" s="561"/>
      <c r="DZ1" s="561"/>
      <c r="EA1" s="561"/>
      <c r="EB1" s="561"/>
      <c r="EC1" s="561"/>
      <c r="ED1" s="561"/>
      <c r="EE1" s="561"/>
      <c r="EF1" s="561"/>
      <c r="EG1" s="561"/>
      <c r="EH1" s="561"/>
      <c r="EI1" s="561"/>
      <c r="EJ1" s="561"/>
      <c r="EK1" s="561"/>
      <c r="EL1" s="561"/>
    </row>
    <row r="2" spans="1:142">
      <c r="A2" s="1" t="s">
        <v>732</v>
      </c>
      <c r="F2" s="1" t="s">
        <v>732</v>
      </c>
      <c r="G2" s="2"/>
      <c r="H2" s="2"/>
      <c r="I2" s="2"/>
      <c r="J2" s="2"/>
      <c r="K2" s="2"/>
      <c r="L2" s="2"/>
      <c r="M2" s="2"/>
      <c r="N2" s="2"/>
      <c r="O2" s="2"/>
      <c r="P2" s="2"/>
      <c r="Q2" s="2"/>
      <c r="S2" s="1" t="s">
        <v>732</v>
      </c>
      <c r="T2" s="2"/>
      <c r="U2" s="2"/>
      <c r="V2" s="2"/>
      <c r="W2" s="2"/>
      <c r="X2" s="2"/>
      <c r="Y2" s="2"/>
      <c r="Z2" s="2"/>
      <c r="AA2" s="2"/>
      <c r="AB2" s="2"/>
      <c r="AC2" s="2"/>
      <c r="AD2" s="2"/>
      <c r="AF2" s="561"/>
      <c r="AG2" s="561"/>
      <c r="AH2" s="561"/>
      <c r="AI2" s="561"/>
      <c r="AJ2" s="561"/>
      <c r="AK2" s="561"/>
      <c r="AL2" s="561"/>
      <c r="AM2" s="561"/>
      <c r="AN2" s="561"/>
      <c r="AO2" s="561"/>
      <c r="AP2" s="561"/>
      <c r="AQ2" s="561"/>
      <c r="AR2" s="561"/>
      <c r="AS2" s="561"/>
      <c r="AT2" s="561"/>
      <c r="AU2" s="561"/>
      <c r="AV2" s="561"/>
      <c r="AW2" s="561"/>
      <c r="AX2" s="561"/>
      <c r="AY2" s="561"/>
      <c r="AZ2" s="561"/>
      <c r="BA2" s="561"/>
      <c r="BB2" s="561"/>
      <c r="BC2" s="561"/>
      <c r="BD2" s="561"/>
      <c r="BE2" s="561"/>
      <c r="BF2" s="561"/>
      <c r="BG2" s="561"/>
      <c r="BH2" s="561"/>
      <c r="BI2" s="561"/>
      <c r="BJ2" s="561"/>
      <c r="BK2" s="561"/>
      <c r="BL2" s="561"/>
      <c r="BM2" s="561"/>
      <c r="BN2" s="561"/>
      <c r="BO2" s="561"/>
      <c r="BP2" s="561"/>
      <c r="BQ2" s="561"/>
      <c r="BR2" s="561"/>
      <c r="BS2" s="561"/>
      <c r="BT2" s="561"/>
      <c r="BU2" s="561"/>
      <c r="BV2" s="561"/>
      <c r="BW2" s="561"/>
      <c r="BX2" s="561"/>
      <c r="BY2" s="561"/>
      <c r="BZ2" s="561"/>
      <c r="CA2" s="561"/>
      <c r="CB2" s="561"/>
      <c r="CC2" s="561"/>
      <c r="CD2" s="561"/>
      <c r="CE2" s="561"/>
      <c r="CF2" s="561"/>
      <c r="CG2" s="561"/>
      <c r="CH2" s="561"/>
      <c r="CI2" s="561"/>
      <c r="CJ2" s="561"/>
      <c r="CK2" s="561"/>
      <c r="CL2" s="561"/>
      <c r="CM2" s="561"/>
      <c r="CN2" s="561"/>
      <c r="CO2" s="561"/>
      <c r="CP2" s="561"/>
      <c r="CQ2" s="561"/>
      <c r="CR2" s="561"/>
      <c r="CS2" s="561"/>
      <c r="CT2" s="561"/>
      <c r="CU2" s="561"/>
      <c r="CV2" s="561"/>
      <c r="CW2" s="561"/>
      <c r="CX2" s="561"/>
      <c r="CY2" s="561"/>
      <c r="CZ2" s="561"/>
      <c r="DA2" s="561"/>
      <c r="DB2" s="561"/>
      <c r="DC2" s="561"/>
      <c r="DD2" s="561"/>
      <c r="DE2" s="561"/>
      <c r="DF2" s="561"/>
      <c r="DG2" s="561"/>
      <c r="DH2" s="561"/>
      <c r="DI2" s="561"/>
      <c r="DJ2" s="561"/>
      <c r="DK2" s="561"/>
      <c r="DL2" s="561"/>
      <c r="DM2" s="561"/>
      <c r="DN2" s="561"/>
      <c r="DO2" s="561"/>
      <c r="DP2" s="561"/>
      <c r="DQ2" s="561"/>
      <c r="DR2" s="561"/>
      <c r="DS2" s="561"/>
      <c r="DT2" s="561"/>
      <c r="DU2" s="561"/>
      <c r="DV2" s="561"/>
      <c r="DW2" s="561"/>
      <c r="DX2" s="561"/>
      <c r="DY2" s="561"/>
      <c r="DZ2" s="561"/>
      <c r="EA2" s="561"/>
      <c r="EB2" s="561"/>
      <c r="EC2" s="561"/>
      <c r="ED2" s="561"/>
      <c r="EE2" s="561"/>
      <c r="EF2" s="561"/>
      <c r="EG2" s="561"/>
      <c r="EH2" s="561"/>
      <c r="EI2" s="561"/>
      <c r="EJ2" s="561"/>
      <c r="EK2" s="561"/>
      <c r="EL2" s="561"/>
    </row>
    <row r="3" spans="1:142">
      <c r="A3" s="1" t="s">
        <v>259</v>
      </c>
      <c r="F3" s="1" t="s">
        <v>259</v>
      </c>
      <c r="G3" s="2"/>
      <c r="H3" s="2"/>
      <c r="I3" s="2"/>
      <c r="J3" s="2"/>
      <c r="K3" s="2"/>
      <c r="L3" s="2"/>
      <c r="M3" s="2"/>
      <c r="N3" s="2"/>
      <c r="O3" s="2"/>
      <c r="P3" s="2"/>
      <c r="Q3" s="2"/>
      <c r="S3" s="1" t="s">
        <v>259</v>
      </c>
      <c r="T3" s="2"/>
      <c r="U3" s="2"/>
      <c r="V3" s="2"/>
      <c r="W3" s="2"/>
      <c r="X3" s="2"/>
      <c r="Y3" s="2"/>
      <c r="Z3" s="2"/>
      <c r="AA3" s="2"/>
      <c r="AB3" s="2"/>
      <c r="AC3" s="2"/>
      <c r="AD3" s="2"/>
      <c r="AF3" s="561"/>
      <c r="AG3" s="561"/>
      <c r="AH3" s="561"/>
      <c r="AI3" s="561"/>
      <c r="AJ3" s="561"/>
      <c r="AK3" s="561"/>
      <c r="AL3" s="561"/>
      <c r="AM3" s="561"/>
      <c r="AN3" s="561"/>
      <c r="AO3" s="561"/>
      <c r="AP3" s="561"/>
      <c r="AQ3" s="561"/>
      <c r="AR3" s="561"/>
      <c r="AS3" s="561"/>
      <c r="AT3" s="561"/>
      <c r="AU3" s="561"/>
      <c r="AV3" s="561"/>
      <c r="AW3" s="561"/>
      <c r="AX3" s="561"/>
      <c r="AY3" s="561"/>
      <c r="AZ3" s="561"/>
      <c r="BA3" s="561"/>
      <c r="BB3" s="561"/>
      <c r="BC3" s="561"/>
      <c r="BD3" s="561"/>
      <c r="BE3" s="561"/>
      <c r="BF3" s="561"/>
      <c r="BG3" s="561"/>
      <c r="BH3" s="561"/>
      <c r="BI3" s="561"/>
      <c r="BJ3" s="561"/>
      <c r="BK3" s="561"/>
      <c r="BL3" s="561"/>
      <c r="BM3" s="561"/>
      <c r="BN3" s="561"/>
      <c r="BO3" s="561"/>
      <c r="BP3" s="561"/>
      <c r="BQ3" s="561"/>
      <c r="BR3" s="561"/>
      <c r="BS3" s="561"/>
      <c r="BT3" s="561"/>
      <c r="BU3" s="561"/>
      <c r="BV3" s="561"/>
      <c r="BW3" s="561"/>
      <c r="BX3" s="561"/>
      <c r="BY3" s="561"/>
      <c r="BZ3" s="561"/>
      <c r="CA3" s="561"/>
      <c r="CB3" s="561"/>
      <c r="CC3" s="561"/>
      <c r="CD3" s="561"/>
      <c r="CE3" s="561"/>
      <c r="CF3" s="561"/>
      <c r="CG3" s="561"/>
      <c r="CH3" s="561"/>
      <c r="CI3" s="561"/>
      <c r="CJ3" s="561"/>
      <c r="CK3" s="561"/>
      <c r="CL3" s="561"/>
      <c r="CM3" s="561"/>
      <c r="CN3" s="561"/>
      <c r="CO3" s="561"/>
      <c r="CP3" s="561"/>
      <c r="CQ3" s="561"/>
      <c r="CR3" s="561"/>
      <c r="CS3" s="561"/>
      <c r="CT3" s="561"/>
      <c r="CU3" s="561"/>
      <c r="CV3" s="561"/>
      <c r="CW3" s="561"/>
      <c r="CX3" s="561"/>
      <c r="CY3" s="561"/>
      <c r="CZ3" s="561"/>
      <c r="DA3" s="561"/>
      <c r="DB3" s="561"/>
      <c r="DC3" s="561"/>
      <c r="DD3" s="561"/>
      <c r="DE3" s="561"/>
      <c r="DF3" s="561"/>
      <c r="DG3" s="561"/>
      <c r="DH3" s="561"/>
      <c r="DI3" s="561"/>
      <c r="DJ3" s="561"/>
      <c r="DK3" s="561"/>
      <c r="DL3" s="561"/>
      <c r="DM3" s="561"/>
      <c r="DN3" s="561"/>
      <c r="DO3" s="561"/>
      <c r="DP3" s="561"/>
      <c r="DQ3" s="561"/>
      <c r="DR3" s="561"/>
      <c r="DS3" s="561"/>
      <c r="DT3" s="561"/>
      <c r="DU3" s="561"/>
      <c r="DV3" s="561"/>
      <c r="DW3" s="561"/>
      <c r="DX3" s="561"/>
      <c r="DY3" s="561"/>
      <c r="DZ3" s="561"/>
      <c r="EA3" s="561"/>
      <c r="EB3" s="561"/>
      <c r="EC3" s="561"/>
      <c r="ED3" s="561"/>
      <c r="EE3" s="561"/>
      <c r="EF3" s="561"/>
      <c r="EG3" s="561"/>
      <c r="EH3" s="561"/>
      <c r="EI3" s="561"/>
      <c r="EJ3" s="561"/>
      <c r="EK3" s="561"/>
      <c r="EL3" s="561"/>
    </row>
    <row r="4" spans="1:142">
      <c r="F4" s="2"/>
      <c r="G4" s="2"/>
      <c r="H4" s="2"/>
      <c r="I4" s="2"/>
      <c r="J4" s="2"/>
      <c r="K4" s="2"/>
      <c r="L4" s="2"/>
      <c r="M4" s="2"/>
      <c r="N4" s="2"/>
      <c r="O4" s="2"/>
      <c r="P4" s="2"/>
      <c r="Q4" s="2"/>
      <c r="S4" s="2"/>
      <c r="T4" s="2"/>
      <c r="U4" s="2"/>
      <c r="V4" s="2"/>
      <c r="W4" s="2"/>
      <c r="X4" s="2"/>
      <c r="Y4" s="2"/>
      <c r="Z4" s="2"/>
      <c r="AA4" s="2"/>
      <c r="AB4" s="2"/>
      <c r="AC4" s="2"/>
      <c r="AD4" s="2"/>
      <c r="AF4" s="561"/>
      <c r="AG4" s="561"/>
      <c r="AH4" s="561"/>
      <c r="AI4" s="561"/>
      <c r="AJ4" s="561"/>
      <c r="AK4" s="561"/>
      <c r="AL4" s="561"/>
      <c r="AM4" s="561"/>
      <c r="AN4" s="561"/>
      <c r="AO4" s="561"/>
      <c r="AP4" s="561"/>
      <c r="AQ4" s="561"/>
      <c r="AR4" s="561"/>
      <c r="AS4" s="561"/>
      <c r="AT4" s="561"/>
      <c r="AU4" s="561"/>
      <c r="AV4" s="561"/>
      <c r="AW4" s="561"/>
      <c r="AX4" s="561"/>
      <c r="AY4" s="561"/>
      <c r="AZ4" s="561"/>
      <c r="BA4" s="561"/>
      <c r="BB4" s="561"/>
      <c r="BC4" s="561"/>
      <c r="BD4" s="561"/>
      <c r="BE4" s="561"/>
      <c r="BF4" s="561"/>
      <c r="BG4" s="561"/>
      <c r="BH4" s="561"/>
      <c r="BI4" s="561"/>
      <c r="BJ4" s="561"/>
      <c r="BK4" s="561"/>
      <c r="BL4" s="561"/>
      <c r="BM4" s="561"/>
      <c r="BN4" s="561"/>
      <c r="BO4" s="561"/>
      <c r="BP4" s="561"/>
      <c r="BQ4" s="561"/>
      <c r="BR4" s="561"/>
      <c r="BS4" s="561"/>
      <c r="BT4" s="561"/>
      <c r="BU4" s="561"/>
      <c r="BV4" s="561"/>
      <c r="BW4" s="561"/>
      <c r="BX4" s="561"/>
      <c r="BY4" s="561"/>
      <c r="BZ4" s="561"/>
      <c r="CA4" s="561"/>
      <c r="CB4" s="561"/>
      <c r="CC4" s="561"/>
      <c r="CD4" s="561"/>
      <c r="CE4" s="561"/>
      <c r="CF4" s="561"/>
      <c r="CG4" s="561"/>
      <c r="CH4" s="561"/>
      <c r="CI4" s="561"/>
      <c r="CJ4" s="561"/>
      <c r="CK4" s="561"/>
      <c r="CL4" s="561"/>
      <c r="CM4" s="561"/>
      <c r="CN4" s="561"/>
      <c r="CO4" s="561"/>
      <c r="CP4" s="561"/>
      <c r="CQ4" s="561"/>
      <c r="CR4" s="561"/>
      <c r="CS4" s="561"/>
      <c r="CT4" s="561"/>
      <c r="CU4" s="561"/>
      <c r="CV4" s="561"/>
      <c r="CW4" s="561"/>
      <c r="CX4" s="561"/>
      <c r="CY4" s="561"/>
      <c r="CZ4" s="561"/>
      <c r="DA4" s="561"/>
      <c r="DB4" s="561"/>
      <c r="DC4" s="561"/>
      <c r="DD4" s="561"/>
      <c r="DE4" s="561"/>
      <c r="DF4" s="561"/>
      <c r="DG4" s="561"/>
      <c r="DH4" s="561"/>
      <c r="DI4" s="561"/>
      <c r="DJ4" s="561"/>
      <c r="DK4" s="561"/>
      <c r="DL4" s="561"/>
      <c r="DM4" s="561"/>
      <c r="DN4" s="561"/>
      <c r="DO4" s="561"/>
      <c r="DP4" s="561"/>
      <c r="DQ4" s="561"/>
      <c r="DR4" s="561"/>
      <c r="DS4" s="561"/>
      <c r="DT4" s="561"/>
      <c r="DU4" s="561"/>
      <c r="DV4" s="561"/>
      <c r="DW4" s="561"/>
      <c r="DX4" s="561"/>
      <c r="DY4" s="561"/>
      <c r="DZ4" s="561"/>
      <c r="EA4" s="561"/>
      <c r="EB4" s="561"/>
      <c r="EC4" s="561"/>
      <c r="ED4" s="561"/>
      <c r="EE4" s="561"/>
      <c r="EF4" s="561"/>
      <c r="EG4" s="561"/>
      <c r="EH4" s="561"/>
      <c r="EI4" s="561"/>
      <c r="EJ4" s="561"/>
      <c r="EK4" s="561"/>
      <c r="EL4" s="561"/>
    </row>
    <row r="5" spans="1:142" ht="16.2">
      <c r="A5" s="6" t="s">
        <v>697</v>
      </c>
      <c r="F5" s="660" t="s">
        <v>696</v>
      </c>
      <c r="G5" s="2"/>
      <c r="H5" s="2"/>
      <c r="I5" s="2"/>
      <c r="J5" s="2"/>
      <c r="K5" s="2"/>
      <c r="L5" s="2"/>
      <c r="M5" s="2"/>
      <c r="N5" s="2"/>
      <c r="O5" s="2"/>
      <c r="P5" s="2"/>
      <c r="Q5" s="2"/>
      <c r="S5" s="660" t="s">
        <v>786</v>
      </c>
      <c r="T5" s="2"/>
      <c r="U5" s="2"/>
      <c r="V5" s="2"/>
      <c r="W5" s="2"/>
      <c r="X5" s="2"/>
      <c r="Y5" s="2"/>
      <c r="Z5" s="2"/>
      <c r="AA5" s="2"/>
      <c r="AB5" s="2"/>
      <c r="AC5" s="2"/>
      <c r="AD5" s="2"/>
      <c r="AF5" s="561"/>
      <c r="AG5" s="561"/>
      <c r="AH5" s="561"/>
      <c r="AI5" s="561"/>
      <c r="AJ5" s="561"/>
      <c r="AK5" s="561"/>
      <c r="AL5" s="561"/>
      <c r="AM5" s="561"/>
      <c r="AN5" s="561"/>
      <c r="AO5" s="561"/>
      <c r="AP5" s="561"/>
      <c r="AQ5" s="561"/>
      <c r="AR5" s="561"/>
      <c r="AS5" s="561"/>
      <c r="AT5" s="561"/>
      <c r="AU5" s="561"/>
      <c r="AV5" s="561"/>
      <c r="AW5" s="561"/>
      <c r="AX5" s="561"/>
      <c r="AY5" s="561"/>
      <c r="AZ5" s="561"/>
      <c r="BA5" s="561"/>
      <c r="BB5" s="561"/>
      <c r="BC5" s="561"/>
      <c r="BD5" s="561"/>
      <c r="BE5" s="561"/>
      <c r="BF5" s="561"/>
      <c r="BG5" s="561"/>
      <c r="BH5" s="561"/>
      <c r="BI5" s="561"/>
      <c r="BJ5" s="561"/>
      <c r="BK5" s="561"/>
      <c r="BL5" s="561"/>
      <c r="BM5" s="561"/>
      <c r="BN5" s="561"/>
      <c r="BO5" s="561"/>
      <c r="BP5" s="561"/>
      <c r="BQ5" s="561"/>
      <c r="BR5" s="561"/>
      <c r="BS5" s="561"/>
      <c r="BT5" s="561"/>
      <c r="BU5" s="561"/>
      <c r="BV5" s="561"/>
      <c r="BW5" s="561"/>
      <c r="BX5" s="561"/>
      <c r="BY5" s="561"/>
      <c r="BZ5" s="561"/>
      <c r="CA5" s="561"/>
      <c r="CB5" s="561"/>
      <c r="CC5" s="561"/>
      <c r="CD5" s="561"/>
      <c r="CE5" s="561"/>
      <c r="CF5" s="561"/>
      <c r="CG5" s="561"/>
      <c r="CH5" s="561"/>
      <c r="CI5" s="561"/>
      <c r="CJ5" s="561"/>
      <c r="CK5" s="561"/>
      <c r="CL5" s="561"/>
      <c r="CM5" s="561"/>
      <c r="CN5" s="561"/>
      <c r="CO5" s="561"/>
      <c r="CP5" s="561"/>
      <c r="CQ5" s="561"/>
      <c r="CR5" s="561"/>
      <c r="CS5" s="561"/>
      <c r="CT5" s="561"/>
      <c r="CU5" s="561"/>
      <c r="CV5" s="561"/>
      <c r="CW5" s="561"/>
      <c r="CX5" s="561"/>
      <c r="CY5" s="561"/>
      <c r="CZ5" s="561"/>
      <c r="DA5" s="561"/>
      <c r="DB5" s="561"/>
      <c r="DC5" s="561"/>
      <c r="DD5" s="561"/>
      <c r="DE5" s="561"/>
      <c r="DF5" s="561"/>
      <c r="DG5" s="561"/>
      <c r="DH5" s="561"/>
      <c r="DI5" s="561"/>
      <c r="DJ5" s="561"/>
      <c r="DK5" s="561"/>
      <c r="DL5" s="561"/>
      <c r="DM5" s="561"/>
      <c r="DN5" s="561"/>
      <c r="DO5" s="561"/>
      <c r="DP5" s="561"/>
      <c r="DQ5" s="561"/>
      <c r="DR5" s="561"/>
      <c r="DS5" s="561"/>
      <c r="DT5" s="561"/>
      <c r="DU5" s="561"/>
      <c r="DV5" s="561"/>
      <c r="DW5" s="561"/>
      <c r="DX5" s="561"/>
      <c r="DY5" s="561"/>
      <c r="DZ5" s="561"/>
      <c r="EA5" s="561"/>
      <c r="EB5" s="561"/>
      <c r="EC5" s="561"/>
      <c r="ED5" s="561"/>
      <c r="EE5" s="561"/>
      <c r="EF5" s="561"/>
      <c r="EG5" s="561"/>
      <c r="EH5" s="561"/>
      <c r="EI5" s="561"/>
      <c r="EJ5" s="561"/>
      <c r="EK5" s="561"/>
      <c r="EL5" s="561"/>
    </row>
    <row r="6" spans="1:142">
      <c r="A6" s="594"/>
      <c r="F6" s="2"/>
      <c r="G6" s="2"/>
      <c r="H6" s="2"/>
      <c r="I6" s="2"/>
      <c r="J6" s="2"/>
      <c r="K6" s="2"/>
      <c r="L6" s="2"/>
      <c r="M6" s="2"/>
      <c r="N6" s="2"/>
      <c r="O6" s="2"/>
      <c r="P6" s="2"/>
      <c r="Q6" s="2"/>
      <c r="S6" s="2"/>
      <c r="T6" s="2"/>
      <c r="U6" s="2"/>
      <c r="V6" s="2"/>
      <c r="W6" s="2"/>
      <c r="X6" s="2"/>
      <c r="Y6" s="2"/>
      <c r="Z6" s="2"/>
      <c r="AA6" s="2"/>
      <c r="AB6" s="2"/>
      <c r="AC6" s="2"/>
      <c r="AD6" s="2"/>
      <c r="AF6" s="561"/>
      <c r="AG6" s="561"/>
      <c r="AH6" s="561"/>
      <c r="AI6" s="561"/>
      <c r="AJ6" s="561"/>
      <c r="AK6" s="561"/>
      <c r="AL6" s="561"/>
      <c r="AM6" s="561"/>
      <c r="AN6" s="561"/>
      <c r="AO6" s="561"/>
      <c r="AP6" s="561"/>
      <c r="AQ6" s="561"/>
      <c r="AR6" s="561"/>
      <c r="AS6" s="561"/>
      <c r="AT6" s="561"/>
      <c r="AU6" s="561"/>
      <c r="AV6" s="561"/>
      <c r="AW6" s="561"/>
      <c r="AX6" s="561"/>
      <c r="AY6" s="561"/>
      <c r="AZ6" s="561"/>
      <c r="BA6" s="561"/>
      <c r="BB6" s="561"/>
      <c r="BC6" s="561"/>
      <c r="BD6" s="561"/>
      <c r="BE6" s="561"/>
      <c r="BF6" s="561"/>
      <c r="BG6" s="561"/>
      <c r="BH6" s="561"/>
      <c r="BI6" s="561"/>
      <c r="BJ6" s="561"/>
      <c r="BK6" s="561"/>
      <c r="BL6" s="561"/>
      <c r="BM6" s="561"/>
      <c r="BN6" s="561"/>
      <c r="BO6" s="561"/>
      <c r="BP6" s="561"/>
      <c r="BQ6" s="561"/>
      <c r="BR6" s="561"/>
      <c r="BS6" s="561"/>
      <c r="BT6" s="561"/>
      <c r="BU6" s="561"/>
      <c r="BV6" s="561"/>
      <c r="BW6" s="561"/>
      <c r="BX6" s="561"/>
      <c r="BY6" s="561"/>
      <c r="BZ6" s="561"/>
      <c r="CA6" s="561"/>
      <c r="CB6" s="561"/>
      <c r="CC6" s="561"/>
      <c r="CD6" s="561"/>
      <c r="CE6" s="561"/>
      <c r="CF6" s="561"/>
      <c r="CG6" s="561"/>
      <c r="CH6" s="561"/>
      <c r="CI6" s="561"/>
      <c r="CJ6" s="561"/>
      <c r="CK6" s="561"/>
      <c r="CL6" s="561"/>
      <c r="CM6" s="561"/>
      <c r="CN6" s="561"/>
      <c r="CO6" s="561"/>
      <c r="CP6" s="561"/>
      <c r="CQ6" s="561"/>
      <c r="CR6" s="561"/>
      <c r="CS6" s="561"/>
      <c r="CT6" s="561"/>
      <c r="CU6" s="561"/>
      <c r="CV6" s="561"/>
      <c r="CW6" s="561"/>
      <c r="CX6" s="561"/>
      <c r="CY6" s="561"/>
      <c r="CZ6" s="561"/>
      <c r="DA6" s="561"/>
      <c r="DB6" s="561"/>
      <c r="DC6" s="561"/>
      <c r="DD6" s="561"/>
      <c r="DE6" s="561"/>
      <c r="DF6" s="561"/>
      <c r="DG6" s="561"/>
      <c r="DH6" s="561"/>
      <c r="DI6" s="561"/>
      <c r="DJ6" s="561"/>
      <c r="DK6" s="561"/>
      <c r="DL6" s="561"/>
      <c r="DM6" s="561"/>
      <c r="DN6" s="561"/>
      <c r="DO6" s="561"/>
      <c r="DP6" s="561"/>
      <c r="DQ6" s="561"/>
      <c r="DR6" s="561"/>
      <c r="DS6" s="561"/>
      <c r="DT6" s="561"/>
      <c r="DU6" s="561"/>
      <c r="DV6" s="561"/>
      <c r="DW6" s="561"/>
      <c r="DX6" s="561"/>
      <c r="DY6" s="561"/>
      <c r="DZ6" s="561"/>
      <c r="EA6" s="561"/>
      <c r="EB6" s="561"/>
      <c r="EC6" s="561"/>
      <c r="ED6" s="561"/>
      <c r="EE6" s="561"/>
      <c r="EF6" s="561"/>
      <c r="EG6" s="561"/>
      <c r="EH6" s="561"/>
      <c r="EI6" s="561"/>
      <c r="EJ6" s="561"/>
      <c r="EK6" s="561"/>
      <c r="EL6" s="561"/>
    </row>
    <row r="7" spans="1:142">
      <c r="A7" s="2" t="s">
        <v>821</v>
      </c>
      <c r="F7" s="2" t="s">
        <v>246</v>
      </c>
      <c r="G7" s="1462" t="s">
        <v>820</v>
      </c>
      <c r="H7" s="1462"/>
      <c r="I7" s="1462"/>
      <c r="J7" s="1462"/>
      <c r="K7" s="1462"/>
      <c r="L7" s="1462"/>
      <c r="M7" s="1462"/>
      <c r="N7" s="1462"/>
      <c r="O7" s="1462"/>
      <c r="P7" s="1462"/>
      <c r="Q7" s="1462"/>
      <c r="S7" s="2" t="s">
        <v>6</v>
      </c>
      <c r="T7" s="1462" t="s">
        <v>819</v>
      </c>
      <c r="U7" s="1462"/>
      <c r="V7" s="1462"/>
      <c r="W7" s="1462"/>
      <c r="X7" s="1462"/>
      <c r="Y7" s="1462"/>
      <c r="Z7" s="1462"/>
      <c r="AA7" s="1462"/>
      <c r="AB7" s="1462"/>
      <c r="AC7" s="1462"/>
      <c r="AD7" s="1462"/>
      <c r="AF7" s="561"/>
      <c r="AG7" s="561"/>
      <c r="AH7" s="561"/>
      <c r="AI7" s="561"/>
      <c r="AJ7" s="561"/>
      <c r="AK7" s="561"/>
      <c r="AL7" s="561"/>
      <c r="AM7" s="561"/>
      <c r="AN7" s="561"/>
      <c r="AO7" s="561"/>
      <c r="AP7" s="561"/>
      <c r="AQ7" s="561"/>
      <c r="AR7" s="561"/>
      <c r="AS7" s="561"/>
      <c r="AT7" s="561"/>
      <c r="AU7" s="561"/>
      <c r="AV7" s="561"/>
      <c r="AW7" s="561"/>
      <c r="AX7" s="561"/>
      <c r="AY7" s="561"/>
      <c r="AZ7" s="561"/>
      <c r="BA7" s="561"/>
      <c r="BB7" s="561"/>
      <c r="BC7" s="561"/>
      <c r="BD7" s="561"/>
      <c r="BE7" s="561"/>
      <c r="BF7" s="561"/>
      <c r="BG7" s="561"/>
      <c r="BH7" s="561"/>
      <c r="BI7" s="561"/>
      <c r="BJ7" s="561"/>
      <c r="BK7" s="561"/>
      <c r="BL7" s="561"/>
      <c r="BM7" s="561"/>
      <c r="BN7" s="561"/>
      <c r="BO7" s="561"/>
      <c r="BP7" s="561"/>
      <c r="BQ7" s="561"/>
      <c r="BR7" s="561"/>
      <c r="BS7" s="561"/>
      <c r="BT7" s="561"/>
      <c r="BU7" s="561"/>
      <c r="BV7" s="561"/>
      <c r="BW7" s="561"/>
      <c r="BX7" s="561"/>
      <c r="BY7" s="561"/>
      <c r="BZ7" s="561"/>
      <c r="CA7" s="561"/>
      <c r="CB7" s="561"/>
      <c r="CC7" s="561"/>
      <c r="CD7" s="561"/>
      <c r="CE7" s="561"/>
      <c r="CF7" s="561"/>
      <c r="CG7" s="561"/>
      <c r="CH7" s="561"/>
      <c r="CI7" s="561"/>
      <c r="CJ7" s="561"/>
      <c r="CK7" s="561"/>
      <c r="CL7" s="561"/>
      <c r="CM7" s="561"/>
      <c r="CN7" s="561"/>
      <c r="CO7" s="561"/>
      <c r="CP7" s="561"/>
      <c r="CQ7" s="561"/>
      <c r="CR7" s="561"/>
      <c r="CS7" s="561"/>
      <c r="CT7" s="561"/>
      <c r="CU7" s="561"/>
      <c r="CV7" s="561"/>
      <c r="CW7" s="561"/>
      <c r="CX7" s="561"/>
      <c r="CY7" s="561"/>
      <c r="CZ7" s="561"/>
      <c r="DA7" s="561"/>
      <c r="DB7" s="561"/>
      <c r="DC7" s="561"/>
      <c r="DD7" s="561"/>
      <c r="DE7" s="561"/>
      <c r="DF7" s="561"/>
      <c r="DG7" s="561"/>
      <c r="DH7" s="561"/>
      <c r="DI7" s="561"/>
      <c r="DJ7" s="561"/>
      <c r="DK7" s="561"/>
      <c r="DL7" s="561"/>
      <c r="DM7" s="561"/>
      <c r="DN7" s="561"/>
      <c r="DO7" s="561"/>
      <c r="DP7" s="561"/>
      <c r="DQ7" s="561"/>
      <c r="DR7" s="561"/>
      <c r="DS7" s="561"/>
      <c r="DT7" s="561"/>
      <c r="DU7" s="561"/>
      <c r="DV7" s="561"/>
      <c r="DW7" s="561"/>
      <c r="DX7" s="561"/>
      <c r="DY7" s="561"/>
      <c r="DZ7" s="561"/>
      <c r="EA7" s="561"/>
      <c r="EB7" s="561"/>
      <c r="EC7" s="561"/>
      <c r="ED7" s="561"/>
      <c r="EE7" s="561"/>
      <c r="EF7" s="561"/>
      <c r="EG7" s="561"/>
      <c r="EH7" s="561"/>
      <c r="EI7" s="561"/>
      <c r="EJ7" s="561"/>
      <c r="EK7" s="561"/>
      <c r="EL7" s="561"/>
    </row>
    <row r="8" spans="1:142">
      <c r="F8" s="2"/>
      <c r="G8" s="581"/>
      <c r="H8" s="2"/>
      <c r="I8" s="2"/>
      <c r="J8" s="2"/>
      <c r="K8" s="2"/>
      <c r="L8" s="582"/>
      <c r="M8" s="9"/>
      <c r="N8" s="9"/>
      <c r="O8" s="9"/>
      <c r="P8" s="9"/>
      <c r="Q8" s="9"/>
      <c r="S8" s="2"/>
      <c r="T8" s="1462"/>
      <c r="U8" s="1462"/>
      <c r="V8" s="1462"/>
      <c r="W8" s="1462"/>
      <c r="X8" s="1462"/>
      <c r="Y8" s="1462"/>
      <c r="Z8" s="1462"/>
      <c r="AA8" s="1462"/>
      <c r="AB8" s="1462"/>
      <c r="AC8" s="1462"/>
      <c r="AD8" s="1462"/>
      <c r="AF8" s="561"/>
      <c r="AG8" s="561"/>
      <c r="AH8" s="561"/>
      <c r="AI8" s="561"/>
      <c r="AJ8" s="561"/>
      <c r="AK8" s="561"/>
      <c r="AL8" s="561"/>
      <c r="AM8" s="561"/>
      <c r="AN8" s="561"/>
      <c r="AO8" s="561"/>
      <c r="AP8" s="561"/>
      <c r="AQ8" s="561"/>
      <c r="AR8" s="561"/>
      <c r="AS8" s="561"/>
      <c r="AT8" s="561"/>
      <c r="AU8" s="561"/>
      <c r="AV8" s="561"/>
      <c r="AW8" s="561"/>
      <c r="AX8" s="561"/>
      <c r="AY8" s="561"/>
      <c r="AZ8" s="561"/>
      <c r="BA8" s="561"/>
      <c r="BB8" s="561"/>
      <c r="BC8" s="561"/>
      <c r="BD8" s="561"/>
      <c r="BE8" s="561"/>
      <c r="BF8" s="561"/>
      <c r="BG8" s="561"/>
      <c r="BH8" s="561"/>
      <c r="BI8" s="561"/>
      <c r="BJ8" s="561"/>
      <c r="BK8" s="561"/>
      <c r="BL8" s="561"/>
      <c r="BM8" s="561"/>
      <c r="BN8" s="561"/>
      <c r="BO8" s="561"/>
      <c r="BP8" s="561"/>
      <c r="BQ8" s="561"/>
      <c r="BR8" s="561"/>
      <c r="BS8" s="561"/>
      <c r="BT8" s="561"/>
      <c r="BU8" s="561"/>
      <c r="BV8" s="561"/>
      <c r="BW8" s="561"/>
      <c r="BX8" s="561"/>
      <c r="BY8" s="561"/>
      <c r="BZ8" s="561"/>
      <c r="CA8" s="561"/>
      <c r="CB8" s="561"/>
      <c r="CC8" s="561"/>
      <c r="CD8" s="561"/>
      <c r="CE8" s="561"/>
      <c r="CF8" s="561"/>
      <c r="CG8" s="561"/>
      <c r="CH8" s="561"/>
      <c r="CI8" s="561"/>
      <c r="CJ8" s="561"/>
      <c r="CK8" s="561"/>
      <c r="CL8" s="561"/>
      <c r="CM8" s="561"/>
      <c r="CN8" s="561"/>
      <c r="CO8" s="561"/>
      <c r="CP8" s="561"/>
      <c r="CQ8" s="561"/>
      <c r="CR8" s="561"/>
      <c r="CS8" s="561"/>
      <c r="CT8" s="561"/>
      <c r="CU8" s="561"/>
      <c r="CV8" s="561"/>
      <c r="CW8" s="561"/>
      <c r="CX8" s="561"/>
      <c r="CY8" s="561"/>
      <c r="CZ8" s="561"/>
      <c r="DA8" s="561"/>
      <c r="DB8" s="561"/>
      <c r="DC8" s="561"/>
      <c r="DD8" s="561"/>
      <c r="DE8" s="561"/>
      <c r="DF8" s="561"/>
      <c r="DG8" s="561"/>
      <c r="DH8" s="561"/>
      <c r="DI8" s="561"/>
      <c r="DJ8" s="561"/>
      <c r="DK8" s="561"/>
      <c r="DL8" s="561"/>
      <c r="DM8" s="561"/>
      <c r="DN8" s="561"/>
      <c r="DO8" s="561"/>
      <c r="DP8" s="561"/>
      <c r="DQ8" s="561"/>
      <c r="DR8" s="561"/>
      <c r="DS8" s="561"/>
      <c r="DT8" s="561"/>
      <c r="DU8" s="561"/>
      <c r="DV8" s="561"/>
      <c r="DW8" s="561"/>
      <c r="DX8" s="561"/>
      <c r="DY8" s="561"/>
      <c r="DZ8" s="561"/>
      <c r="EA8" s="561"/>
      <c r="EB8" s="561"/>
      <c r="EC8" s="561"/>
      <c r="ED8" s="561"/>
      <c r="EE8" s="561"/>
      <c r="EF8" s="561"/>
      <c r="EG8" s="561"/>
      <c r="EH8" s="561"/>
      <c r="EI8" s="561"/>
      <c r="EJ8" s="561"/>
      <c r="EK8" s="561"/>
      <c r="EL8" s="561"/>
    </row>
    <row r="9" spans="1:142">
      <c r="A9" s="2" t="s">
        <v>818</v>
      </c>
      <c r="B9" s="593"/>
      <c r="C9" s="593"/>
      <c r="F9" s="2"/>
      <c r="G9" s="581" t="s">
        <v>817</v>
      </c>
      <c r="H9" s="2"/>
      <c r="I9" s="2"/>
      <c r="J9" s="2"/>
      <c r="K9" s="2"/>
      <c r="L9" s="582"/>
      <c r="M9" s="9"/>
      <c r="N9" s="9"/>
      <c r="O9" s="9"/>
      <c r="P9" s="9"/>
      <c r="Q9" s="9"/>
      <c r="S9" s="2"/>
      <c r="T9" s="581"/>
      <c r="U9" s="2"/>
      <c r="V9" s="2"/>
      <c r="W9" s="2"/>
      <c r="X9" s="2"/>
      <c r="Y9" s="582"/>
      <c r="Z9" s="9"/>
      <c r="AA9" s="9"/>
      <c r="AB9" s="9"/>
      <c r="AC9" s="9"/>
      <c r="AD9" s="9"/>
      <c r="AF9" s="561"/>
      <c r="AG9" s="561"/>
      <c r="AH9" s="561"/>
      <c r="AI9" s="561"/>
      <c r="AJ9" s="561"/>
      <c r="AK9" s="561"/>
      <c r="AL9" s="561"/>
      <c r="AM9" s="561"/>
      <c r="AN9" s="561"/>
      <c r="AO9" s="561"/>
      <c r="AP9" s="561"/>
      <c r="AQ9" s="561"/>
      <c r="AR9" s="561"/>
      <c r="AS9" s="561"/>
      <c r="AT9" s="561"/>
      <c r="AU9" s="561"/>
      <c r="AV9" s="561"/>
      <c r="AW9" s="561"/>
      <c r="AX9" s="561"/>
      <c r="AY9" s="561"/>
      <c r="AZ9" s="561"/>
      <c r="BA9" s="561"/>
      <c r="BB9" s="561"/>
      <c r="BC9" s="561"/>
      <c r="BD9" s="561"/>
      <c r="BE9" s="561"/>
      <c r="BF9" s="561"/>
      <c r="BG9" s="561"/>
      <c r="BH9" s="561"/>
      <c r="BI9" s="561"/>
      <c r="BJ9" s="561"/>
      <c r="BK9" s="561"/>
      <c r="BL9" s="561"/>
      <c r="BM9" s="561"/>
      <c r="BN9" s="561"/>
      <c r="BO9" s="561"/>
      <c r="BP9" s="561"/>
      <c r="BQ9" s="561"/>
      <c r="BR9" s="561"/>
      <c r="BS9" s="561"/>
      <c r="BT9" s="561"/>
      <c r="BU9" s="561"/>
      <c r="BV9" s="561"/>
      <c r="BW9" s="561"/>
      <c r="BX9" s="561"/>
      <c r="BY9" s="561"/>
      <c r="BZ9" s="561"/>
      <c r="CA9" s="561"/>
      <c r="CB9" s="561"/>
      <c r="CC9" s="561"/>
      <c r="CD9" s="561"/>
      <c r="CE9" s="561"/>
      <c r="CF9" s="561"/>
      <c r="CG9" s="561"/>
      <c r="CH9" s="561"/>
      <c r="CI9" s="561"/>
      <c r="CJ9" s="561"/>
      <c r="CK9" s="561"/>
      <c r="CL9" s="561"/>
      <c r="CM9" s="561"/>
      <c r="CN9" s="561"/>
      <c r="CO9" s="561"/>
      <c r="CP9" s="561"/>
      <c r="CQ9" s="561"/>
      <c r="CR9" s="561"/>
      <c r="CS9" s="561"/>
      <c r="CT9" s="561"/>
      <c r="CU9" s="561"/>
      <c r="CV9" s="561"/>
      <c r="CW9" s="561"/>
      <c r="CX9" s="561"/>
      <c r="CY9" s="561"/>
      <c r="CZ9" s="561"/>
      <c r="DA9" s="561"/>
      <c r="DB9" s="561"/>
      <c r="DC9" s="561"/>
      <c r="DD9" s="561"/>
      <c r="DE9" s="561"/>
      <c r="DF9" s="561"/>
      <c r="DG9" s="561"/>
      <c r="DH9" s="561"/>
      <c r="DI9" s="561"/>
      <c r="DJ9" s="561"/>
      <c r="DK9" s="561"/>
      <c r="DL9" s="561"/>
      <c r="DM9" s="561"/>
      <c r="DN9" s="561"/>
      <c r="DO9" s="561"/>
      <c r="DP9" s="561"/>
      <c r="DQ9" s="561"/>
      <c r="DR9" s="561"/>
      <c r="DS9" s="561"/>
      <c r="DT9" s="561"/>
      <c r="DU9" s="561"/>
      <c r="DV9" s="561"/>
      <c r="DW9" s="561"/>
      <c r="DX9" s="561"/>
      <c r="DY9" s="561"/>
      <c r="DZ9" s="561"/>
      <c r="EA9" s="561"/>
      <c r="EB9" s="561"/>
      <c r="EC9" s="561"/>
      <c r="ED9" s="561"/>
      <c r="EE9" s="561"/>
      <c r="EF9" s="561"/>
      <c r="EG9" s="561"/>
      <c r="EH9" s="561"/>
      <c r="EI9" s="561"/>
      <c r="EJ9" s="561"/>
      <c r="EK9" s="561"/>
      <c r="EL9" s="561"/>
    </row>
    <row r="10" spans="1:142">
      <c r="A10" s="2" t="s">
        <v>816</v>
      </c>
      <c r="B10" s="591"/>
      <c r="C10" s="591"/>
      <c r="F10" s="2"/>
      <c r="G10" s="581"/>
      <c r="H10" s="2"/>
      <c r="I10" s="2"/>
      <c r="J10" s="2"/>
      <c r="K10" s="2"/>
      <c r="L10" s="584"/>
      <c r="M10" s="9"/>
      <c r="N10" s="9"/>
      <c r="O10" s="9"/>
      <c r="P10" s="9"/>
      <c r="Q10" s="9"/>
      <c r="S10" s="2"/>
      <c r="T10" s="28" t="s">
        <v>683</v>
      </c>
      <c r="U10" s="2"/>
      <c r="V10" s="2"/>
      <c r="W10" s="2"/>
      <c r="X10" s="2"/>
      <c r="Y10" s="584"/>
      <c r="Z10" s="9"/>
      <c r="AA10" s="9"/>
      <c r="AB10" s="9"/>
      <c r="AC10" s="9"/>
      <c r="AD10" s="9"/>
      <c r="AF10" s="561"/>
      <c r="AG10" s="561"/>
      <c r="AH10" s="561"/>
      <c r="AI10" s="561"/>
      <c r="AJ10" s="561"/>
      <c r="AK10" s="561"/>
      <c r="AL10" s="561"/>
      <c r="AM10" s="561"/>
      <c r="AN10" s="561"/>
      <c r="AO10" s="561"/>
      <c r="AP10" s="561"/>
      <c r="AQ10" s="561"/>
      <c r="AR10" s="561"/>
      <c r="AS10" s="561"/>
      <c r="AT10" s="561"/>
      <c r="AU10" s="561"/>
      <c r="AV10" s="561"/>
      <c r="AW10" s="561"/>
      <c r="AX10" s="561"/>
      <c r="AY10" s="561"/>
      <c r="AZ10" s="561"/>
      <c r="BA10" s="561"/>
      <c r="BB10" s="561"/>
      <c r="BC10" s="561"/>
      <c r="BD10" s="561"/>
      <c r="BE10" s="561"/>
      <c r="BF10" s="561"/>
      <c r="BG10" s="561"/>
      <c r="BH10" s="561"/>
      <c r="BI10" s="561"/>
      <c r="BJ10" s="561"/>
      <c r="BK10" s="561"/>
      <c r="BL10" s="561"/>
      <c r="BM10" s="561"/>
      <c r="BN10" s="561"/>
      <c r="BO10" s="561"/>
      <c r="BP10" s="561"/>
      <c r="BQ10" s="561"/>
      <c r="BR10" s="561"/>
      <c r="BS10" s="561"/>
      <c r="BT10" s="561"/>
      <c r="BU10" s="561"/>
      <c r="BV10" s="561"/>
      <c r="BW10" s="561"/>
      <c r="BX10" s="561"/>
      <c r="BY10" s="561"/>
      <c r="BZ10" s="561"/>
      <c r="CA10" s="561"/>
      <c r="CB10" s="561"/>
      <c r="CC10" s="561"/>
      <c r="CD10" s="561"/>
      <c r="CE10" s="561"/>
      <c r="CF10" s="561"/>
      <c r="CG10" s="561"/>
      <c r="CH10" s="561"/>
      <c r="CI10" s="561"/>
      <c r="CJ10" s="561"/>
      <c r="CK10" s="561"/>
      <c r="CL10" s="561"/>
      <c r="CM10" s="561"/>
      <c r="CN10" s="561"/>
      <c r="CO10" s="561"/>
      <c r="CP10" s="561"/>
      <c r="CQ10" s="561"/>
      <c r="CR10" s="561"/>
      <c r="CS10" s="561"/>
      <c r="CT10" s="561"/>
      <c r="CU10" s="561"/>
      <c r="CV10" s="561"/>
      <c r="CW10" s="561"/>
      <c r="CX10" s="561"/>
      <c r="CY10" s="561"/>
      <c r="CZ10" s="561"/>
      <c r="DA10" s="561"/>
      <c r="DB10" s="561"/>
      <c r="DC10" s="561"/>
      <c r="DD10" s="561"/>
      <c r="DE10" s="561"/>
      <c r="DF10" s="561"/>
      <c r="DG10" s="561"/>
      <c r="DH10" s="561"/>
      <c r="DI10" s="561"/>
      <c r="DJ10" s="561"/>
      <c r="DK10" s="561"/>
      <c r="DL10" s="561"/>
      <c r="DM10" s="561"/>
      <c r="DN10" s="561"/>
      <c r="DO10" s="561"/>
      <c r="DP10" s="561"/>
      <c r="DQ10" s="561"/>
      <c r="DR10" s="561"/>
      <c r="DS10" s="561"/>
      <c r="DT10" s="561"/>
      <c r="DU10" s="561"/>
      <c r="DV10" s="561"/>
      <c r="DW10" s="561"/>
      <c r="DX10" s="561"/>
      <c r="DY10" s="561"/>
      <c r="DZ10" s="561"/>
      <c r="EA10" s="561"/>
      <c r="EB10" s="561"/>
      <c r="EC10" s="561"/>
      <c r="ED10" s="561"/>
      <c r="EE10" s="561"/>
      <c r="EF10" s="561"/>
      <c r="EG10" s="561"/>
      <c r="EH10" s="561"/>
      <c r="EI10" s="561"/>
      <c r="EJ10" s="561"/>
      <c r="EK10" s="561"/>
      <c r="EL10" s="561"/>
    </row>
    <row r="11" spans="1:142">
      <c r="B11" s="591"/>
      <c r="C11" s="591"/>
      <c r="F11" s="2"/>
      <c r="G11" s="581" t="s">
        <v>815</v>
      </c>
      <c r="H11" s="2"/>
      <c r="I11" s="2"/>
      <c r="J11" s="2"/>
      <c r="K11" s="2"/>
      <c r="L11" s="584"/>
      <c r="M11" s="9"/>
      <c r="N11" s="9"/>
      <c r="O11" s="9"/>
      <c r="P11" s="9"/>
      <c r="Q11" s="9"/>
      <c r="S11" s="2"/>
      <c r="T11" s="581"/>
      <c r="U11" s="2"/>
      <c r="V11" s="2"/>
      <c r="W11" s="2"/>
      <c r="X11" s="2"/>
      <c r="Y11" s="584"/>
      <c r="Z11" s="9"/>
      <c r="AA11" s="9"/>
      <c r="AB11" s="9"/>
      <c r="AC11" s="9"/>
      <c r="AD11" s="9"/>
      <c r="AF11" s="561"/>
      <c r="AG11" s="561"/>
      <c r="AH11" s="561"/>
      <c r="AI11" s="561"/>
      <c r="AJ11" s="561"/>
      <c r="AK11" s="561"/>
      <c r="AL11" s="561"/>
      <c r="AM11" s="561"/>
      <c r="AN11" s="561"/>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561"/>
      <c r="BK11" s="561"/>
      <c r="BL11" s="561"/>
      <c r="BM11" s="561"/>
      <c r="BN11" s="561"/>
      <c r="BO11" s="561"/>
      <c r="BP11" s="561"/>
      <c r="BQ11" s="561"/>
      <c r="BR11" s="561"/>
      <c r="BS11" s="561"/>
      <c r="BT11" s="561"/>
      <c r="BU11" s="561"/>
      <c r="BV11" s="561"/>
      <c r="BW11" s="561"/>
      <c r="BX11" s="561"/>
      <c r="BY11" s="561"/>
      <c r="BZ11" s="561"/>
      <c r="CA11" s="561"/>
      <c r="CB11" s="561"/>
      <c r="CC11" s="561"/>
      <c r="CD11" s="561"/>
      <c r="CE11" s="561"/>
      <c r="CF11" s="561"/>
      <c r="CG11" s="561"/>
      <c r="CH11" s="561"/>
      <c r="CI11" s="561"/>
      <c r="CJ11" s="561"/>
      <c r="CK11" s="561"/>
      <c r="CL11" s="561"/>
      <c r="CM11" s="561"/>
      <c r="CN11" s="561"/>
      <c r="CO11" s="561"/>
      <c r="CP11" s="561"/>
      <c r="CQ11" s="561"/>
      <c r="CR11" s="561"/>
      <c r="CS11" s="561"/>
      <c r="CT11" s="561"/>
      <c r="CU11" s="561"/>
      <c r="CV11" s="561"/>
      <c r="CW11" s="561"/>
      <c r="CX11" s="561"/>
      <c r="CY11" s="561"/>
      <c r="CZ11" s="561"/>
      <c r="DA11" s="561"/>
      <c r="DB11" s="561"/>
      <c r="DC11" s="561"/>
      <c r="DD11" s="561"/>
      <c r="DE11" s="561"/>
      <c r="DF11" s="561"/>
      <c r="DG11" s="561"/>
      <c r="DH11" s="561"/>
      <c r="DI11" s="561"/>
      <c r="DJ11" s="561"/>
      <c r="DK11" s="561"/>
      <c r="DL11" s="561"/>
      <c r="DM11" s="561"/>
      <c r="DN11" s="561"/>
      <c r="DO11" s="561"/>
      <c r="DP11" s="561"/>
      <c r="DQ11" s="561"/>
      <c r="DR11" s="561"/>
      <c r="DS11" s="561"/>
      <c r="DT11" s="561"/>
      <c r="DU11" s="561"/>
      <c r="DV11" s="561"/>
      <c r="DW11" s="561"/>
      <c r="DX11" s="561"/>
      <c r="DY11" s="561"/>
      <c r="DZ11" s="561"/>
      <c r="EA11" s="561"/>
      <c r="EB11" s="561"/>
      <c r="EC11" s="561"/>
      <c r="ED11" s="561"/>
      <c r="EE11" s="561"/>
      <c r="EF11" s="561"/>
      <c r="EG11" s="561"/>
      <c r="EH11" s="561"/>
      <c r="EI11" s="561"/>
      <c r="EJ11" s="561"/>
      <c r="EK11" s="561"/>
      <c r="EL11" s="561"/>
    </row>
    <row r="12" spans="1:142">
      <c r="B12" s="590"/>
      <c r="C12" s="708" t="s">
        <v>814</v>
      </c>
      <c r="D12" s="708" t="s">
        <v>813</v>
      </c>
      <c r="F12" s="2"/>
      <c r="G12" s="5"/>
      <c r="H12" s="5"/>
      <c r="I12" s="5"/>
      <c r="J12" s="5"/>
      <c r="K12" s="5"/>
      <c r="L12" s="5"/>
      <c r="M12" s="5"/>
      <c r="N12" s="5"/>
      <c r="O12" s="5"/>
      <c r="P12" s="5"/>
      <c r="Q12" s="5"/>
      <c r="S12" s="2"/>
      <c r="T12" s="5"/>
      <c r="U12" s="5"/>
      <c r="V12" s="5"/>
      <c r="W12" s="5"/>
      <c r="X12" s="5"/>
      <c r="Y12" s="5"/>
      <c r="Z12" s="5"/>
      <c r="AA12" s="5"/>
      <c r="AB12" s="5"/>
      <c r="AC12" s="5"/>
      <c r="AD12" s="5"/>
      <c r="AF12" s="561"/>
      <c r="AG12" s="561"/>
      <c r="AH12" s="561"/>
      <c r="AI12" s="561"/>
      <c r="AJ12" s="561"/>
      <c r="AK12" s="561"/>
      <c r="AL12" s="561"/>
      <c r="AM12" s="561"/>
      <c r="AN12" s="561"/>
      <c r="AO12" s="561"/>
      <c r="AP12" s="561"/>
      <c r="AQ12" s="561"/>
      <c r="AR12" s="561"/>
      <c r="AS12" s="561"/>
      <c r="AT12" s="561"/>
      <c r="AU12" s="561"/>
      <c r="AV12" s="561"/>
      <c r="AW12" s="561"/>
      <c r="AX12" s="561"/>
      <c r="AY12" s="561"/>
      <c r="AZ12" s="561"/>
      <c r="BA12" s="561"/>
      <c r="BB12" s="561"/>
      <c r="BC12" s="561"/>
      <c r="BD12" s="561"/>
      <c r="BE12" s="561"/>
      <c r="BF12" s="561"/>
      <c r="BG12" s="561"/>
      <c r="BH12" s="561"/>
      <c r="BI12" s="561"/>
      <c r="BJ12" s="561"/>
      <c r="BK12" s="561"/>
      <c r="BL12" s="561"/>
      <c r="BM12" s="561"/>
      <c r="BN12" s="561"/>
      <c r="BO12" s="561"/>
      <c r="BP12" s="561"/>
      <c r="BQ12" s="561"/>
      <c r="BR12" s="561"/>
      <c r="BS12" s="561"/>
      <c r="BT12" s="561"/>
      <c r="BU12" s="561"/>
      <c r="BV12" s="561"/>
      <c r="BW12" s="561"/>
      <c r="BX12" s="561"/>
      <c r="BY12" s="561"/>
      <c r="BZ12" s="561"/>
      <c r="CA12" s="561"/>
      <c r="CB12" s="561"/>
      <c r="CC12" s="561"/>
      <c r="CD12" s="561"/>
      <c r="CE12" s="561"/>
      <c r="CF12" s="561"/>
      <c r="CG12" s="561"/>
      <c r="CH12" s="561"/>
      <c r="CI12" s="561"/>
      <c r="CJ12" s="561"/>
      <c r="CK12" s="561"/>
      <c r="CL12" s="561"/>
      <c r="CM12" s="561"/>
      <c r="CN12" s="561"/>
      <c r="CO12" s="561"/>
      <c r="CP12" s="561"/>
      <c r="CQ12" s="561"/>
      <c r="CR12" s="561"/>
      <c r="CS12" s="561"/>
      <c r="CT12" s="561"/>
      <c r="CU12" s="561"/>
      <c r="CV12" s="561"/>
      <c r="CW12" s="561"/>
      <c r="CX12" s="561"/>
      <c r="CY12" s="561"/>
      <c r="CZ12" s="561"/>
      <c r="DA12" s="561"/>
      <c r="DB12" s="561"/>
      <c r="DC12" s="561"/>
      <c r="DD12" s="561"/>
      <c r="DE12" s="561"/>
      <c r="DF12" s="561"/>
      <c r="DG12" s="561"/>
      <c r="DH12" s="561"/>
      <c r="DI12" s="561"/>
      <c r="DJ12" s="561"/>
      <c r="DK12" s="561"/>
      <c r="DL12" s="561"/>
      <c r="DM12" s="561"/>
      <c r="DN12" s="561"/>
      <c r="DO12" s="561"/>
      <c r="DP12" s="561"/>
      <c r="DQ12" s="561"/>
      <c r="DR12" s="561"/>
      <c r="DS12" s="561"/>
      <c r="DT12" s="561"/>
      <c r="DU12" s="561"/>
      <c r="DV12" s="561"/>
      <c r="DW12" s="561"/>
      <c r="DX12" s="561"/>
      <c r="DY12" s="561"/>
      <c r="DZ12" s="561"/>
      <c r="EA12" s="561"/>
      <c r="EB12" s="561"/>
      <c r="EC12" s="561"/>
      <c r="ED12" s="561"/>
      <c r="EE12" s="561"/>
      <c r="EF12" s="561"/>
      <c r="EG12" s="561"/>
      <c r="EH12" s="561"/>
      <c r="EI12" s="561"/>
      <c r="EJ12" s="561"/>
      <c r="EK12" s="561"/>
      <c r="EL12" s="561"/>
    </row>
    <row r="13" spans="1:142" ht="15.75" customHeight="1">
      <c r="B13" s="707" t="s">
        <v>51</v>
      </c>
      <c r="C13" s="691">
        <v>2.5000000000000001E-2</v>
      </c>
      <c r="D13" s="691">
        <v>0.03</v>
      </c>
      <c r="F13" s="2"/>
      <c r="G13" s="28" t="s">
        <v>683</v>
      </c>
      <c r="H13" s="5"/>
      <c r="I13" s="5"/>
      <c r="J13" s="5"/>
      <c r="K13" s="5"/>
      <c r="L13" s="5"/>
      <c r="M13" s="5"/>
      <c r="N13" s="5"/>
      <c r="O13" s="5"/>
      <c r="P13" s="5"/>
      <c r="Q13" s="5"/>
      <c r="S13" s="2"/>
      <c r="T13" s="28"/>
      <c r="U13" s="5"/>
      <c r="V13" s="5"/>
      <c r="W13" s="5"/>
      <c r="X13" s="5"/>
      <c r="Y13" s="5"/>
      <c r="Z13" s="5"/>
      <c r="AA13" s="5"/>
      <c r="AB13" s="5"/>
      <c r="AC13" s="5"/>
      <c r="AD13" s="5"/>
      <c r="AF13" s="561"/>
      <c r="AG13" s="561"/>
      <c r="AH13" s="561"/>
      <c r="AI13" s="561"/>
      <c r="AJ13" s="561"/>
      <c r="AK13" s="561"/>
      <c r="AL13" s="561"/>
      <c r="AM13" s="561"/>
      <c r="AN13" s="561"/>
      <c r="AO13" s="561"/>
      <c r="AP13" s="561"/>
      <c r="AQ13" s="561"/>
      <c r="AR13" s="561"/>
      <c r="AS13" s="561"/>
      <c r="AT13" s="561"/>
      <c r="AU13" s="561"/>
      <c r="AV13" s="561"/>
      <c r="AW13" s="561"/>
      <c r="AX13" s="561"/>
      <c r="AY13" s="561"/>
      <c r="AZ13" s="561"/>
      <c r="BA13" s="561"/>
      <c r="BB13" s="561"/>
      <c r="BC13" s="561"/>
      <c r="BD13" s="561"/>
      <c r="BE13" s="561"/>
      <c r="BF13" s="561"/>
      <c r="BG13" s="561"/>
      <c r="BH13" s="561"/>
      <c r="BI13" s="561"/>
      <c r="BJ13" s="561"/>
      <c r="BK13" s="561"/>
      <c r="BL13" s="561"/>
      <c r="BM13" s="561"/>
      <c r="BN13" s="561"/>
      <c r="BO13" s="561"/>
      <c r="BP13" s="561"/>
      <c r="BQ13" s="561"/>
      <c r="BR13" s="561"/>
      <c r="BS13" s="561"/>
      <c r="BT13" s="561"/>
      <c r="BU13" s="561"/>
      <c r="BV13" s="561"/>
      <c r="BW13" s="561"/>
      <c r="BX13" s="561"/>
      <c r="BY13" s="561"/>
      <c r="BZ13" s="561"/>
      <c r="CA13" s="561"/>
      <c r="CB13" s="561"/>
      <c r="CC13" s="561"/>
      <c r="CD13" s="561"/>
      <c r="CE13" s="561"/>
      <c r="CF13" s="561"/>
      <c r="CG13" s="561"/>
      <c r="CH13" s="561"/>
      <c r="CI13" s="561"/>
      <c r="CJ13" s="561"/>
      <c r="CK13" s="561"/>
      <c r="CL13" s="561"/>
      <c r="CM13" s="561"/>
      <c r="CN13" s="561"/>
      <c r="CO13" s="561"/>
      <c r="CP13" s="561"/>
      <c r="CQ13" s="561"/>
      <c r="CR13" s="561"/>
      <c r="CS13" s="561"/>
      <c r="CT13" s="561"/>
      <c r="CU13" s="561"/>
      <c r="CV13" s="561"/>
      <c r="CW13" s="561"/>
      <c r="CX13" s="561"/>
      <c r="CY13" s="561"/>
      <c r="CZ13" s="561"/>
      <c r="DA13" s="561"/>
      <c r="DB13" s="561"/>
      <c r="DC13" s="561"/>
      <c r="DD13" s="561"/>
      <c r="DE13" s="561"/>
      <c r="DF13" s="561"/>
      <c r="DG13" s="561"/>
      <c r="DH13" s="561"/>
      <c r="DI13" s="561"/>
      <c r="DJ13" s="561"/>
      <c r="DK13" s="561"/>
      <c r="DL13" s="561"/>
      <c r="DM13" s="561"/>
      <c r="DN13" s="561"/>
      <c r="DO13" s="561"/>
      <c r="DP13" s="561"/>
      <c r="DQ13" s="561"/>
      <c r="DR13" s="561"/>
      <c r="DS13" s="561"/>
      <c r="DT13" s="561"/>
      <c r="DU13" s="561"/>
      <c r="DV13" s="561"/>
      <c r="DW13" s="561"/>
      <c r="DX13" s="561"/>
      <c r="DY13" s="561"/>
      <c r="DZ13" s="561"/>
      <c r="EA13" s="561"/>
      <c r="EB13" s="561"/>
      <c r="EC13" s="561"/>
      <c r="ED13" s="561"/>
      <c r="EE13" s="561"/>
      <c r="EF13" s="561"/>
      <c r="EG13" s="561"/>
      <c r="EH13" s="561"/>
      <c r="EI13" s="561"/>
      <c r="EJ13" s="561"/>
      <c r="EK13" s="561"/>
      <c r="EL13" s="561"/>
    </row>
    <row r="14" spans="1:142" ht="15.75" customHeight="1">
      <c r="B14" s="707" t="s">
        <v>793</v>
      </c>
      <c r="C14" s="691">
        <v>5.5E-2</v>
      </c>
      <c r="D14" s="691">
        <v>0.06</v>
      </c>
      <c r="F14" s="2"/>
      <c r="G14" s="581"/>
      <c r="H14" s="2"/>
      <c r="I14" s="2"/>
      <c r="J14" s="2"/>
      <c r="K14" s="2"/>
      <c r="L14" s="584"/>
      <c r="M14" s="9"/>
      <c r="N14" s="9"/>
      <c r="O14" s="9"/>
      <c r="P14" s="9"/>
      <c r="Q14" s="9"/>
      <c r="S14" s="2"/>
      <c r="T14" s="581"/>
      <c r="U14" s="2"/>
      <c r="V14" s="2"/>
      <c r="W14" s="2"/>
      <c r="X14" s="2"/>
      <c r="Y14" s="584"/>
      <c r="Z14" s="9"/>
      <c r="AA14" s="9"/>
      <c r="AB14" s="9"/>
      <c r="AC14" s="9"/>
      <c r="AD14" s="9"/>
      <c r="AF14" s="561"/>
      <c r="AG14" s="561"/>
      <c r="AH14" s="561"/>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1"/>
      <c r="BW14" s="561"/>
      <c r="BX14" s="561"/>
      <c r="BY14" s="561"/>
      <c r="BZ14" s="561"/>
      <c r="CA14" s="561"/>
      <c r="CB14" s="561"/>
      <c r="CC14" s="561"/>
      <c r="CD14" s="561"/>
      <c r="CE14" s="561"/>
      <c r="CF14" s="561"/>
      <c r="CG14" s="561"/>
      <c r="CH14" s="561"/>
      <c r="CI14" s="561"/>
      <c r="CJ14" s="561"/>
      <c r="CK14" s="561"/>
      <c r="CL14" s="561"/>
      <c r="CM14" s="561"/>
      <c r="CN14" s="561"/>
      <c r="CO14" s="561"/>
      <c r="CP14" s="561"/>
      <c r="CQ14" s="561"/>
      <c r="CR14" s="561"/>
      <c r="CS14" s="561"/>
      <c r="CT14" s="561"/>
      <c r="CU14" s="561"/>
      <c r="CV14" s="561"/>
      <c r="CW14" s="561"/>
      <c r="CX14" s="561"/>
      <c r="CY14" s="561"/>
      <c r="CZ14" s="561"/>
      <c r="DA14" s="561"/>
      <c r="DB14" s="561"/>
      <c r="DC14" s="561"/>
      <c r="DD14" s="561"/>
      <c r="DE14" s="561"/>
      <c r="DF14" s="561"/>
      <c r="DG14" s="561"/>
      <c r="DH14" s="561"/>
      <c r="DI14" s="561"/>
      <c r="DJ14" s="561"/>
      <c r="DK14" s="561"/>
      <c r="DL14" s="561"/>
      <c r="DM14" s="561"/>
      <c r="DN14" s="561"/>
      <c r="DO14" s="561"/>
      <c r="DP14" s="561"/>
      <c r="DQ14" s="561"/>
      <c r="DR14" s="561"/>
      <c r="DS14" s="561"/>
      <c r="DT14" s="561"/>
      <c r="DU14" s="561"/>
      <c r="DV14" s="561"/>
      <c r="DW14" s="561"/>
      <c r="DX14" s="561"/>
      <c r="DY14" s="561"/>
      <c r="DZ14" s="561"/>
      <c r="EA14" s="561"/>
      <c r="EB14" s="561"/>
      <c r="EC14" s="561"/>
      <c r="ED14" s="561"/>
      <c r="EE14" s="561"/>
      <c r="EF14" s="561"/>
      <c r="EG14" s="561"/>
      <c r="EH14" s="561"/>
      <c r="EI14" s="561"/>
      <c r="EJ14" s="561"/>
      <c r="EK14" s="561"/>
      <c r="EL14" s="561"/>
    </row>
    <row r="15" spans="1:142" ht="15.75" customHeight="1">
      <c r="B15" s="707" t="s">
        <v>794</v>
      </c>
      <c r="C15" s="694">
        <v>18500000</v>
      </c>
      <c r="D15" s="694">
        <v>21000000</v>
      </c>
      <c r="F15" s="696"/>
      <c r="G15" s="696"/>
      <c r="H15" s="696"/>
      <c r="I15" s="696"/>
      <c r="J15" s="696"/>
      <c r="K15" s="696"/>
      <c r="L15" s="696"/>
      <c r="M15" s="696"/>
      <c r="N15" s="696"/>
      <c r="O15" s="696"/>
      <c r="P15" s="696"/>
      <c r="Q15" s="696"/>
      <c r="S15" s="696"/>
      <c r="T15" s="696"/>
      <c r="U15" s="696"/>
      <c r="V15" s="696"/>
      <c r="W15" s="696"/>
      <c r="X15" s="696"/>
      <c r="Y15" s="696"/>
      <c r="Z15" s="696"/>
      <c r="AA15" s="696"/>
      <c r="AB15" s="696"/>
      <c r="AC15" s="696"/>
      <c r="AD15" s="696"/>
      <c r="AF15" s="561"/>
      <c r="AG15" s="561"/>
      <c r="AH15" s="561"/>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1"/>
      <c r="BW15" s="561"/>
      <c r="BX15" s="561"/>
      <c r="BY15" s="561"/>
      <c r="BZ15" s="561"/>
      <c r="CA15" s="561"/>
      <c r="CB15" s="561"/>
      <c r="CC15" s="561"/>
      <c r="CD15" s="561"/>
      <c r="CE15" s="561"/>
      <c r="CF15" s="561"/>
      <c r="CG15" s="561"/>
      <c r="CH15" s="561"/>
      <c r="CI15" s="561"/>
      <c r="CJ15" s="561"/>
      <c r="CK15" s="561"/>
      <c r="CL15" s="561"/>
      <c r="CM15" s="561"/>
      <c r="CN15" s="561"/>
      <c r="CO15" s="561"/>
      <c r="CP15" s="561"/>
      <c r="CQ15" s="561"/>
      <c r="CR15" s="561"/>
      <c r="CS15" s="561"/>
      <c r="CT15" s="561"/>
      <c r="CU15" s="561"/>
      <c r="CV15" s="561"/>
      <c r="CW15" s="561"/>
      <c r="CX15" s="561"/>
      <c r="CY15" s="561"/>
      <c r="CZ15" s="561"/>
      <c r="DA15" s="561"/>
      <c r="DB15" s="561"/>
      <c r="DC15" s="561"/>
      <c r="DD15" s="561"/>
      <c r="DE15" s="561"/>
      <c r="DF15" s="561"/>
      <c r="DG15" s="561"/>
      <c r="DH15" s="561"/>
      <c r="DI15" s="561"/>
      <c r="DJ15" s="561"/>
      <c r="DK15" s="561"/>
      <c r="DL15" s="561"/>
      <c r="DM15" s="561"/>
      <c r="DN15" s="561"/>
      <c r="DO15" s="561"/>
      <c r="DP15" s="561"/>
      <c r="DQ15" s="561"/>
      <c r="DR15" s="561"/>
      <c r="DS15" s="561"/>
      <c r="DT15" s="561"/>
      <c r="DU15" s="561"/>
      <c r="DV15" s="561"/>
      <c r="DW15" s="561"/>
      <c r="DX15" s="561"/>
      <c r="DY15" s="561"/>
      <c r="DZ15" s="561"/>
      <c r="EA15" s="561"/>
      <c r="EB15" s="561"/>
      <c r="EC15" s="561"/>
      <c r="ED15" s="561"/>
      <c r="EE15" s="561"/>
      <c r="EF15" s="561"/>
      <c r="EG15" s="561"/>
      <c r="EH15" s="561"/>
      <c r="EI15" s="561"/>
      <c r="EJ15" s="561"/>
      <c r="EK15" s="561"/>
      <c r="EL15" s="561"/>
    </row>
    <row r="16" spans="1:142" ht="15.75" customHeight="1">
      <c r="B16" s="680" t="s">
        <v>812</v>
      </c>
      <c r="C16" s="702">
        <v>25000000</v>
      </c>
      <c r="D16" s="694">
        <v>24500000</v>
      </c>
      <c r="F16" s="696"/>
      <c r="G16" s="704"/>
      <c r="H16" s="699"/>
      <c r="I16" s="699"/>
      <c r="J16" s="699"/>
      <c r="K16" s="699"/>
      <c r="L16" s="699"/>
      <c r="M16" s="699"/>
      <c r="N16" s="699"/>
      <c r="O16" s="699"/>
      <c r="P16" s="699"/>
      <c r="Q16" s="696"/>
      <c r="S16" s="696"/>
      <c r="T16" s="696"/>
      <c r="U16" s="696"/>
      <c r="V16" s="696"/>
      <c r="W16" s="696"/>
      <c r="X16" s="696"/>
      <c r="Y16" s="696"/>
      <c r="Z16" s="696"/>
      <c r="AA16" s="696"/>
      <c r="AB16" s="696"/>
      <c r="AC16" s="696"/>
      <c r="AD16" s="696"/>
      <c r="AF16" s="561"/>
      <c r="AG16" s="561"/>
      <c r="AH16" s="561"/>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1"/>
      <c r="BW16" s="561"/>
      <c r="BX16" s="561"/>
      <c r="BY16" s="561"/>
      <c r="BZ16" s="561"/>
      <c r="CA16" s="561"/>
      <c r="CB16" s="561"/>
      <c r="CC16" s="561"/>
      <c r="CD16" s="561"/>
      <c r="CE16" s="561"/>
      <c r="CF16" s="561"/>
      <c r="CG16" s="561"/>
      <c r="CH16" s="561"/>
      <c r="CI16" s="561"/>
      <c r="CJ16" s="561"/>
      <c r="CK16" s="561"/>
      <c r="CL16" s="561"/>
      <c r="CM16" s="561"/>
      <c r="CN16" s="561"/>
      <c r="CO16" s="561"/>
      <c r="CP16" s="561"/>
      <c r="CQ16" s="561"/>
      <c r="CR16" s="561"/>
      <c r="CS16" s="561"/>
      <c r="CT16" s="561"/>
      <c r="CU16" s="561"/>
      <c r="CV16" s="561"/>
      <c r="CW16" s="561"/>
      <c r="CX16" s="561"/>
      <c r="CY16" s="561"/>
      <c r="CZ16" s="561"/>
      <c r="DA16" s="561"/>
      <c r="DB16" s="561"/>
      <c r="DC16" s="561"/>
      <c r="DD16" s="561"/>
      <c r="DE16" s="561"/>
      <c r="DF16" s="561"/>
      <c r="DG16" s="561"/>
      <c r="DH16" s="561"/>
      <c r="DI16" s="561"/>
      <c r="DJ16" s="561"/>
      <c r="DK16" s="561"/>
      <c r="DL16" s="561"/>
      <c r="DM16" s="561"/>
      <c r="DN16" s="561"/>
      <c r="DO16" s="561"/>
      <c r="DP16" s="561"/>
      <c r="DQ16" s="561"/>
      <c r="DR16" s="561"/>
      <c r="DS16" s="561"/>
      <c r="DT16" s="561"/>
      <c r="DU16" s="561"/>
      <c r="DV16" s="561"/>
      <c r="DW16" s="561"/>
      <c r="DX16" s="561"/>
      <c r="DY16" s="561"/>
      <c r="DZ16" s="561"/>
      <c r="EA16" s="561"/>
      <c r="EB16" s="561"/>
      <c r="EC16" s="561"/>
      <c r="ED16" s="561"/>
      <c r="EE16" s="561"/>
      <c r="EF16" s="561"/>
      <c r="EG16" s="561"/>
      <c r="EH16" s="561"/>
      <c r="EI16" s="561"/>
      <c r="EJ16" s="561"/>
      <c r="EK16" s="561"/>
      <c r="EL16" s="561"/>
    </row>
    <row r="17" spans="2:142" ht="15.75" customHeight="1">
      <c r="B17" s="703" t="s">
        <v>811</v>
      </c>
      <c r="C17" s="702">
        <v>900000</v>
      </c>
      <c r="F17" s="696"/>
      <c r="G17" s="699"/>
      <c r="H17" s="700"/>
      <c r="I17" s="701"/>
      <c r="J17" s="699"/>
      <c r="K17" s="699"/>
      <c r="L17" s="699"/>
      <c r="M17" s="699"/>
      <c r="N17" s="699"/>
      <c r="O17" s="699"/>
      <c r="P17" s="699"/>
      <c r="Q17" s="696"/>
      <c r="S17" s="696"/>
      <c r="T17" s="696"/>
      <c r="U17" s="696"/>
      <c r="V17" s="696"/>
      <c r="W17" s="696"/>
      <c r="X17" s="696"/>
      <c r="Y17" s="696"/>
      <c r="Z17" s="696"/>
      <c r="AA17" s="696"/>
      <c r="AB17" s="696"/>
      <c r="AC17" s="696"/>
      <c r="AD17" s="696"/>
      <c r="AF17" s="561"/>
      <c r="AG17" s="561"/>
      <c r="AH17" s="561"/>
      <c r="AI17" s="561"/>
      <c r="AJ17" s="561"/>
      <c r="AK17" s="561"/>
      <c r="AL17" s="561"/>
      <c r="AM17" s="561"/>
      <c r="AN17" s="561"/>
      <c r="AO17" s="561"/>
      <c r="AP17" s="561"/>
      <c r="AQ17" s="561"/>
      <c r="AR17" s="561"/>
      <c r="AS17" s="561"/>
      <c r="AT17" s="561"/>
      <c r="AU17" s="561"/>
      <c r="AV17" s="561"/>
      <c r="AW17" s="561"/>
      <c r="AX17" s="561"/>
      <c r="AY17" s="561"/>
      <c r="AZ17" s="561"/>
      <c r="BA17" s="561"/>
      <c r="BB17" s="561"/>
      <c r="BC17" s="561"/>
      <c r="BD17" s="561"/>
      <c r="BE17" s="561"/>
      <c r="BF17" s="561"/>
      <c r="BG17" s="561"/>
      <c r="BH17" s="561"/>
      <c r="BI17" s="561"/>
      <c r="BJ17" s="561"/>
      <c r="BK17" s="561"/>
      <c r="BL17" s="561"/>
      <c r="BM17" s="561"/>
      <c r="BN17" s="561"/>
      <c r="BO17" s="561"/>
      <c r="BP17" s="561"/>
      <c r="BQ17" s="561"/>
      <c r="BR17" s="561"/>
      <c r="BS17" s="561"/>
      <c r="BT17" s="561"/>
      <c r="BU17" s="561"/>
      <c r="BV17" s="561"/>
      <c r="BW17" s="561"/>
      <c r="BX17" s="561"/>
      <c r="BY17" s="561"/>
      <c r="BZ17" s="561"/>
      <c r="CA17" s="561"/>
      <c r="CB17" s="561"/>
      <c r="CC17" s="561"/>
      <c r="CD17" s="561"/>
      <c r="CE17" s="561"/>
      <c r="CF17" s="561"/>
      <c r="CG17" s="561"/>
      <c r="CH17" s="561"/>
      <c r="CI17" s="561"/>
      <c r="CJ17" s="561"/>
      <c r="CK17" s="561"/>
      <c r="CL17" s="561"/>
      <c r="CM17" s="561"/>
      <c r="CN17" s="561"/>
      <c r="CO17" s="561"/>
      <c r="CP17" s="561"/>
      <c r="CQ17" s="561"/>
      <c r="CR17" s="561"/>
      <c r="CS17" s="561"/>
      <c r="CT17" s="561"/>
      <c r="CU17" s="561"/>
      <c r="CV17" s="561"/>
      <c r="CW17" s="561"/>
      <c r="CX17" s="561"/>
      <c r="CY17" s="561"/>
      <c r="CZ17" s="561"/>
      <c r="DA17" s="561"/>
      <c r="DB17" s="561"/>
      <c r="DC17" s="561"/>
      <c r="DD17" s="561"/>
      <c r="DE17" s="561"/>
      <c r="DF17" s="561"/>
      <c r="DG17" s="561"/>
      <c r="DH17" s="561"/>
      <c r="DI17" s="561"/>
      <c r="DJ17" s="561"/>
      <c r="DK17" s="561"/>
      <c r="DL17" s="561"/>
      <c r="DM17" s="561"/>
      <c r="DN17" s="561"/>
      <c r="DO17" s="561"/>
      <c r="DP17" s="561"/>
      <c r="DQ17" s="561"/>
      <c r="DR17" s="561"/>
      <c r="DS17" s="561"/>
      <c r="DT17" s="561"/>
      <c r="DU17" s="561"/>
      <c r="DV17" s="561"/>
      <c r="DW17" s="561"/>
      <c r="DX17" s="561"/>
      <c r="DY17" s="561"/>
      <c r="DZ17" s="561"/>
      <c r="EA17" s="561"/>
      <c r="EB17" s="561"/>
      <c r="EC17" s="561"/>
      <c r="ED17" s="561"/>
      <c r="EE17" s="561"/>
      <c r="EF17" s="561"/>
      <c r="EG17" s="561"/>
      <c r="EH17" s="561"/>
      <c r="EI17" s="561"/>
      <c r="EJ17" s="561"/>
      <c r="EK17" s="561"/>
      <c r="EL17" s="561"/>
    </row>
    <row r="18" spans="2:142" ht="31.5" customHeight="1">
      <c r="B18" s="703" t="s">
        <v>810</v>
      </c>
      <c r="C18" s="702">
        <v>400000</v>
      </c>
      <c r="F18" s="696"/>
      <c r="G18" s="699"/>
      <c r="H18" s="700"/>
      <c r="I18" s="699"/>
      <c r="J18" s="699"/>
      <c r="K18" s="699"/>
      <c r="L18" s="699"/>
      <c r="M18" s="699"/>
      <c r="N18" s="699"/>
      <c r="O18" s="699"/>
      <c r="P18" s="699"/>
      <c r="Q18" s="696"/>
      <c r="S18" s="696"/>
      <c r="T18" s="696"/>
      <c r="U18" s="696"/>
      <c r="V18" s="696"/>
      <c r="W18" s="696"/>
      <c r="X18" s="696"/>
      <c r="Y18" s="696"/>
      <c r="Z18" s="696"/>
      <c r="AA18" s="696"/>
      <c r="AB18" s="696"/>
      <c r="AC18" s="696"/>
      <c r="AD18" s="696"/>
      <c r="AF18" s="561"/>
      <c r="AG18" s="561"/>
      <c r="AH18" s="561"/>
      <c r="AI18" s="561"/>
      <c r="AJ18" s="561"/>
      <c r="AK18" s="561"/>
      <c r="AL18" s="561"/>
      <c r="AM18" s="561"/>
      <c r="AN18" s="561"/>
      <c r="AO18" s="561"/>
      <c r="AP18" s="561"/>
      <c r="AQ18" s="561"/>
      <c r="AR18" s="561"/>
      <c r="AS18" s="561"/>
      <c r="AT18" s="561"/>
      <c r="AU18" s="561"/>
      <c r="AV18" s="561"/>
      <c r="AW18" s="561"/>
      <c r="AX18" s="561"/>
      <c r="AY18" s="561"/>
      <c r="AZ18" s="561"/>
      <c r="BA18" s="561"/>
      <c r="BB18" s="561"/>
      <c r="BC18" s="561"/>
      <c r="BD18" s="561"/>
      <c r="BE18" s="561"/>
      <c r="BF18" s="561"/>
      <c r="BG18" s="561"/>
      <c r="BH18" s="561"/>
      <c r="BI18" s="561"/>
      <c r="BJ18" s="561"/>
      <c r="BK18" s="561"/>
      <c r="BL18" s="561"/>
      <c r="BM18" s="561"/>
      <c r="BN18" s="561"/>
      <c r="BO18" s="561"/>
      <c r="BP18" s="561"/>
      <c r="BQ18" s="561"/>
      <c r="BR18" s="561"/>
      <c r="BS18" s="561"/>
      <c r="BT18" s="561"/>
      <c r="BU18" s="561"/>
      <c r="BV18" s="561"/>
      <c r="BW18" s="561"/>
      <c r="BX18" s="561"/>
      <c r="BY18" s="561"/>
      <c r="BZ18" s="561"/>
      <c r="CA18" s="561"/>
      <c r="CB18" s="561"/>
      <c r="CC18" s="561"/>
      <c r="CD18" s="561"/>
      <c r="CE18" s="561"/>
      <c r="CF18" s="561"/>
      <c r="CG18" s="561"/>
      <c r="CH18" s="561"/>
      <c r="CI18" s="561"/>
      <c r="CJ18" s="561"/>
      <c r="CK18" s="561"/>
      <c r="CL18" s="561"/>
      <c r="CM18" s="561"/>
      <c r="CN18" s="561"/>
      <c r="CO18" s="561"/>
      <c r="CP18" s="561"/>
      <c r="CQ18" s="561"/>
      <c r="CR18" s="561"/>
      <c r="CS18" s="561"/>
      <c r="CT18" s="561"/>
      <c r="CU18" s="561"/>
      <c r="CV18" s="561"/>
      <c r="CW18" s="561"/>
      <c r="CX18" s="561"/>
      <c r="CY18" s="561"/>
      <c r="CZ18" s="561"/>
      <c r="DA18" s="561"/>
      <c r="DB18" s="561"/>
      <c r="DC18" s="561"/>
      <c r="DD18" s="561"/>
      <c r="DE18" s="561"/>
      <c r="DF18" s="561"/>
      <c r="DG18" s="561"/>
      <c r="DH18" s="561"/>
      <c r="DI18" s="561"/>
      <c r="DJ18" s="561"/>
      <c r="DK18" s="561"/>
      <c r="DL18" s="561"/>
      <c r="DM18" s="561"/>
      <c r="DN18" s="561"/>
      <c r="DO18" s="561"/>
      <c r="DP18" s="561"/>
      <c r="DQ18" s="561"/>
      <c r="DR18" s="561"/>
      <c r="DS18" s="561"/>
      <c r="DT18" s="561"/>
      <c r="DU18" s="561"/>
      <c r="DV18" s="561"/>
      <c r="DW18" s="561"/>
      <c r="DX18" s="561"/>
      <c r="DY18" s="561"/>
      <c r="DZ18" s="561"/>
      <c r="EA18" s="561"/>
      <c r="EB18" s="561"/>
      <c r="EC18" s="561"/>
      <c r="ED18" s="561"/>
      <c r="EE18" s="561"/>
      <c r="EF18" s="561"/>
      <c r="EG18" s="561"/>
      <c r="EH18" s="561"/>
      <c r="EI18" s="561"/>
      <c r="EJ18" s="561"/>
      <c r="EK18" s="561"/>
      <c r="EL18" s="561"/>
    </row>
    <row r="19" spans="2:142" ht="31.5" customHeight="1">
      <c r="B19" s="703" t="s">
        <v>809</v>
      </c>
      <c r="C19" s="702">
        <v>325000</v>
      </c>
      <c r="F19" s="696"/>
      <c r="G19" s="699"/>
      <c r="H19" s="700"/>
      <c r="I19" s="701"/>
      <c r="J19" s="699"/>
      <c r="K19" s="699"/>
      <c r="L19" s="699"/>
      <c r="M19" s="699"/>
      <c r="N19" s="699"/>
      <c r="O19" s="699"/>
      <c r="P19" s="699"/>
      <c r="Q19" s="696"/>
      <c r="S19" s="696"/>
      <c r="T19" s="696"/>
      <c r="U19" s="696"/>
      <c r="V19" s="696"/>
      <c r="W19" s="696"/>
      <c r="X19" s="696"/>
      <c r="Y19" s="696"/>
      <c r="Z19" s="696"/>
      <c r="AA19" s="696"/>
      <c r="AB19" s="696"/>
      <c r="AC19" s="696"/>
      <c r="AD19" s="696"/>
      <c r="AF19" s="561"/>
      <c r="AG19" s="561"/>
      <c r="AH19" s="561"/>
      <c r="AI19" s="561"/>
      <c r="AJ19" s="561"/>
      <c r="AK19" s="561"/>
      <c r="AL19" s="561"/>
      <c r="AM19" s="561"/>
      <c r="AN19" s="561"/>
      <c r="AO19" s="561"/>
      <c r="AP19" s="561"/>
      <c r="AQ19" s="561"/>
      <c r="AR19" s="561"/>
      <c r="AS19" s="561"/>
      <c r="AT19" s="561"/>
      <c r="AU19" s="561"/>
      <c r="AV19" s="561"/>
      <c r="AW19" s="561"/>
      <c r="AX19" s="561"/>
      <c r="AY19" s="561"/>
      <c r="AZ19" s="561"/>
      <c r="BA19" s="561"/>
      <c r="BB19" s="561"/>
      <c r="BC19" s="561"/>
      <c r="BD19" s="561"/>
      <c r="BE19" s="561"/>
      <c r="BF19" s="561"/>
      <c r="BG19" s="561"/>
      <c r="BH19" s="561"/>
      <c r="BI19" s="561"/>
      <c r="BJ19" s="561"/>
      <c r="BK19" s="561"/>
      <c r="BL19" s="561"/>
      <c r="BM19" s="561"/>
      <c r="BN19" s="561"/>
      <c r="BO19" s="561"/>
      <c r="BP19" s="561"/>
      <c r="BQ19" s="561"/>
      <c r="BR19" s="561"/>
      <c r="BS19" s="561"/>
      <c r="BT19" s="561"/>
      <c r="BU19" s="561"/>
      <c r="BV19" s="561"/>
      <c r="BW19" s="561"/>
      <c r="BX19" s="561"/>
      <c r="BY19" s="561"/>
      <c r="BZ19" s="561"/>
      <c r="CA19" s="561"/>
      <c r="CB19" s="561"/>
      <c r="CC19" s="561"/>
      <c r="CD19" s="561"/>
      <c r="CE19" s="561"/>
      <c r="CF19" s="561"/>
      <c r="CG19" s="561"/>
      <c r="CH19" s="561"/>
      <c r="CI19" s="561"/>
      <c r="CJ19" s="561"/>
      <c r="CK19" s="561"/>
      <c r="CL19" s="561"/>
      <c r="CM19" s="561"/>
      <c r="CN19" s="561"/>
      <c r="CO19" s="561"/>
      <c r="CP19" s="561"/>
      <c r="CQ19" s="561"/>
      <c r="CR19" s="561"/>
      <c r="CS19" s="561"/>
      <c r="CT19" s="561"/>
      <c r="CU19" s="561"/>
      <c r="CV19" s="561"/>
      <c r="CW19" s="561"/>
      <c r="CX19" s="561"/>
      <c r="CY19" s="561"/>
      <c r="CZ19" s="561"/>
      <c r="DA19" s="561"/>
      <c r="DB19" s="561"/>
      <c r="DC19" s="561"/>
      <c r="DD19" s="561"/>
      <c r="DE19" s="561"/>
      <c r="DF19" s="561"/>
      <c r="DG19" s="561"/>
      <c r="DH19" s="561"/>
      <c r="DI19" s="561"/>
      <c r="DJ19" s="561"/>
      <c r="DK19" s="561"/>
      <c r="DL19" s="561"/>
      <c r="DM19" s="561"/>
      <c r="DN19" s="561"/>
      <c r="DO19" s="561"/>
      <c r="DP19" s="561"/>
      <c r="DQ19" s="561"/>
      <c r="DR19" s="561"/>
      <c r="DS19" s="561"/>
      <c r="DT19" s="561"/>
      <c r="DU19" s="561"/>
      <c r="DV19" s="561"/>
      <c r="DW19" s="561"/>
      <c r="DX19" s="561"/>
      <c r="DY19" s="561"/>
      <c r="DZ19" s="561"/>
      <c r="EA19" s="561"/>
      <c r="EB19" s="561"/>
      <c r="EC19" s="561"/>
      <c r="ED19" s="561"/>
      <c r="EE19" s="561"/>
      <c r="EF19" s="561"/>
      <c r="EG19" s="561"/>
      <c r="EH19" s="561"/>
      <c r="EI19" s="561"/>
      <c r="EJ19" s="561"/>
      <c r="EK19" s="561"/>
      <c r="EL19" s="561"/>
    </row>
    <row r="20" spans="2:142" ht="31.5" customHeight="1">
      <c r="B20" s="703" t="s">
        <v>808</v>
      </c>
      <c r="C20" s="702">
        <v>500000</v>
      </c>
      <c r="F20" s="696"/>
      <c r="G20" s="699"/>
      <c r="H20" s="700"/>
      <c r="I20" s="699"/>
      <c r="J20" s="699"/>
      <c r="K20" s="699"/>
      <c r="L20" s="699"/>
      <c r="M20" s="699"/>
      <c r="N20" s="699"/>
      <c r="O20" s="699"/>
      <c r="P20" s="699"/>
      <c r="Q20" s="696"/>
      <c r="S20" s="696"/>
      <c r="T20" s="696"/>
      <c r="U20" s="696"/>
      <c r="V20" s="696"/>
      <c r="W20" s="696"/>
      <c r="X20" s="696"/>
      <c r="Y20" s="696"/>
      <c r="Z20" s="696"/>
      <c r="AA20" s="696"/>
      <c r="AB20" s="696"/>
      <c r="AC20" s="696"/>
      <c r="AD20" s="696"/>
      <c r="AF20" s="561"/>
      <c r="AG20" s="561"/>
      <c r="AH20" s="561"/>
      <c r="AI20" s="561"/>
      <c r="AJ20" s="561"/>
      <c r="AK20" s="561"/>
      <c r="AL20" s="561"/>
      <c r="AM20" s="561"/>
      <c r="AN20" s="561"/>
      <c r="AO20" s="561"/>
      <c r="AP20" s="561"/>
      <c r="AQ20" s="561"/>
      <c r="AR20" s="561"/>
      <c r="AS20" s="561"/>
      <c r="AT20" s="561"/>
      <c r="AU20" s="561"/>
      <c r="AV20" s="561"/>
      <c r="AW20" s="561"/>
      <c r="AX20" s="561"/>
      <c r="AY20" s="561"/>
      <c r="AZ20" s="561"/>
      <c r="BA20" s="561"/>
      <c r="BB20" s="561"/>
      <c r="BC20" s="561"/>
      <c r="BD20" s="561"/>
      <c r="BE20" s="561"/>
      <c r="BF20" s="561"/>
      <c r="BG20" s="561"/>
      <c r="BH20" s="561"/>
      <c r="BI20" s="561"/>
      <c r="BJ20" s="561"/>
      <c r="BK20" s="561"/>
      <c r="BL20" s="561"/>
      <c r="BM20" s="561"/>
      <c r="BN20" s="561"/>
      <c r="BO20" s="561"/>
      <c r="BP20" s="561"/>
      <c r="BQ20" s="561"/>
      <c r="BR20" s="561"/>
      <c r="BS20" s="561"/>
      <c r="BT20" s="561"/>
      <c r="BU20" s="561"/>
      <c r="BV20" s="561"/>
      <c r="BW20" s="561"/>
      <c r="BX20" s="561"/>
      <c r="BY20" s="561"/>
      <c r="BZ20" s="561"/>
      <c r="CA20" s="561"/>
      <c r="CB20" s="561"/>
      <c r="CC20" s="561"/>
      <c r="CD20" s="561"/>
      <c r="CE20" s="561"/>
      <c r="CF20" s="561"/>
      <c r="CG20" s="561"/>
      <c r="CH20" s="561"/>
      <c r="CI20" s="561"/>
      <c r="CJ20" s="561"/>
      <c r="CK20" s="561"/>
      <c r="CL20" s="561"/>
      <c r="CM20" s="561"/>
      <c r="CN20" s="561"/>
      <c r="CO20" s="561"/>
      <c r="CP20" s="561"/>
      <c r="CQ20" s="561"/>
      <c r="CR20" s="561"/>
      <c r="CS20" s="561"/>
      <c r="CT20" s="561"/>
      <c r="CU20" s="561"/>
      <c r="CV20" s="561"/>
      <c r="CW20" s="561"/>
      <c r="CX20" s="561"/>
      <c r="CY20" s="561"/>
      <c r="CZ20" s="561"/>
      <c r="DA20" s="561"/>
      <c r="DB20" s="561"/>
      <c r="DC20" s="561"/>
      <c r="DD20" s="561"/>
      <c r="DE20" s="561"/>
      <c r="DF20" s="561"/>
      <c r="DG20" s="561"/>
      <c r="DH20" s="561"/>
      <c r="DI20" s="561"/>
      <c r="DJ20" s="561"/>
      <c r="DK20" s="561"/>
      <c r="DL20" s="561"/>
      <c r="DM20" s="561"/>
      <c r="DN20" s="561"/>
      <c r="DO20" s="561"/>
      <c r="DP20" s="561"/>
      <c r="DQ20" s="561"/>
      <c r="DR20" s="561"/>
      <c r="DS20" s="561"/>
      <c r="DT20" s="561"/>
      <c r="DU20" s="561"/>
      <c r="DV20" s="561"/>
      <c r="DW20" s="561"/>
      <c r="DX20" s="561"/>
      <c r="DY20" s="561"/>
      <c r="DZ20" s="561"/>
      <c r="EA20" s="561"/>
      <c r="EB20" s="561"/>
      <c r="EC20" s="561"/>
      <c r="ED20" s="561"/>
      <c r="EE20" s="561"/>
      <c r="EF20" s="561"/>
      <c r="EG20" s="561"/>
      <c r="EH20" s="561"/>
      <c r="EI20" s="561"/>
      <c r="EJ20" s="561"/>
      <c r="EK20" s="561"/>
      <c r="EL20" s="561"/>
    </row>
    <row r="21" spans="2:142" ht="31.5" customHeight="1">
      <c r="B21" s="703" t="s">
        <v>807</v>
      </c>
      <c r="C21" s="706">
        <v>11</v>
      </c>
      <c r="F21" s="696"/>
      <c r="G21" s="699"/>
      <c r="H21" s="700"/>
      <c r="I21" s="699"/>
      <c r="J21" s="699"/>
      <c r="K21" s="699"/>
      <c r="L21" s="699"/>
      <c r="M21" s="699"/>
      <c r="N21" s="699"/>
      <c r="O21" s="699"/>
      <c r="P21" s="699"/>
      <c r="Q21" s="696"/>
      <c r="S21" s="696"/>
      <c r="T21" s="696"/>
      <c r="U21" s="696"/>
      <c r="V21" s="696"/>
      <c r="W21" s="696"/>
      <c r="X21" s="696"/>
      <c r="Y21" s="696"/>
      <c r="Z21" s="696"/>
      <c r="AA21" s="696"/>
      <c r="AB21" s="696"/>
      <c r="AC21" s="696"/>
      <c r="AD21" s="696"/>
    </row>
    <row r="22" spans="2:142" ht="31.5" customHeight="1">
      <c r="B22" s="703" t="s">
        <v>806</v>
      </c>
      <c r="C22" s="706">
        <v>20</v>
      </c>
      <c r="F22" s="696"/>
      <c r="G22" s="699"/>
      <c r="H22" s="705"/>
      <c r="I22" s="699"/>
      <c r="J22" s="699"/>
      <c r="K22" s="699"/>
      <c r="L22" s="699"/>
      <c r="M22" s="699"/>
      <c r="N22" s="699"/>
      <c r="O22" s="699"/>
      <c r="P22" s="699"/>
      <c r="Q22" s="696"/>
      <c r="S22" s="696"/>
      <c r="T22" s="696"/>
      <c r="U22" s="696"/>
      <c r="V22" s="696"/>
      <c r="W22" s="696"/>
      <c r="X22" s="696"/>
      <c r="Y22" s="696"/>
      <c r="Z22" s="696"/>
      <c r="AA22" s="696"/>
      <c r="AB22" s="696"/>
      <c r="AC22" s="696"/>
      <c r="AD22" s="696"/>
    </row>
    <row r="23" spans="2:142" ht="63" customHeight="1">
      <c r="B23" s="703" t="s">
        <v>805</v>
      </c>
      <c r="C23" s="702" t="s">
        <v>804</v>
      </c>
      <c r="F23" s="696"/>
      <c r="G23" s="704"/>
      <c r="H23" s="700"/>
      <c r="I23" s="699"/>
      <c r="J23" s="699"/>
      <c r="K23" s="699"/>
      <c r="L23" s="699"/>
      <c r="M23" s="699"/>
      <c r="N23" s="699"/>
      <c r="O23" s="699"/>
      <c r="P23" s="699"/>
      <c r="Q23" s="696"/>
      <c r="S23" s="696"/>
      <c r="T23" s="696"/>
      <c r="U23" s="696"/>
      <c r="V23" s="696"/>
      <c r="W23" s="696"/>
      <c r="X23" s="696"/>
      <c r="Y23" s="696"/>
      <c r="Z23" s="696"/>
      <c r="AA23" s="696"/>
      <c r="AB23" s="696"/>
      <c r="AC23" s="696"/>
      <c r="AD23" s="696"/>
    </row>
    <row r="24" spans="2:142" ht="31.5" customHeight="1">
      <c r="B24" s="703" t="s">
        <v>803</v>
      </c>
      <c r="C24" s="702">
        <v>2750000</v>
      </c>
      <c r="F24" s="696"/>
      <c r="G24" s="699"/>
      <c r="H24" s="700"/>
      <c r="I24" s="701"/>
      <c r="J24" s="699"/>
      <c r="K24" s="699"/>
      <c r="L24" s="699"/>
      <c r="M24" s="699"/>
      <c r="N24" s="699"/>
      <c r="O24" s="699"/>
      <c r="P24" s="699"/>
      <c r="Q24" s="696"/>
      <c r="S24" s="696"/>
      <c r="T24" s="696"/>
      <c r="U24" s="696"/>
      <c r="V24" s="696"/>
      <c r="W24" s="696"/>
      <c r="X24" s="696"/>
      <c r="Y24" s="696"/>
      <c r="Z24" s="696"/>
      <c r="AA24" s="696"/>
      <c r="AB24" s="696"/>
      <c r="AC24" s="696"/>
      <c r="AD24" s="696"/>
    </row>
    <row r="25" spans="2:142" ht="15.75" customHeight="1">
      <c r="F25" s="696"/>
      <c r="G25" s="699"/>
      <c r="H25" s="700"/>
      <c r="I25" s="699"/>
      <c r="J25" s="699"/>
      <c r="K25" s="699"/>
      <c r="L25" s="699"/>
      <c r="M25" s="699"/>
      <c r="N25" s="699"/>
      <c r="O25" s="699"/>
      <c r="P25" s="699"/>
      <c r="Q25" s="696"/>
      <c r="S25" s="696"/>
      <c r="T25" s="696"/>
      <c r="U25" s="696"/>
      <c r="V25" s="696"/>
      <c r="W25" s="696"/>
      <c r="X25" s="696"/>
      <c r="Y25" s="696"/>
      <c r="Z25" s="696"/>
      <c r="AA25" s="696"/>
      <c r="AB25" s="696"/>
      <c r="AC25" s="696"/>
      <c r="AD25" s="696"/>
    </row>
    <row r="26" spans="2:142" ht="15.75" customHeight="1">
      <c r="B26" s="2" t="s">
        <v>802</v>
      </c>
      <c r="F26" s="696"/>
      <c r="G26" s="699"/>
      <c r="H26" s="700"/>
      <c r="I26" s="701"/>
      <c r="J26" s="699"/>
      <c r="K26" s="699"/>
      <c r="L26" s="699"/>
      <c r="M26" s="699"/>
      <c r="N26" s="699"/>
      <c r="O26" s="699"/>
      <c r="P26" s="699"/>
      <c r="Q26" s="696"/>
      <c r="S26" s="696"/>
      <c r="T26" s="696"/>
      <c r="U26" s="696"/>
      <c r="V26" s="696"/>
      <c r="W26" s="696"/>
      <c r="X26" s="696"/>
      <c r="Y26" s="696"/>
      <c r="Z26" s="696"/>
      <c r="AA26" s="696"/>
      <c r="AB26" s="696"/>
      <c r="AC26" s="696"/>
      <c r="AD26" s="696"/>
    </row>
    <row r="27" spans="2:142">
      <c r="F27" s="696"/>
      <c r="G27" s="699"/>
      <c r="H27" s="700"/>
      <c r="I27" s="701"/>
      <c r="J27" s="699"/>
      <c r="K27" s="699"/>
      <c r="L27" s="699"/>
      <c r="M27" s="699"/>
      <c r="N27" s="699"/>
      <c r="O27" s="699"/>
      <c r="P27" s="699"/>
      <c r="Q27" s="696"/>
      <c r="S27" s="696"/>
      <c r="T27" s="696"/>
      <c r="U27" s="696"/>
      <c r="V27" s="696"/>
      <c r="W27" s="696"/>
      <c r="X27" s="696"/>
      <c r="Y27" s="696"/>
      <c r="Z27" s="696"/>
      <c r="AA27" s="696"/>
      <c r="AB27" s="696"/>
      <c r="AC27" s="696"/>
      <c r="AD27" s="696"/>
    </row>
    <row r="28" spans="2:142">
      <c r="B28" s="619" t="s">
        <v>801</v>
      </c>
      <c r="F28" s="696"/>
      <c r="G28" s="699"/>
      <c r="H28" s="699"/>
      <c r="I28" s="699"/>
      <c r="J28" s="699"/>
      <c r="K28" s="699"/>
      <c r="L28" s="699"/>
      <c r="M28" s="699"/>
      <c r="N28" s="699"/>
      <c r="O28" s="699"/>
      <c r="P28" s="699"/>
      <c r="Q28" s="696"/>
      <c r="S28" s="696"/>
      <c r="T28" s="696"/>
      <c r="U28" s="696"/>
      <c r="V28" s="696"/>
      <c r="W28" s="696"/>
      <c r="X28" s="696"/>
      <c r="Y28" s="696"/>
      <c r="Z28" s="696"/>
      <c r="AA28" s="696"/>
      <c r="AB28" s="696"/>
      <c r="AC28" s="696"/>
      <c r="AD28" s="696"/>
    </row>
    <row r="29" spans="2:142">
      <c r="F29" s="696"/>
      <c r="G29" s="699"/>
      <c r="H29" s="700"/>
      <c r="I29" s="699"/>
      <c r="J29" s="699"/>
      <c r="K29" s="699"/>
      <c r="L29" s="699"/>
      <c r="M29" s="699"/>
      <c r="N29" s="699"/>
      <c r="O29" s="699"/>
      <c r="P29" s="699"/>
      <c r="Q29" s="696"/>
      <c r="S29" s="696"/>
      <c r="T29" s="696"/>
      <c r="U29" s="696"/>
      <c r="V29" s="696"/>
      <c r="W29" s="696"/>
      <c r="X29" s="696"/>
      <c r="Y29" s="696"/>
      <c r="Z29" s="696"/>
      <c r="AA29" s="696"/>
      <c r="AB29" s="696"/>
      <c r="AC29" s="696"/>
      <c r="AD29" s="696"/>
    </row>
    <row r="30" spans="2:142">
      <c r="B30" s="2" t="s">
        <v>800</v>
      </c>
      <c r="F30" s="696"/>
      <c r="G30" s="699"/>
      <c r="H30" s="700"/>
      <c r="I30" s="699"/>
      <c r="J30" s="699"/>
      <c r="K30" s="699"/>
      <c r="L30" s="699"/>
      <c r="M30" s="699"/>
      <c r="N30" s="699"/>
      <c r="O30" s="699"/>
      <c r="P30" s="699"/>
      <c r="Q30" s="696"/>
      <c r="S30" s="696"/>
      <c r="T30" s="696"/>
      <c r="U30" s="696"/>
      <c r="V30" s="696"/>
      <c r="W30" s="696"/>
      <c r="X30" s="696"/>
      <c r="Y30" s="696"/>
      <c r="Z30" s="696"/>
      <c r="AA30" s="696"/>
      <c r="AB30" s="696"/>
      <c r="AC30" s="696"/>
      <c r="AD30" s="696"/>
    </row>
    <row r="31" spans="2:142">
      <c r="F31" s="696"/>
      <c r="G31" s="699"/>
      <c r="H31" s="700"/>
      <c r="I31" s="699"/>
      <c r="J31" s="699"/>
      <c r="K31" s="699"/>
      <c r="L31" s="699"/>
      <c r="M31" s="699"/>
      <c r="N31" s="699"/>
      <c r="O31" s="699"/>
      <c r="P31" s="699"/>
      <c r="Q31" s="696"/>
      <c r="S31" s="696"/>
      <c r="T31" s="696"/>
      <c r="U31" s="696"/>
      <c r="V31" s="696"/>
      <c r="W31" s="696"/>
      <c r="X31" s="696"/>
      <c r="Y31" s="696"/>
      <c r="Z31" s="696"/>
      <c r="AA31" s="696"/>
      <c r="AB31" s="696"/>
      <c r="AC31" s="696"/>
      <c r="AD31" s="696"/>
    </row>
    <row r="32" spans="2:142">
      <c r="B32" s="2" t="s">
        <v>799</v>
      </c>
      <c r="C32" s="581"/>
      <c r="F32" s="696"/>
      <c r="G32" s="699"/>
      <c r="H32" s="700"/>
      <c r="I32" s="699"/>
      <c r="J32" s="699"/>
      <c r="K32" s="699"/>
      <c r="L32" s="699"/>
      <c r="M32" s="699"/>
      <c r="N32" s="699"/>
      <c r="O32" s="699"/>
      <c r="P32" s="699"/>
      <c r="Q32" s="696"/>
      <c r="S32" s="696"/>
      <c r="T32" s="696"/>
      <c r="U32" s="696"/>
      <c r="V32" s="696"/>
      <c r="W32" s="696"/>
      <c r="X32" s="696"/>
      <c r="Y32" s="696"/>
      <c r="Z32" s="696"/>
      <c r="AA32" s="696"/>
      <c r="AB32" s="696"/>
      <c r="AC32" s="696"/>
      <c r="AD32" s="696"/>
    </row>
    <row r="33" spans="1:30">
      <c r="B33" s="581"/>
      <c r="C33" s="581"/>
      <c r="F33" s="696"/>
      <c r="G33" s="699"/>
      <c r="H33" s="699"/>
      <c r="I33" s="699"/>
      <c r="J33" s="699"/>
      <c r="K33" s="699"/>
      <c r="L33" s="699"/>
      <c r="M33" s="699"/>
      <c r="N33" s="699"/>
      <c r="O33" s="699"/>
      <c r="P33" s="699"/>
      <c r="Q33" s="696"/>
      <c r="S33" s="696"/>
      <c r="T33" s="696"/>
      <c r="U33" s="696"/>
      <c r="V33" s="696"/>
      <c r="W33" s="696"/>
      <c r="X33" s="696"/>
      <c r="Y33" s="696"/>
      <c r="Z33" s="696"/>
      <c r="AA33" s="696"/>
      <c r="AB33" s="696"/>
      <c r="AC33" s="696"/>
      <c r="AD33" s="696"/>
    </row>
    <row r="34" spans="1:30">
      <c r="B34" s="2" t="s">
        <v>788</v>
      </c>
      <c r="F34" s="696"/>
      <c r="G34" s="698"/>
      <c r="H34" s="696"/>
      <c r="I34" s="696"/>
      <c r="J34" s="696"/>
      <c r="K34" s="696"/>
      <c r="L34" s="696"/>
      <c r="M34" s="696"/>
      <c r="N34" s="696"/>
      <c r="O34" s="696"/>
      <c r="P34" s="696"/>
      <c r="Q34" s="696"/>
      <c r="S34" s="696"/>
      <c r="T34" s="696"/>
      <c r="U34" s="696"/>
      <c r="V34" s="696"/>
      <c r="W34" s="696"/>
      <c r="X34" s="696"/>
      <c r="Y34" s="696"/>
      <c r="Z34" s="696"/>
      <c r="AA34" s="696"/>
      <c r="AB34" s="696"/>
      <c r="AC34" s="696"/>
      <c r="AD34" s="696"/>
    </row>
    <row r="35" spans="1:30">
      <c r="F35" s="696"/>
      <c r="G35" s="698"/>
      <c r="H35" s="696"/>
      <c r="I35" s="696"/>
      <c r="J35" s="696"/>
      <c r="K35" s="696"/>
      <c r="L35" s="696"/>
      <c r="M35" s="696"/>
      <c r="N35" s="696"/>
      <c r="O35" s="696"/>
      <c r="P35" s="696"/>
      <c r="Q35" s="696"/>
      <c r="S35" s="696"/>
      <c r="T35" s="696"/>
      <c r="U35" s="696"/>
      <c r="V35" s="696"/>
      <c r="W35" s="696"/>
      <c r="X35" s="696"/>
      <c r="Y35" s="696"/>
      <c r="Z35" s="696"/>
      <c r="AA35" s="696"/>
      <c r="AB35" s="696"/>
      <c r="AC35" s="696"/>
      <c r="AD35" s="696"/>
    </row>
    <row r="36" spans="1:30">
      <c r="A36" s="2" t="s">
        <v>798</v>
      </c>
      <c r="F36" s="696"/>
      <c r="G36" s="698"/>
      <c r="H36" s="696"/>
      <c r="I36" s="696"/>
      <c r="J36" s="696"/>
      <c r="K36" s="696"/>
      <c r="L36" s="696"/>
      <c r="M36" s="696"/>
      <c r="N36" s="696"/>
      <c r="O36" s="696"/>
      <c r="P36" s="696"/>
      <c r="Q36" s="696"/>
      <c r="S36" s="696"/>
      <c r="T36" s="696"/>
      <c r="U36" s="696"/>
      <c r="V36" s="696"/>
      <c r="W36" s="696"/>
      <c r="X36" s="696"/>
      <c r="Y36" s="696"/>
      <c r="Z36" s="696"/>
      <c r="AA36" s="696"/>
      <c r="AB36" s="696"/>
      <c r="AC36" s="696"/>
      <c r="AD36" s="696"/>
    </row>
    <row r="37" spans="1:30">
      <c r="A37" s="2" t="s">
        <v>797</v>
      </c>
      <c r="F37" s="696"/>
      <c r="G37" s="698"/>
      <c r="H37" s="696"/>
      <c r="I37" s="696"/>
      <c r="J37" s="696"/>
      <c r="K37" s="696"/>
      <c r="L37" s="696"/>
      <c r="M37" s="696"/>
      <c r="N37" s="696"/>
      <c r="O37" s="696"/>
      <c r="P37" s="696"/>
      <c r="Q37" s="696"/>
      <c r="S37" s="696"/>
      <c r="T37" s="696"/>
      <c r="U37" s="696"/>
      <c r="V37" s="696"/>
      <c r="W37" s="696"/>
      <c r="X37" s="696"/>
      <c r="Y37" s="696"/>
      <c r="Z37" s="696"/>
      <c r="AA37" s="696"/>
      <c r="AB37" s="696"/>
      <c r="AC37" s="696"/>
      <c r="AD37" s="696"/>
    </row>
    <row r="38" spans="1:30">
      <c r="F38" s="696"/>
      <c r="G38" s="698"/>
      <c r="H38" s="696"/>
      <c r="I38" s="696"/>
      <c r="J38" s="696"/>
      <c r="K38" s="696"/>
      <c r="L38" s="696"/>
      <c r="M38" s="696"/>
      <c r="N38" s="696"/>
      <c r="O38" s="696"/>
      <c r="P38" s="696"/>
      <c r="Q38" s="696"/>
      <c r="S38" s="696"/>
      <c r="T38" s="696"/>
      <c r="U38" s="696"/>
      <c r="V38" s="696"/>
      <c r="W38" s="696"/>
      <c r="X38" s="696"/>
      <c r="Y38" s="696"/>
      <c r="Z38" s="696"/>
      <c r="AA38" s="696"/>
      <c r="AB38" s="696"/>
      <c r="AC38" s="696"/>
      <c r="AD38" s="696"/>
    </row>
    <row r="39" spans="1:30">
      <c r="A39" s="2" t="s">
        <v>754</v>
      </c>
      <c r="F39" s="696"/>
      <c r="G39" s="697"/>
      <c r="H39" s="696"/>
      <c r="I39" s="696"/>
      <c r="J39" s="696"/>
      <c r="K39" s="696"/>
      <c r="L39" s="696"/>
      <c r="M39" s="696"/>
      <c r="N39" s="696"/>
      <c r="O39" s="696"/>
      <c r="P39" s="696"/>
      <c r="Q39" s="696"/>
      <c r="S39" s="696"/>
      <c r="T39" s="696"/>
      <c r="U39" s="696"/>
      <c r="V39" s="696"/>
      <c r="W39" s="696"/>
      <c r="X39" s="696"/>
      <c r="Y39" s="696"/>
      <c r="Z39" s="696"/>
      <c r="AA39" s="696"/>
      <c r="AB39" s="696"/>
      <c r="AC39" s="696"/>
      <c r="AD39" s="696"/>
    </row>
    <row r="41" spans="1:30">
      <c r="B41" s="590"/>
      <c r="C41" s="695" t="s">
        <v>796</v>
      </c>
    </row>
    <row r="42" spans="1:30">
      <c r="B42" s="590" t="s">
        <v>795</v>
      </c>
      <c r="C42" s="694">
        <v>21500000</v>
      </c>
    </row>
    <row r="43" spans="1:30">
      <c r="B43" s="590" t="s">
        <v>794</v>
      </c>
      <c r="C43" s="693">
        <v>19750000</v>
      </c>
      <c r="G43" s="692"/>
    </row>
    <row r="44" spans="1:30">
      <c r="B44" s="590" t="s">
        <v>51</v>
      </c>
      <c r="C44" s="691">
        <v>2.5000000000000001E-2</v>
      </c>
      <c r="G44" s="690"/>
    </row>
    <row r="45" spans="1:30">
      <c r="B45" s="590" t="s">
        <v>793</v>
      </c>
      <c r="C45" s="691">
        <v>5.5E-2</v>
      </c>
      <c r="G45" s="690"/>
    </row>
    <row r="46" spans="1:30">
      <c r="G46" s="690"/>
    </row>
    <row r="47" spans="1:30">
      <c r="A47" s="2" t="s">
        <v>792</v>
      </c>
    </row>
    <row r="48" spans="1:30">
      <c r="B48" s="689" t="s">
        <v>791</v>
      </c>
    </row>
    <row r="49" spans="2:2">
      <c r="B49" s="689" t="s">
        <v>790</v>
      </c>
    </row>
    <row r="51" spans="2:2">
      <c r="B51" s="619" t="s">
        <v>789</v>
      </c>
    </row>
    <row r="53" spans="2:2">
      <c r="B53" s="2" t="s">
        <v>788</v>
      </c>
    </row>
  </sheetData>
  <sheetProtection algorithmName="SHA-512" hashValue="BT2I7/K73+GhKBoo/KPYi+9MdXXnTXdyJ4XUGLgOVCAGEyFc7MvLaPzKp4sfi2+mhR0NxZsaKP4q5hCSci4SMw==" saltValue="tOwkfb0ttiKftNQiR8rLww==" spinCount="100000" sheet="1" formatCells="0" formatColumns="0" formatRows="0" insertColumns="0" insertRows="0"/>
  <mergeCells count="3">
    <mergeCell ref="G7:Q7"/>
    <mergeCell ref="T7:AD7"/>
    <mergeCell ref="T8:AD8"/>
  </mergeCells>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AB377-E3EA-4933-B2A9-FFF0EB6B20EA}">
  <dimension ref="A1:EL84"/>
  <sheetViews>
    <sheetView zoomScale="70" zoomScaleNormal="70" workbookViewId="0">
      <selection sqref="A1:XFD1048576"/>
    </sheetView>
  </sheetViews>
  <sheetFormatPr defaultColWidth="9.33203125" defaultRowHeight="15.6"/>
  <cols>
    <col min="1" max="1" width="3.6640625" style="2" customWidth="1"/>
    <col min="2" max="2" width="45.33203125" style="2" customWidth="1"/>
    <col min="3" max="4" width="22.6640625" style="2" customWidth="1"/>
    <col min="5" max="5" width="1" style="3" customWidth="1"/>
    <col min="6" max="6" width="4" style="560" customWidth="1"/>
    <col min="7" max="7" width="39.5546875" style="560" customWidth="1"/>
    <col min="8" max="8" width="20.88671875" style="560" customWidth="1"/>
    <col min="9" max="9" width="13" style="560" bestFit="1" customWidth="1"/>
    <col min="10" max="17" width="2.5546875" style="560" customWidth="1"/>
    <col min="18" max="18" width="1" style="561" customWidth="1"/>
    <col min="19" max="19" width="9.33203125" style="560"/>
    <col min="20" max="20" width="37.88671875" style="560" customWidth="1"/>
    <col min="21" max="21" width="16.44140625" style="560" bestFit="1" customWidth="1"/>
    <col min="22" max="22" width="9.33203125" style="560"/>
    <col min="23" max="23" width="36.6640625" style="560" customWidth="1"/>
    <col min="24" max="24" width="15.6640625" style="560" bestFit="1" customWidth="1"/>
    <col min="25" max="30" width="9.33203125" style="560"/>
    <col min="31" max="31" width="1.88671875" style="617" customWidth="1"/>
    <col min="32" max="16384" width="9.33203125" style="560"/>
  </cols>
  <sheetData>
    <row r="1" spans="1:142">
      <c r="A1" s="1" t="s">
        <v>822</v>
      </c>
      <c r="F1" s="1" t="s">
        <v>822</v>
      </c>
      <c r="G1" s="2"/>
      <c r="H1" s="2"/>
      <c r="I1" s="2"/>
      <c r="J1" s="2"/>
      <c r="K1" s="2"/>
      <c r="L1" s="2"/>
      <c r="M1" s="2"/>
      <c r="N1" s="2"/>
      <c r="O1" s="2"/>
      <c r="P1" s="2"/>
      <c r="Q1" s="2"/>
      <c r="S1" s="1" t="s">
        <v>822</v>
      </c>
      <c r="T1" s="2"/>
      <c r="U1" s="2"/>
      <c r="V1" s="2"/>
      <c r="W1" s="2"/>
      <c r="X1" s="2"/>
      <c r="Y1" s="2"/>
      <c r="Z1" s="2"/>
      <c r="AA1" s="2"/>
      <c r="AB1" s="2"/>
      <c r="AC1" s="2"/>
      <c r="AD1" s="2"/>
      <c r="AF1" s="561"/>
      <c r="AG1" s="561"/>
      <c r="AH1" s="561"/>
      <c r="AI1" s="561"/>
      <c r="AJ1" s="561"/>
      <c r="AK1" s="561"/>
      <c r="AL1" s="561"/>
      <c r="AM1" s="561"/>
      <c r="AN1" s="561"/>
      <c r="AO1" s="561"/>
      <c r="AP1" s="561"/>
      <c r="AQ1" s="561"/>
      <c r="AR1" s="561"/>
      <c r="AS1" s="561"/>
      <c r="AT1" s="561"/>
      <c r="AU1" s="561"/>
      <c r="AV1" s="561"/>
      <c r="AW1" s="561"/>
      <c r="AX1" s="561"/>
      <c r="AY1" s="561"/>
      <c r="AZ1" s="561"/>
      <c r="BA1" s="561"/>
      <c r="BB1" s="561"/>
      <c r="BC1" s="561"/>
      <c r="BD1" s="561"/>
      <c r="BE1" s="561"/>
      <c r="BF1" s="561"/>
      <c r="BG1" s="561"/>
      <c r="BH1" s="561"/>
      <c r="BI1" s="561"/>
      <c r="BJ1" s="561"/>
      <c r="BK1" s="561"/>
      <c r="BL1" s="561"/>
      <c r="BM1" s="561"/>
      <c r="BN1" s="561"/>
      <c r="BO1" s="561"/>
      <c r="BP1" s="561"/>
      <c r="BQ1" s="561"/>
      <c r="BR1" s="561"/>
      <c r="BS1" s="561"/>
      <c r="BT1" s="561"/>
      <c r="BU1" s="561"/>
      <c r="BV1" s="561"/>
      <c r="BW1" s="561"/>
      <c r="BX1" s="561"/>
      <c r="BY1" s="561"/>
      <c r="BZ1" s="561"/>
      <c r="CA1" s="561"/>
      <c r="CB1" s="561"/>
      <c r="CC1" s="561"/>
      <c r="CD1" s="561"/>
      <c r="CE1" s="561"/>
      <c r="CF1" s="561"/>
      <c r="CG1" s="561"/>
      <c r="CH1" s="561"/>
      <c r="CI1" s="561"/>
      <c r="CJ1" s="561"/>
      <c r="CK1" s="561"/>
      <c r="CL1" s="561"/>
      <c r="CM1" s="561"/>
      <c r="CN1" s="561"/>
      <c r="CO1" s="561"/>
      <c r="CP1" s="561"/>
      <c r="CQ1" s="561"/>
      <c r="CR1" s="561"/>
      <c r="CS1" s="561"/>
      <c r="CT1" s="561"/>
      <c r="CU1" s="561"/>
      <c r="CV1" s="561"/>
      <c r="CW1" s="561"/>
      <c r="CX1" s="561"/>
      <c r="CY1" s="561"/>
      <c r="CZ1" s="561"/>
      <c r="DA1" s="561"/>
      <c r="DB1" s="561"/>
      <c r="DC1" s="561"/>
      <c r="DD1" s="561"/>
      <c r="DE1" s="561"/>
      <c r="DF1" s="561"/>
      <c r="DG1" s="561"/>
      <c r="DH1" s="561"/>
      <c r="DI1" s="561"/>
      <c r="DJ1" s="561"/>
      <c r="DK1" s="561"/>
      <c r="DL1" s="561"/>
      <c r="DM1" s="561"/>
      <c r="DN1" s="561"/>
      <c r="DO1" s="561"/>
      <c r="DP1" s="561"/>
      <c r="DQ1" s="561"/>
      <c r="DR1" s="561"/>
      <c r="DS1" s="561"/>
      <c r="DT1" s="561"/>
      <c r="DU1" s="561"/>
      <c r="DV1" s="561"/>
      <c r="DW1" s="561"/>
      <c r="DX1" s="561"/>
      <c r="DY1" s="561"/>
      <c r="DZ1" s="561"/>
      <c r="EA1" s="561"/>
      <c r="EB1" s="561"/>
      <c r="EC1" s="561"/>
      <c r="ED1" s="561"/>
      <c r="EE1" s="561"/>
      <c r="EF1" s="561"/>
      <c r="EG1" s="561"/>
      <c r="EH1" s="561"/>
      <c r="EI1" s="561"/>
      <c r="EJ1" s="561"/>
      <c r="EK1" s="561"/>
      <c r="EL1" s="561"/>
    </row>
    <row r="2" spans="1:142">
      <c r="A2" s="1" t="s">
        <v>732</v>
      </c>
      <c r="F2" s="1" t="s">
        <v>732</v>
      </c>
      <c r="G2" s="2"/>
      <c r="H2" s="2"/>
      <c r="I2" s="2"/>
      <c r="J2" s="2"/>
      <c r="K2" s="2"/>
      <c r="L2" s="2"/>
      <c r="M2" s="2"/>
      <c r="N2" s="2"/>
      <c r="O2" s="2"/>
      <c r="P2" s="2"/>
      <c r="Q2" s="2"/>
      <c r="S2" s="1" t="s">
        <v>732</v>
      </c>
      <c r="T2" s="2"/>
      <c r="U2" s="2"/>
      <c r="V2" s="2"/>
      <c r="W2" s="2"/>
      <c r="X2" s="2"/>
      <c r="Y2" s="2"/>
      <c r="Z2" s="2"/>
      <c r="AA2" s="2"/>
      <c r="AB2" s="2"/>
      <c r="AC2" s="2"/>
      <c r="AD2" s="2"/>
      <c r="AF2" s="561"/>
      <c r="AG2" s="561"/>
      <c r="AH2" s="561"/>
      <c r="AI2" s="561"/>
      <c r="AJ2" s="561"/>
      <c r="AK2" s="561"/>
      <c r="AL2" s="561"/>
      <c r="AM2" s="561"/>
      <c r="AN2" s="561"/>
      <c r="AO2" s="561"/>
      <c r="AP2" s="561"/>
      <c r="AQ2" s="561"/>
      <c r="AR2" s="561"/>
      <c r="AS2" s="561"/>
      <c r="AT2" s="561"/>
      <c r="AU2" s="561"/>
      <c r="AV2" s="561"/>
      <c r="AW2" s="561"/>
      <c r="AX2" s="561"/>
      <c r="AY2" s="561"/>
      <c r="AZ2" s="561"/>
      <c r="BA2" s="561"/>
      <c r="BB2" s="561"/>
      <c r="BC2" s="561"/>
      <c r="BD2" s="561"/>
      <c r="BE2" s="561"/>
      <c r="BF2" s="561"/>
      <c r="BG2" s="561"/>
      <c r="BH2" s="561"/>
      <c r="BI2" s="561"/>
      <c r="BJ2" s="561"/>
      <c r="BK2" s="561"/>
      <c r="BL2" s="561"/>
      <c r="BM2" s="561"/>
      <c r="BN2" s="561"/>
      <c r="BO2" s="561"/>
      <c r="BP2" s="561"/>
      <c r="BQ2" s="561"/>
      <c r="BR2" s="561"/>
      <c r="BS2" s="561"/>
      <c r="BT2" s="561"/>
      <c r="BU2" s="561"/>
      <c r="BV2" s="561"/>
      <c r="BW2" s="561"/>
      <c r="BX2" s="561"/>
      <c r="BY2" s="561"/>
      <c r="BZ2" s="561"/>
      <c r="CA2" s="561"/>
      <c r="CB2" s="561"/>
      <c r="CC2" s="561"/>
      <c r="CD2" s="561"/>
      <c r="CE2" s="561"/>
      <c r="CF2" s="561"/>
      <c r="CG2" s="561"/>
      <c r="CH2" s="561"/>
      <c r="CI2" s="561"/>
      <c r="CJ2" s="561"/>
      <c r="CK2" s="561"/>
      <c r="CL2" s="561"/>
      <c r="CM2" s="561"/>
      <c r="CN2" s="561"/>
      <c r="CO2" s="561"/>
      <c r="CP2" s="561"/>
      <c r="CQ2" s="561"/>
      <c r="CR2" s="561"/>
      <c r="CS2" s="561"/>
      <c r="CT2" s="561"/>
      <c r="CU2" s="561"/>
      <c r="CV2" s="561"/>
      <c r="CW2" s="561"/>
      <c r="CX2" s="561"/>
      <c r="CY2" s="561"/>
      <c r="CZ2" s="561"/>
      <c r="DA2" s="561"/>
      <c r="DB2" s="561"/>
      <c r="DC2" s="561"/>
      <c r="DD2" s="561"/>
      <c r="DE2" s="561"/>
      <c r="DF2" s="561"/>
      <c r="DG2" s="561"/>
      <c r="DH2" s="561"/>
      <c r="DI2" s="561"/>
      <c r="DJ2" s="561"/>
      <c r="DK2" s="561"/>
      <c r="DL2" s="561"/>
      <c r="DM2" s="561"/>
      <c r="DN2" s="561"/>
      <c r="DO2" s="561"/>
      <c r="DP2" s="561"/>
      <c r="DQ2" s="561"/>
      <c r="DR2" s="561"/>
      <c r="DS2" s="561"/>
      <c r="DT2" s="561"/>
      <c r="DU2" s="561"/>
      <c r="DV2" s="561"/>
      <c r="DW2" s="561"/>
      <c r="DX2" s="561"/>
      <c r="DY2" s="561"/>
      <c r="DZ2" s="561"/>
      <c r="EA2" s="561"/>
      <c r="EB2" s="561"/>
      <c r="EC2" s="561"/>
      <c r="ED2" s="561"/>
      <c r="EE2" s="561"/>
      <c r="EF2" s="561"/>
      <c r="EG2" s="561"/>
      <c r="EH2" s="561"/>
      <c r="EI2" s="561"/>
      <c r="EJ2" s="561"/>
      <c r="EK2" s="561"/>
      <c r="EL2" s="561"/>
    </row>
    <row r="3" spans="1:142">
      <c r="A3" s="1" t="s">
        <v>259</v>
      </c>
      <c r="F3" s="1" t="s">
        <v>259</v>
      </c>
      <c r="G3" s="2"/>
      <c r="H3" s="2"/>
      <c r="I3" s="2"/>
      <c r="J3" s="2"/>
      <c r="K3" s="2"/>
      <c r="L3" s="2"/>
      <c r="M3" s="2"/>
      <c r="N3" s="2"/>
      <c r="O3" s="2"/>
      <c r="P3" s="2"/>
      <c r="Q3" s="2"/>
      <c r="S3" s="1" t="s">
        <v>259</v>
      </c>
      <c r="T3" s="2"/>
      <c r="U3" s="2"/>
      <c r="V3" s="2"/>
      <c r="W3" s="2"/>
      <c r="X3" s="2"/>
      <c r="Y3" s="2"/>
      <c r="Z3" s="2"/>
      <c r="AA3" s="2"/>
      <c r="AB3" s="2"/>
      <c r="AC3" s="2"/>
      <c r="AD3" s="2"/>
      <c r="AF3" s="561"/>
      <c r="AG3" s="561"/>
      <c r="AH3" s="561"/>
      <c r="AI3" s="561"/>
      <c r="AJ3" s="561"/>
      <c r="AK3" s="561"/>
      <c r="AL3" s="561"/>
      <c r="AM3" s="561"/>
      <c r="AN3" s="561"/>
      <c r="AO3" s="561"/>
      <c r="AP3" s="561"/>
      <c r="AQ3" s="561"/>
      <c r="AR3" s="561"/>
      <c r="AS3" s="561"/>
      <c r="AT3" s="561"/>
      <c r="AU3" s="561"/>
      <c r="AV3" s="561"/>
      <c r="AW3" s="561"/>
      <c r="AX3" s="561"/>
      <c r="AY3" s="561"/>
      <c r="AZ3" s="561"/>
      <c r="BA3" s="561"/>
      <c r="BB3" s="561"/>
      <c r="BC3" s="561"/>
      <c r="BD3" s="561"/>
      <c r="BE3" s="561"/>
      <c r="BF3" s="561"/>
      <c r="BG3" s="561"/>
      <c r="BH3" s="561"/>
      <c r="BI3" s="561"/>
      <c r="BJ3" s="561"/>
      <c r="BK3" s="561"/>
      <c r="BL3" s="561"/>
      <c r="BM3" s="561"/>
      <c r="BN3" s="561"/>
      <c r="BO3" s="561"/>
      <c r="BP3" s="561"/>
      <c r="BQ3" s="561"/>
      <c r="BR3" s="561"/>
      <c r="BS3" s="561"/>
      <c r="BT3" s="561"/>
      <c r="BU3" s="561"/>
      <c r="BV3" s="561"/>
      <c r="BW3" s="561"/>
      <c r="BX3" s="561"/>
      <c r="BY3" s="561"/>
      <c r="BZ3" s="561"/>
      <c r="CA3" s="561"/>
      <c r="CB3" s="561"/>
      <c r="CC3" s="561"/>
      <c r="CD3" s="561"/>
      <c r="CE3" s="561"/>
      <c r="CF3" s="561"/>
      <c r="CG3" s="561"/>
      <c r="CH3" s="561"/>
      <c r="CI3" s="561"/>
      <c r="CJ3" s="561"/>
      <c r="CK3" s="561"/>
      <c r="CL3" s="561"/>
      <c r="CM3" s="561"/>
      <c r="CN3" s="561"/>
      <c r="CO3" s="561"/>
      <c r="CP3" s="561"/>
      <c r="CQ3" s="561"/>
      <c r="CR3" s="561"/>
      <c r="CS3" s="561"/>
      <c r="CT3" s="561"/>
      <c r="CU3" s="561"/>
      <c r="CV3" s="561"/>
      <c r="CW3" s="561"/>
      <c r="CX3" s="561"/>
      <c r="CY3" s="561"/>
      <c r="CZ3" s="561"/>
      <c r="DA3" s="561"/>
      <c r="DB3" s="561"/>
      <c r="DC3" s="561"/>
      <c r="DD3" s="561"/>
      <c r="DE3" s="561"/>
      <c r="DF3" s="561"/>
      <c r="DG3" s="561"/>
      <c r="DH3" s="561"/>
      <c r="DI3" s="561"/>
      <c r="DJ3" s="561"/>
      <c r="DK3" s="561"/>
      <c r="DL3" s="561"/>
      <c r="DM3" s="561"/>
      <c r="DN3" s="561"/>
      <c r="DO3" s="561"/>
      <c r="DP3" s="561"/>
      <c r="DQ3" s="561"/>
      <c r="DR3" s="561"/>
      <c r="DS3" s="561"/>
      <c r="DT3" s="561"/>
      <c r="DU3" s="561"/>
      <c r="DV3" s="561"/>
      <c r="DW3" s="561"/>
      <c r="DX3" s="561"/>
      <c r="DY3" s="561"/>
      <c r="DZ3" s="561"/>
      <c r="EA3" s="561"/>
      <c r="EB3" s="561"/>
      <c r="EC3" s="561"/>
      <c r="ED3" s="561"/>
      <c r="EE3" s="561"/>
      <c r="EF3" s="561"/>
      <c r="EG3" s="561"/>
      <c r="EH3" s="561"/>
      <c r="EI3" s="561"/>
      <c r="EJ3" s="561"/>
      <c r="EK3" s="561"/>
      <c r="EL3" s="561"/>
    </row>
    <row r="4" spans="1:142">
      <c r="F4" s="2"/>
      <c r="G4" s="2"/>
      <c r="H4" s="2"/>
      <c r="I4" s="2"/>
      <c r="J4" s="2"/>
      <c r="K4" s="2"/>
      <c r="L4" s="2"/>
      <c r="M4" s="2"/>
      <c r="N4" s="2"/>
      <c r="O4" s="2"/>
      <c r="P4" s="2"/>
      <c r="Q4" s="2"/>
      <c r="S4" s="2"/>
      <c r="T4" s="2"/>
      <c r="U4" s="2"/>
      <c r="V4" s="2"/>
      <c r="W4" s="2"/>
      <c r="X4" s="2"/>
      <c r="Y4" s="2"/>
      <c r="Z4" s="2"/>
      <c r="AA4" s="2"/>
      <c r="AB4" s="2"/>
      <c r="AC4" s="2"/>
      <c r="AD4" s="2"/>
      <c r="AF4" s="561"/>
      <c r="AG4" s="561"/>
      <c r="AH4" s="561"/>
      <c r="AI4" s="561"/>
      <c r="AJ4" s="561"/>
      <c r="AK4" s="561"/>
      <c r="AL4" s="561"/>
      <c r="AM4" s="561"/>
      <c r="AN4" s="561"/>
      <c r="AO4" s="561"/>
      <c r="AP4" s="561"/>
      <c r="AQ4" s="561"/>
      <c r="AR4" s="561"/>
      <c r="AS4" s="561"/>
      <c r="AT4" s="561"/>
      <c r="AU4" s="561"/>
      <c r="AV4" s="561"/>
      <c r="AW4" s="561"/>
      <c r="AX4" s="561"/>
      <c r="AY4" s="561"/>
      <c r="AZ4" s="561"/>
      <c r="BA4" s="561"/>
      <c r="BB4" s="561"/>
      <c r="BC4" s="561"/>
      <c r="BD4" s="561"/>
      <c r="BE4" s="561"/>
      <c r="BF4" s="561"/>
      <c r="BG4" s="561"/>
      <c r="BH4" s="561"/>
      <c r="BI4" s="561"/>
      <c r="BJ4" s="561"/>
      <c r="BK4" s="561"/>
      <c r="BL4" s="561"/>
      <c r="BM4" s="561"/>
      <c r="BN4" s="561"/>
      <c r="BO4" s="561"/>
      <c r="BP4" s="561"/>
      <c r="BQ4" s="561"/>
      <c r="BR4" s="561"/>
      <c r="BS4" s="561"/>
      <c r="BT4" s="561"/>
      <c r="BU4" s="561"/>
      <c r="BV4" s="561"/>
      <c r="BW4" s="561"/>
      <c r="BX4" s="561"/>
      <c r="BY4" s="561"/>
      <c r="BZ4" s="561"/>
      <c r="CA4" s="561"/>
      <c r="CB4" s="561"/>
      <c r="CC4" s="561"/>
      <c r="CD4" s="561"/>
      <c r="CE4" s="561"/>
      <c r="CF4" s="561"/>
      <c r="CG4" s="561"/>
      <c r="CH4" s="561"/>
      <c r="CI4" s="561"/>
      <c r="CJ4" s="561"/>
      <c r="CK4" s="561"/>
      <c r="CL4" s="561"/>
      <c r="CM4" s="561"/>
      <c r="CN4" s="561"/>
      <c r="CO4" s="561"/>
      <c r="CP4" s="561"/>
      <c r="CQ4" s="561"/>
      <c r="CR4" s="561"/>
      <c r="CS4" s="561"/>
      <c r="CT4" s="561"/>
      <c r="CU4" s="561"/>
      <c r="CV4" s="561"/>
      <c r="CW4" s="561"/>
      <c r="CX4" s="561"/>
      <c r="CY4" s="561"/>
      <c r="CZ4" s="561"/>
      <c r="DA4" s="561"/>
      <c r="DB4" s="561"/>
      <c r="DC4" s="561"/>
      <c r="DD4" s="561"/>
      <c r="DE4" s="561"/>
      <c r="DF4" s="561"/>
      <c r="DG4" s="561"/>
      <c r="DH4" s="561"/>
      <c r="DI4" s="561"/>
      <c r="DJ4" s="561"/>
      <c r="DK4" s="561"/>
      <c r="DL4" s="561"/>
      <c r="DM4" s="561"/>
      <c r="DN4" s="561"/>
      <c r="DO4" s="561"/>
      <c r="DP4" s="561"/>
      <c r="DQ4" s="561"/>
      <c r="DR4" s="561"/>
      <c r="DS4" s="561"/>
      <c r="DT4" s="561"/>
      <c r="DU4" s="561"/>
      <c r="DV4" s="561"/>
      <c r="DW4" s="561"/>
      <c r="DX4" s="561"/>
      <c r="DY4" s="561"/>
      <c r="DZ4" s="561"/>
      <c r="EA4" s="561"/>
      <c r="EB4" s="561"/>
      <c r="EC4" s="561"/>
      <c r="ED4" s="561"/>
      <c r="EE4" s="561"/>
      <c r="EF4" s="561"/>
      <c r="EG4" s="561"/>
      <c r="EH4" s="561"/>
      <c r="EI4" s="561"/>
      <c r="EJ4" s="561"/>
      <c r="EK4" s="561"/>
      <c r="EL4" s="561"/>
    </row>
    <row r="5" spans="1:142" ht="16.2">
      <c r="A5" s="6" t="s">
        <v>697</v>
      </c>
      <c r="F5" s="660" t="s">
        <v>696</v>
      </c>
      <c r="G5" s="2"/>
      <c r="H5" s="2"/>
      <c r="I5" s="2"/>
      <c r="J5" s="2"/>
      <c r="K5" s="2"/>
      <c r="L5" s="2"/>
      <c r="M5" s="2"/>
      <c r="N5" s="2"/>
      <c r="O5" s="2"/>
      <c r="P5" s="2"/>
      <c r="Q5" s="2"/>
      <c r="S5" s="660" t="s">
        <v>786</v>
      </c>
      <c r="T5" s="2"/>
      <c r="U5" s="2"/>
      <c r="V5" s="2"/>
      <c r="W5" s="2"/>
      <c r="X5" s="2"/>
      <c r="Y5" s="2"/>
      <c r="Z5" s="2"/>
      <c r="AA5" s="2"/>
      <c r="AB5" s="2"/>
      <c r="AC5" s="2"/>
      <c r="AD5" s="2"/>
      <c r="AF5" s="561"/>
      <c r="AG5" s="561"/>
      <c r="AH5" s="561"/>
      <c r="AI5" s="561"/>
      <c r="AJ5" s="561"/>
      <c r="AK5" s="561"/>
      <c r="AL5" s="561"/>
      <c r="AM5" s="561"/>
      <c r="AN5" s="561"/>
      <c r="AO5" s="561"/>
      <c r="AP5" s="561"/>
      <c r="AQ5" s="561"/>
      <c r="AR5" s="561"/>
      <c r="AS5" s="561"/>
      <c r="AT5" s="561"/>
      <c r="AU5" s="561"/>
      <c r="AV5" s="561"/>
      <c r="AW5" s="561"/>
      <c r="AX5" s="561"/>
      <c r="AY5" s="561"/>
      <c r="AZ5" s="561"/>
      <c r="BA5" s="561"/>
      <c r="BB5" s="561"/>
      <c r="BC5" s="561"/>
      <c r="BD5" s="561"/>
      <c r="BE5" s="561"/>
      <c r="BF5" s="561"/>
      <c r="BG5" s="561"/>
      <c r="BH5" s="561"/>
      <c r="BI5" s="561"/>
      <c r="BJ5" s="561"/>
      <c r="BK5" s="561"/>
      <c r="BL5" s="561"/>
      <c r="BM5" s="561"/>
      <c r="BN5" s="561"/>
      <c r="BO5" s="561"/>
      <c r="BP5" s="561"/>
      <c r="BQ5" s="561"/>
      <c r="BR5" s="561"/>
      <c r="BS5" s="561"/>
      <c r="BT5" s="561"/>
      <c r="BU5" s="561"/>
      <c r="BV5" s="561"/>
      <c r="BW5" s="561"/>
      <c r="BX5" s="561"/>
      <c r="BY5" s="561"/>
      <c r="BZ5" s="561"/>
      <c r="CA5" s="561"/>
      <c r="CB5" s="561"/>
      <c r="CC5" s="561"/>
      <c r="CD5" s="561"/>
      <c r="CE5" s="561"/>
      <c r="CF5" s="561"/>
      <c r="CG5" s="561"/>
      <c r="CH5" s="561"/>
      <c r="CI5" s="561"/>
      <c r="CJ5" s="561"/>
      <c r="CK5" s="561"/>
      <c r="CL5" s="561"/>
      <c r="CM5" s="561"/>
      <c r="CN5" s="561"/>
      <c r="CO5" s="561"/>
      <c r="CP5" s="561"/>
      <c r="CQ5" s="561"/>
      <c r="CR5" s="561"/>
      <c r="CS5" s="561"/>
      <c r="CT5" s="561"/>
      <c r="CU5" s="561"/>
      <c r="CV5" s="561"/>
      <c r="CW5" s="561"/>
      <c r="CX5" s="561"/>
      <c r="CY5" s="561"/>
      <c r="CZ5" s="561"/>
      <c r="DA5" s="561"/>
      <c r="DB5" s="561"/>
      <c r="DC5" s="561"/>
      <c r="DD5" s="561"/>
      <c r="DE5" s="561"/>
      <c r="DF5" s="561"/>
      <c r="DG5" s="561"/>
      <c r="DH5" s="561"/>
      <c r="DI5" s="561"/>
      <c r="DJ5" s="561"/>
      <c r="DK5" s="561"/>
      <c r="DL5" s="561"/>
      <c r="DM5" s="561"/>
      <c r="DN5" s="561"/>
      <c r="DO5" s="561"/>
      <c r="DP5" s="561"/>
      <c r="DQ5" s="561"/>
      <c r="DR5" s="561"/>
      <c r="DS5" s="561"/>
      <c r="DT5" s="561"/>
      <c r="DU5" s="561"/>
      <c r="DV5" s="561"/>
      <c r="DW5" s="561"/>
      <c r="DX5" s="561"/>
      <c r="DY5" s="561"/>
      <c r="DZ5" s="561"/>
      <c r="EA5" s="561"/>
      <c r="EB5" s="561"/>
      <c r="EC5" s="561"/>
      <c r="ED5" s="561"/>
      <c r="EE5" s="561"/>
      <c r="EF5" s="561"/>
      <c r="EG5" s="561"/>
      <c r="EH5" s="561"/>
      <c r="EI5" s="561"/>
      <c r="EJ5" s="561"/>
      <c r="EK5" s="561"/>
      <c r="EL5" s="561"/>
    </row>
    <row r="6" spans="1:142">
      <c r="A6" s="594"/>
      <c r="F6" s="2"/>
      <c r="G6" s="2"/>
      <c r="H6" s="2"/>
      <c r="I6" s="2"/>
      <c r="J6" s="2"/>
      <c r="K6" s="2"/>
      <c r="L6" s="2"/>
      <c r="M6" s="2"/>
      <c r="N6" s="2"/>
      <c r="O6" s="2"/>
      <c r="P6" s="2"/>
      <c r="Q6" s="2"/>
      <c r="S6" s="2"/>
      <c r="T6" s="2"/>
      <c r="U6" s="2"/>
      <c r="V6" s="2"/>
      <c r="W6" s="2"/>
      <c r="X6" s="2"/>
      <c r="Y6" s="2"/>
      <c r="Z6" s="2"/>
      <c r="AA6" s="2"/>
      <c r="AB6" s="2"/>
      <c r="AC6" s="2"/>
      <c r="AD6" s="2"/>
      <c r="AF6" s="561"/>
      <c r="AG6" s="561"/>
      <c r="AH6" s="561"/>
      <c r="AI6" s="561"/>
      <c r="AJ6" s="561"/>
      <c r="AK6" s="561"/>
      <c r="AL6" s="561"/>
      <c r="AM6" s="561"/>
      <c r="AN6" s="561"/>
      <c r="AO6" s="561"/>
      <c r="AP6" s="561"/>
      <c r="AQ6" s="561"/>
      <c r="AR6" s="561"/>
      <c r="AS6" s="561"/>
      <c r="AT6" s="561"/>
      <c r="AU6" s="561"/>
      <c r="AV6" s="561"/>
      <c r="AW6" s="561"/>
      <c r="AX6" s="561"/>
      <c r="AY6" s="561"/>
      <c r="AZ6" s="561"/>
      <c r="BA6" s="561"/>
      <c r="BB6" s="561"/>
      <c r="BC6" s="561"/>
      <c r="BD6" s="561"/>
      <c r="BE6" s="561"/>
      <c r="BF6" s="561"/>
      <c r="BG6" s="561"/>
      <c r="BH6" s="561"/>
      <c r="BI6" s="561"/>
      <c r="BJ6" s="561"/>
      <c r="BK6" s="561"/>
      <c r="BL6" s="561"/>
      <c r="BM6" s="561"/>
      <c r="BN6" s="561"/>
      <c r="BO6" s="561"/>
      <c r="BP6" s="561"/>
      <c r="BQ6" s="561"/>
      <c r="BR6" s="561"/>
      <c r="BS6" s="561"/>
      <c r="BT6" s="561"/>
      <c r="BU6" s="561"/>
      <c r="BV6" s="561"/>
      <c r="BW6" s="561"/>
      <c r="BX6" s="561"/>
      <c r="BY6" s="561"/>
      <c r="BZ6" s="561"/>
      <c r="CA6" s="561"/>
      <c r="CB6" s="561"/>
      <c r="CC6" s="561"/>
      <c r="CD6" s="561"/>
      <c r="CE6" s="561"/>
      <c r="CF6" s="561"/>
      <c r="CG6" s="561"/>
      <c r="CH6" s="561"/>
      <c r="CI6" s="561"/>
      <c r="CJ6" s="561"/>
      <c r="CK6" s="561"/>
      <c r="CL6" s="561"/>
      <c r="CM6" s="561"/>
      <c r="CN6" s="561"/>
      <c r="CO6" s="561"/>
      <c r="CP6" s="561"/>
      <c r="CQ6" s="561"/>
      <c r="CR6" s="561"/>
      <c r="CS6" s="561"/>
      <c r="CT6" s="561"/>
      <c r="CU6" s="561"/>
      <c r="CV6" s="561"/>
      <c r="CW6" s="561"/>
      <c r="CX6" s="561"/>
      <c r="CY6" s="561"/>
      <c r="CZ6" s="561"/>
      <c r="DA6" s="561"/>
      <c r="DB6" s="561"/>
      <c r="DC6" s="561"/>
      <c r="DD6" s="561"/>
      <c r="DE6" s="561"/>
      <c r="DF6" s="561"/>
      <c r="DG6" s="561"/>
      <c r="DH6" s="561"/>
      <c r="DI6" s="561"/>
      <c r="DJ6" s="561"/>
      <c r="DK6" s="561"/>
      <c r="DL6" s="561"/>
      <c r="DM6" s="561"/>
      <c r="DN6" s="561"/>
      <c r="DO6" s="561"/>
      <c r="DP6" s="561"/>
      <c r="DQ6" s="561"/>
      <c r="DR6" s="561"/>
      <c r="DS6" s="561"/>
      <c r="DT6" s="561"/>
      <c r="DU6" s="561"/>
      <c r="DV6" s="561"/>
      <c r="DW6" s="561"/>
      <c r="DX6" s="561"/>
      <c r="DY6" s="561"/>
      <c r="DZ6" s="561"/>
      <c r="EA6" s="561"/>
      <c r="EB6" s="561"/>
      <c r="EC6" s="561"/>
      <c r="ED6" s="561"/>
      <c r="EE6" s="561"/>
      <c r="EF6" s="561"/>
      <c r="EG6" s="561"/>
      <c r="EH6" s="561"/>
      <c r="EI6" s="561"/>
      <c r="EJ6" s="561"/>
      <c r="EK6" s="561"/>
      <c r="EL6" s="561"/>
    </row>
    <row r="7" spans="1:142">
      <c r="A7" s="2" t="s">
        <v>821</v>
      </c>
      <c r="F7" s="2" t="s">
        <v>246</v>
      </c>
      <c r="G7" s="1462" t="s">
        <v>820</v>
      </c>
      <c r="H7" s="1462"/>
      <c r="I7" s="1462"/>
      <c r="J7" s="1462"/>
      <c r="K7" s="1462"/>
      <c r="L7" s="1462"/>
      <c r="M7" s="1462"/>
      <c r="N7" s="1462"/>
      <c r="O7" s="1462"/>
      <c r="P7" s="1462"/>
      <c r="Q7" s="1462"/>
      <c r="S7" s="2" t="s">
        <v>6</v>
      </c>
      <c r="T7" s="1462" t="s">
        <v>819</v>
      </c>
      <c r="U7" s="1462"/>
      <c r="V7" s="1462"/>
      <c r="W7" s="1462"/>
      <c r="X7" s="1462"/>
      <c r="Y7" s="1462"/>
      <c r="Z7" s="1462"/>
      <c r="AA7" s="1462"/>
      <c r="AB7" s="1462"/>
      <c r="AC7" s="1462"/>
      <c r="AD7" s="1462"/>
      <c r="AF7" s="561"/>
      <c r="AG7" s="561"/>
      <c r="AH7" s="561"/>
      <c r="AI7" s="561"/>
      <c r="AJ7" s="561"/>
      <c r="AK7" s="561"/>
      <c r="AL7" s="561"/>
      <c r="AM7" s="561"/>
      <c r="AN7" s="561"/>
      <c r="AO7" s="561"/>
      <c r="AP7" s="561"/>
      <c r="AQ7" s="561"/>
      <c r="AR7" s="561"/>
      <c r="AS7" s="561"/>
      <c r="AT7" s="561"/>
      <c r="AU7" s="561"/>
      <c r="AV7" s="561"/>
      <c r="AW7" s="561"/>
      <c r="AX7" s="561"/>
      <c r="AY7" s="561"/>
      <c r="AZ7" s="561"/>
      <c r="BA7" s="561"/>
      <c r="BB7" s="561"/>
      <c r="BC7" s="561"/>
      <c r="BD7" s="561"/>
      <c r="BE7" s="561"/>
      <c r="BF7" s="561"/>
      <c r="BG7" s="561"/>
      <c r="BH7" s="561"/>
      <c r="BI7" s="561"/>
      <c r="BJ7" s="561"/>
      <c r="BK7" s="561"/>
      <c r="BL7" s="561"/>
      <c r="BM7" s="561"/>
      <c r="BN7" s="561"/>
      <c r="BO7" s="561"/>
      <c r="BP7" s="561"/>
      <c r="BQ7" s="561"/>
      <c r="BR7" s="561"/>
      <c r="BS7" s="561"/>
      <c r="BT7" s="561"/>
      <c r="BU7" s="561"/>
      <c r="BV7" s="561"/>
      <c r="BW7" s="561"/>
      <c r="BX7" s="561"/>
      <c r="BY7" s="561"/>
      <c r="BZ7" s="561"/>
      <c r="CA7" s="561"/>
      <c r="CB7" s="561"/>
      <c r="CC7" s="561"/>
      <c r="CD7" s="561"/>
      <c r="CE7" s="561"/>
      <c r="CF7" s="561"/>
      <c r="CG7" s="561"/>
      <c r="CH7" s="561"/>
      <c r="CI7" s="561"/>
      <c r="CJ7" s="561"/>
      <c r="CK7" s="561"/>
      <c r="CL7" s="561"/>
      <c r="CM7" s="561"/>
      <c r="CN7" s="561"/>
      <c r="CO7" s="561"/>
      <c r="CP7" s="561"/>
      <c r="CQ7" s="561"/>
      <c r="CR7" s="561"/>
      <c r="CS7" s="561"/>
      <c r="CT7" s="561"/>
      <c r="CU7" s="561"/>
      <c r="CV7" s="561"/>
      <c r="CW7" s="561"/>
      <c r="CX7" s="561"/>
      <c r="CY7" s="561"/>
      <c r="CZ7" s="561"/>
      <c r="DA7" s="561"/>
      <c r="DB7" s="561"/>
      <c r="DC7" s="561"/>
      <c r="DD7" s="561"/>
      <c r="DE7" s="561"/>
      <c r="DF7" s="561"/>
      <c r="DG7" s="561"/>
      <c r="DH7" s="561"/>
      <c r="DI7" s="561"/>
      <c r="DJ7" s="561"/>
      <c r="DK7" s="561"/>
      <c r="DL7" s="561"/>
      <c r="DM7" s="561"/>
      <c r="DN7" s="561"/>
      <c r="DO7" s="561"/>
      <c r="DP7" s="561"/>
      <c r="DQ7" s="561"/>
      <c r="DR7" s="561"/>
      <c r="DS7" s="561"/>
      <c r="DT7" s="561"/>
      <c r="DU7" s="561"/>
      <c r="DV7" s="561"/>
      <c r="DW7" s="561"/>
      <c r="DX7" s="561"/>
      <c r="DY7" s="561"/>
      <c r="DZ7" s="561"/>
      <c r="EA7" s="561"/>
      <c r="EB7" s="561"/>
      <c r="EC7" s="561"/>
      <c r="ED7" s="561"/>
      <c r="EE7" s="561"/>
      <c r="EF7" s="561"/>
      <c r="EG7" s="561"/>
      <c r="EH7" s="561"/>
      <c r="EI7" s="561"/>
      <c r="EJ7" s="561"/>
      <c r="EK7" s="561"/>
      <c r="EL7" s="561"/>
    </row>
    <row r="8" spans="1:142">
      <c r="F8" s="2"/>
      <c r="G8" s="581"/>
      <c r="H8" s="2"/>
      <c r="I8" s="2"/>
      <c r="J8" s="2"/>
      <c r="K8" s="2"/>
      <c r="L8" s="582"/>
      <c r="M8" s="9"/>
      <c r="N8" s="9"/>
      <c r="O8" s="9"/>
      <c r="P8" s="9"/>
      <c r="Q8" s="9"/>
      <c r="S8" s="2"/>
      <c r="T8" s="1462"/>
      <c r="U8" s="1462"/>
      <c r="V8" s="1462"/>
      <c r="W8" s="1462"/>
      <c r="X8" s="1462"/>
      <c r="Y8" s="1462"/>
      <c r="Z8" s="1462"/>
      <c r="AA8" s="1462"/>
      <c r="AB8" s="1462"/>
      <c r="AC8" s="1462"/>
      <c r="AD8" s="1462"/>
      <c r="AF8" s="561"/>
      <c r="AG8" s="561"/>
      <c r="AH8" s="561"/>
      <c r="AI8" s="561"/>
      <c r="AJ8" s="561"/>
      <c r="AK8" s="561"/>
      <c r="AL8" s="561"/>
      <c r="AM8" s="561"/>
      <c r="AN8" s="561"/>
      <c r="AO8" s="561"/>
      <c r="AP8" s="561"/>
      <c r="AQ8" s="561"/>
      <c r="AR8" s="561"/>
      <c r="AS8" s="561"/>
      <c r="AT8" s="561"/>
      <c r="AU8" s="561"/>
      <c r="AV8" s="561"/>
      <c r="AW8" s="561"/>
      <c r="AX8" s="561"/>
      <c r="AY8" s="561"/>
      <c r="AZ8" s="561"/>
      <c r="BA8" s="561"/>
      <c r="BB8" s="561"/>
      <c r="BC8" s="561"/>
      <c r="BD8" s="561"/>
      <c r="BE8" s="561"/>
      <c r="BF8" s="561"/>
      <c r="BG8" s="561"/>
      <c r="BH8" s="561"/>
      <c r="BI8" s="561"/>
      <c r="BJ8" s="561"/>
      <c r="BK8" s="561"/>
      <c r="BL8" s="561"/>
      <c r="BM8" s="561"/>
      <c r="BN8" s="561"/>
      <c r="BO8" s="561"/>
      <c r="BP8" s="561"/>
      <c r="BQ8" s="561"/>
      <c r="BR8" s="561"/>
      <c r="BS8" s="561"/>
      <c r="BT8" s="561"/>
      <c r="BU8" s="561"/>
      <c r="BV8" s="561"/>
      <c r="BW8" s="561"/>
      <c r="BX8" s="561"/>
      <c r="BY8" s="561"/>
      <c r="BZ8" s="561"/>
      <c r="CA8" s="561"/>
      <c r="CB8" s="561"/>
      <c r="CC8" s="561"/>
      <c r="CD8" s="561"/>
      <c r="CE8" s="561"/>
      <c r="CF8" s="561"/>
      <c r="CG8" s="561"/>
      <c r="CH8" s="561"/>
      <c r="CI8" s="561"/>
      <c r="CJ8" s="561"/>
      <c r="CK8" s="561"/>
      <c r="CL8" s="561"/>
      <c r="CM8" s="561"/>
      <c r="CN8" s="561"/>
      <c r="CO8" s="561"/>
      <c r="CP8" s="561"/>
      <c r="CQ8" s="561"/>
      <c r="CR8" s="561"/>
      <c r="CS8" s="561"/>
      <c r="CT8" s="561"/>
      <c r="CU8" s="561"/>
      <c r="CV8" s="561"/>
      <c r="CW8" s="561"/>
      <c r="CX8" s="561"/>
      <c r="CY8" s="561"/>
      <c r="CZ8" s="561"/>
      <c r="DA8" s="561"/>
      <c r="DB8" s="561"/>
      <c r="DC8" s="561"/>
      <c r="DD8" s="561"/>
      <c r="DE8" s="561"/>
      <c r="DF8" s="561"/>
      <c r="DG8" s="561"/>
      <c r="DH8" s="561"/>
      <c r="DI8" s="561"/>
      <c r="DJ8" s="561"/>
      <c r="DK8" s="561"/>
      <c r="DL8" s="561"/>
      <c r="DM8" s="561"/>
      <c r="DN8" s="561"/>
      <c r="DO8" s="561"/>
      <c r="DP8" s="561"/>
      <c r="DQ8" s="561"/>
      <c r="DR8" s="561"/>
      <c r="DS8" s="561"/>
      <c r="DT8" s="561"/>
      <c r="DU8" s="561"/>
      <c r="DV8" s="561"/>
      <c r="DW8" s="561"/>
      <c r="DX8" s="561"/>
      <c r="DY8" s="561"/>
      <c r="DZ8" s="561"/>
      <c r="EA8" s="561"/>
      <c r="EB8" s="561"/>
      <c r="EC8" s="561"/>
      <c r="ED8" s="561"/>
      <c r="EE8" s="561"/>
      <c r="EF8" s="561"/>
      <c r="EG8" s="561"/>
      <c r="EH8" s="561"/>
      <c r="EI8" s="561"/>
      <c r="EJ8" s="561"/>
      <c r="EK8" s="561"/>
      <c r="EL8" s="561"/>
    </row>
    <row r="9" spans="1:142">
      <c r="A9" s="2" t="s">
        <v>818</v>
      </c>
      <c r="B9" s="593"/>
      <c r="C9" s="593"/>
      <c r="F9" s="2"/>
      <c r="G9" s="581" t="s">
        <v>817</v>
      </c>
      <c r="H9" s="2"/>
      <c r="I9" s="2"/>
      <c r="J9" s="2"/>
      <c r="K9" s="2"/>
      <c r="L9" s="582"/>
      <c r="M9" s="9"/>
      <c r="N9" s="9"/>
      <c r="O9" s="9"/>
      <c r="P9" s="9"/>
      <c r="Q9" s="9"/>
      <c r="S9" s="2"/>
      <c r="T9" s="581"/>
      <c r="U9" s="2"/>
      <c r="V9" s="2"/>
      <c r="W9" s="2"/>
      <c r="X9" s="2"/>
      <c r="Y9" s="582"/>
      <c r="Z9" s="9"/>
      <c r="AA9" s="9"/>
      <c r="AB9" s="9"/>
      <c r="AC9" s="9"/>
      <c r="AD9" s="9"/>
      <c r="AF9" s="561"/>
      <c r="AG9" s="561"/>
      <c r="AH9" s="561"/>
      <c r="AI9" s="561"/>
      <c r="AJ9" s="561"/>
      <c r="AK9" s="561"/>
      <c r="AL9" s="561"/>
      <c r="AM9" s="561"/>
      <c r="AN9" s="561"/>
      <c r="AO9" s="561"/>
      <c r="AP9" s="561"/>
      <c r="AQ9" s="561"/>
      <c r="AR9" s="561"/>
      <c r="AS9" s="561"/>
      <c r="AT9" s="561"/>
      <c r="AU9" s="561"/>
      <c r="AV9" s="561"/>
      <c r="AW9" s="561"/>
      <c r="AX9" s="561"/>
      <c r="AY9" s="561"/>
      <c r="AZ9" s="561"/>
      <c r="BA9" s="561"/>
      <c r="BB9" s="561"/>
      <c r="BC9" s="561"/>
      <c r="BD9" s="561"/>
      <c r="BE9" s="561"/>
      <c r="BF9" s="561"/>
      <c r="BG9" s="561"/>
      <c r="BH9" s="561"/>
      <c r="BI9" s="561"/>
      <c r="BJ9" s="561"/>
      <c r="BK9" s="561"/>
      <c r="BL9" s="561"/>
      <c r="BM9" s="561"/>
      <c r="BN9" s="561"/>
      <c r="BO9" s="561"/>
      <c r="BP9" s="561"/>
      <c r="BQ9" s="561"/>
      <c r="BR9" s="561"/>
      <c r="BS9" s="561"/>
      <c r="BT9" s="561"/>
      <c r="BU9" s="561"/>
      <c r="BV9" s="561"/>
      <c r="BW9" s="561"/>
      <c r="BX9" s="561"/>
      <c r="BY9" s="561"/>
      <c r="BZ9" s="561"/>
      <c r="CA9" s="561"/>
      <c r="CB9" s="561"/>
      <c r="CC9" s="561"/>
      <c r="CD9" s="561"/>
      <c r="CE9" s="561"/>
      <c r="CF9" s="561"/>
      <c r="CG9" s="561"/>
      <c r="CH9" s="561"/>
      <c r="CI9" s="561"/>
      <c r="CJ9" s="561"/>
      <c r="CK9" s="561"/>
      <c r="CL9" s="561"/>
      <c r="CM9" s="561"/>
      <c r="CN9" s="561"/>
      <c r="CO9" s="561"/>
      <c r="CP9" s="561"/>
      <c r="CQ9" s="561"/>
      <c r="CR9" s="561"/>
      <c r="CS9" s="561"/>
      <c r="CT9" s="561"/>
      <c r="CU9" s="561"/>
      <c r="CV9" s="561"/>
      <c r="CW9" s="561"/>
      <c r="CX9" s="561"/>
      <c r="CY9" s="561"/>
      <c r="CZ9" s="561"/>
      <c r="DA9" s="561"/>
      <c r="DB9" s="561"/>
      <c r="DC9" s="561"/>
      <c r="DD9" s="561"/>
      <c r="DE9" s="561"/>
      <c r="DF9" s="561"/>
      <c r="DG9" s="561"/>
      <c r="DH9" s="561"/>
      <c r="DI9" s="561"/>
      <c r="DJ9" s="561"/>
      <c r="DK9" s="561"/>
      <c r="DL9" s="561"/>
      <c r="DM9" s="561"/>
      <c r="DN9" s="561"/>
      <c r="DO9" s="561"/>
      <c r="DP9" s="561"/>
      <c r="DQ9" s="561"/>
      <c r="DR9" s="561"/>
      <c r="DS9" s="561"/>
      <c r="DT9" s="561"/>
      <c r="DU9" s="561"/>
      <c r="DV9" s="561"/>
      <c r="DW9" s="561"/>
      <c r="DX9" s="561"/>
      <c r="DY9" s="561"/>
      <c r="DZ9" s="561"/>
      <c r="EA9" s="561"/>
      <c r="EB9" s="561"/>
      <c r="EC9" s="561"/>
      <c r="ED9" s="561"/>
      <c r="EE9" s="561"/>
      <c r="EF9" s="561"/>
      <c r="EG9" s="561"/>
      <c r="EH9" s="561"/>
      <c r="EI9" s="561"/>
      <c r="EJ9" s="561"/>
      <c r="EK9" s="561"/>
      <c r="EL9" s="561"/>
    </row>
    <row r="10" spans="1:142">
      <c r="A10" s="2" t="s">
        <v>816</v>
      </c>
      <c r="B10" s="591"/>
      <c r="C10" s="591"/>
      <c r="F10" s="2"/>
      <c r="G10" s="581"/>
      <c r="H10" s="2"/>
      <c r="I10" s="2"/>
      <c r="J10" s="2"/>
      <c r="K10" s="2"/>
      <c r="L10" s="584"/>
      <c r="M10" s="9"/>
      <c r="N10" s="9"/>
      <c r="O10" s="9"/>
      <c r="P10" s="9"/>
      <c r="Q10" s="9"/>
      <c r="S10" s="2"/>
      <c r="T10" s="28" t="s">
        <v>683</v>
      </c>
      <c r="U10" s="2"/>
      <c r="V10" s="2"/>
      <c r="W10" s="2"/>
      <c r="X10" s="2"/>
      <c r="Y10" s="584"/>
      <c r="Z10" s="9"/>
      <c r="AA10" s="9"/>
      <c r="AB10" s="9"/>
      <c r="AC10" s="9"/>
      <c r="AD10" s="9"/>
      <c r="AF10" s="561"/>
      <c r="AG10" s="561"/>
      <c r="AH10" s="561"/>
      <c r="AI10" s="561"/>
      <c r="AJ10" s="561"/>
      <c r="AK10" s="561"/>
      <c r="AL10" s="561"/>
      <c r="AM10" s="561"/>
      <c r="AN10" s="561"/>
      <c r="AO10" s="561"/>
      <c r="AP10" s="561"/>
      <c r="AQ10" s="561"/>
      <c r="AR10" s="561"/>
      <c r="AS10" s="561"/>
      <c r="AT10" s="561"/>
      <c r="AU10" s="561"/>
      <c r="AV10" s="561"/>
      <c r="AW10" s="561"/>
      <c r="AX10" s="561"/>
      <c r="AY10" s="561"/>
      <c r="AZ10" s="561"/>
      <c r="BA10" s="561"/>
      <c r="BB10" s="561"/>
      <c r="BC10" s="561"/>
      <c r="BD10" s="561"/>
      <c r="BE10" s="561"/>
      <c r="BF10" s="561"/>
      <c r="BG10" s="561"/>
      <c r="BH10" s="561"/>
      <c r="BI10" s="561"/>
      <c r="BJ10" s="561"/>
      <c r="BK10" s="561"/>
      <c r="BL10" s="561"/>
      <c r="BM10" s="561"/>
      <c r="BN10" s="561"/>
      <c r="BO10" s="561"/>
      <c r="BP10" s="561"/>
      <c r="BQ10" s="561"/>
      <c r="BR10" s="561"/>
      <c r="BS10" s="561"/>
      <c r="BT10" s="561"/>
      <c r="BU10" s="561"/>
      <c r="BV10" s="561"/>
      <c r="BW10" s="561"/>
      <c r="BX10" s="561"/>
      <c r="BY10" s="561"/>
      <c r="BZ10" s="561"/>
      <c r="CA10" s="561"/>
      <c r="CB10" s="561"/>
      <c r="CC10" s="561"/>
      <c r="CD10" s="561"/>
      <c r="CE10" s="561"/>
      <c r="CF10" s="561"/>
      <c r="CG10" s="561"/>
      <c r="CH10" s="561"/>
      <c r="CI10" s="561"/>
      <c r="CJ10" s="561"/>
      <c r="CK10" s="561"/>
      <c r="CL10" s="561"/>
      <c r="CM10" s="561"/>
      <c r="CN10" s="561"/>
      <c r="CO10" s="561"/>
      <c r="CP10" s="561"/>
      <c r="CQ10" s="561"/>
      <c r="CR10" s="561"/>
      <c r="CS10" s="561"/>
      <c r="CT10" s="561"/>
      <c r="CU10" s="561"/>
      <c r="CV10" s="561"/>
      <c r="CW10" s="561"/>
      <c r="CX10" s="561"/>
      <c r="CY10" s="561"/>
      <c r="CZ10" s="561"/>
      <c r="DA10" s="561"/>
      <c r="DB10" s="561"/>
      <c r="DC10" s="561"/>
      <c r="DD10" s="561"/>
      <c r="DE10" s="561"/>
      <c r="DF10" s="561"/>
      <c r="DG10" s="561"/>
      <c r="DH10" s="561"/>
      <c r="DI10" s="561"/>
      <c r="DJ10" s="561"/>
      <c r="DK10" s="561"/>
      <c r="DL10" s="561"/>
      <c r="DM10" s="561"/>
      <c r="DN10" s="561"/>
      <c r="DO10" s="561"/>
      <c r="DP10" s="561"/>
      <c r="DQ10" s="561"/>
      <c r="DR10" s="561"/>
      <c r="DS10" s="561"/>
      <c r="DT10" s="561"/>
      <c r="DU10" s="561"/>
      <c r="DV10" s="561"/>
      <c r="DW10" s="561"/>
      <c r="DX10" s="561"/>
      <c r="DY10" s="561"/>
      <c r="DZ10" s="561"/>
      <c r="EA10" s="561"/>
      <c r="EB10" s="561"/>
      <c r="EC10" s="561"/>
      <c r="ED10" s="561"/>
      <c r="EE10" s="561"/>
      <c r="EF10" s="561"/>
      <c r="EG10" s="561"/>
      <c r="EH10" s="561"/>
      <c r="EI10" s="561"/>
      <c r="EJ10" s="561"/>
      <c r="EK10" s="561"/>
      <c r="EL10" s="561"/>
    </row>
    <row r="11" spans="1:142">
      <c r="B11" s="591"/>
      <c r="C11" s="591"/>
      <c r="F11" s="2"/>
      <c r="G11" s="581" t="s">
        <v>815</v>
      </c>
      <c r="H11" s="2"/>
      <c r="I11" s="2"/>
      <c r="J11" s="2"/>
      <c r="K11" s="2"/>
      <c r="L11" s="584"/>
      <c r="M11" s="9"/>
      <c r="N11" s="9"/>
      <c r="O11" s="9"/>
      <c r="P11" s="9"/>
      <c r="Q11" s="9"/>
      <c r="S11" s="2"/>
      <c r="T11" s="581"/>
      <c r="U11" s="2"/>
      <c r="V11" s="2"/>
      <c r="W11" s="2"/>
      <c r="X11" s="2"/>
      <c r="Y11" s="584"/>
      <c r="Z11" s="9"/>
      <c r="AA11" s="9"/>
      <c r="AB11" s="9"/>
      <c r="AC11" s="9"/>
      <c r="AD11" s="9"/>
      <c r="AF11" s="561"/>
      <c r="AG11" s="561"/>
      <c r="AH11" s="561"/>
      <c r="AI11" s="561"/>
      <c r="AJ11" s="561"/>
      <c r="AK11" s="561"/>
      <c r="AL11" s="561"/>
      <c r="AM11" s="561"/>
      <c r="AN11" s="561"/>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561"/>
      <c r="BK11" s="561"/>
      <c r="BL11" s="561"/>
      <c r="BM11" s="561"/>
      <c r="BN11" s="561"/>
      <c r="BO11" s="561"/>
      <c r="BP11" s="561"/>
      <c r="BQ11" s="561"/>
      <c r="BR11" s="561"/>
      <c r="BS11" s="561"/>
      <c r="BT11" s="561"/>
      <c r="BU11" s="561"/>
      <c r="BV11" s="561"/>
      <c r="BW11" s="561"/>
      <c r="BX11" s="561"/>
      <c r="BY11" s="561"/>
      <c r="BZ11" s="561"/>
      <c r="CA11" s="561"/>
      <c r="CB11" s="561"/>
      <c r="CC11" s="561"/>
      <c r="CD11" s="561"/>
      <c r="CE11" s="561"/>
      <c r="CF11" s="561"/>
      <c r="CG11" s="561"/>
      <c r="CH11" s="561"/>
      <c r="CI11" s="561"/>
      <c r="CJ11" s="561"/>
      <c r="CK11" s="561"/>
      <c r="CL11" s="561"/>
      <c r="CM11" s="561"/>
      <c r="CN11" s="561"/>
      <c r="CO11" s="561"/>
      <c r="CP11" s="561"/>
      <c r="CQ11" s="561"/>
      <c r="CR11" s="561"/>
      <c r="CS11" s="561"/>
      <c r="CT11" s="561"/>
      <c r="CU11" s="561"/>
      <c r="CV11" s="561"/>
      <c r="CW11" s="561"/>
      <c r="CX11" s="561"/>
      <c r="CY11" s="561"/>
      <c r="CZ11" s="561"/>
      <c r="DA11" s="561"/>
      <c r="DB11" s="561"/>
      <c r="DC11" s="561"/>
      <c r="DD11" s="561"/>
      <c r="DE11" s="561"/>
      <c r="DF11" s="561"/>
      <c r="DG11" s="561"/>
      <c r="DH11" s="561"/>
      <c r="DI11" s="561"/>
      <c r="DJ11" s="561"/>
      <c r="DK11" s="561"/>
      <c r="DL11" s="561"/>
      <c r="DM11" s="561"/>
      <c r="DN11" s="561"/>
      <c r="DO11" s="561"/>
      <c r="DP11" s="561"/>
      <c r="DQ11" s="561"/>
      <c r="DR11" s="561"/>
      <c r="DS11" s="561"/>
      <c r="DT11" s="561"/>
      <c r="DU11" s="561"/>
      <c r="DV11" s="561"/>
      <c r="DW11" s="561"/>
      <c r="DX11" s="561"/>
      <c r="DY11" s="561"/>
      <c r="DZ11" s="561"/>
      <c r="EA11" s="561"/>
      <c r="EB11" s="561"/>
      <c r="EC11" s="561"/>
      <c r="ED11" s="561"/>
      <c r="EE11" s="561"/>
      <c r="EF11" s="561"/>
      <c r="EG11" s="561"/>
      <c r="EH11" s="561"/>
      <c r="EI11" s="561"/>
      <c r="EJ11" s="561"/>
      <c r="EK11" s="561"/>
      <c r="EL11" s="561"/>
    </row>
    <row r="12" spans="1:142">
      <c r="B12" s="590"/>
      <c r="C12" s="708" t="s">
        <v>814</v>
      </c>
      <c r="D12" s="708" t="s">
        <v>813</v>
      </c>
      <c r="F12" s="2"/>
      <c r="G12" s="5"/>
      <c r="H12" s="5"/>
      <c r="I12" s="5"/>
      <c r="J12" s="5"/>
      <c r="K12" s="5"/>
      <c r="L12" s="5"/>
      <c r="M12" s="5"/>
      <c r="N12" s="5"/>
      <c r="O12" s="5"/>
      <c r="P12" s="5"/>
      <c r="Q12" s="5"/>
      <c r="S12" s="2"/>
      <c r="T12" s="5"/>
      <c r="U12" s="5"/>
      <c r="V12" s="5"/>
      <c r="W12" s="5"/>
      <c r="X12" s="5"/>
      <c r="Y12" s="5"/>
      <c r="Z12" s="5"/>
      <c r="AA12" s="5"/>
      <c r="AB12" s="5"/>
      <c r="AC12" s="5"/>
      <c r="AD12" s="5"/>
      <c r="AF12" s="561"/>
      <c r="AG12" s="561"/>
      <c r="AH12" s="561"/>
      <c r="AI12" s="561"/>
      <c r="AJ12" s="561"/>
      <c r="AK12" s="561"/>
      <c r="AL12" s="561"/>
      <c r="AM12" s="561"/>
      <c r="AN12" s="561"/>
      <c r="AO12" s="561"/>
      <c r="AP12" s="561"/>
      <c r="AQ12" s="561"/>
      <c r="AR12" s="561"/>
      <c r="AS12" s="561"/>
      <c r="AT12" s="561"/>
      <c r="AU12" s="561"/>
      <c r="AV12" s="561"/>
      <c r="AW12" s="561"/>
      <c r="AX12" s="561"/>
      <c r="AY12" s="561"/>
      <c r="AZ12" s="561"/>
      <c r="BA12" s="561"/>
      <c r="BB12" s="561"/>
      <c r="BC12" s="561"/>
      <c r="BD12" s="561"/>
      <c r="BE12" s="561"/>
      <c r="BF12" s="561"/>
      <c r="BG12" s="561"/>
      <c r="BH12" s="561"/>
      <c r="BI12" s="561"/>
      <c r="BJ12" s="561"/>
      <c r="BK12" s="561"/>
      <c r="BL12" s="561"/>
      <c r="BM12" s="561"/>
      <c r="BN12" s="561"/>
      <c r="BO12" s="561"/>
      <c r="BP12" s="561"/>
      <c r="BQ12" s="561"/>
      <c r="BR12" s="561"/>
      <c r="BS12" s="561"/>
      <c r="BT12" s="561"/>
      <c r="BU12" s="561"/>
      <c r="BV12" s="561"/>
      <c r="BW12" s="561"/>
      <c r="BX12" s="561"/>
      <c r="BY12" s="561"/>
      <c r="BZ12" s="561"/>
      <c r="CA12" s="561"/>
      <c r="CB12" s="561"/>
      <c r="CC12" s="561"/>
      <c r="CD12" s="561"/>
      <c r="CE12" s="561"/>
      <c r="CF12" s="561"/>
      <c r="CG12" s="561"/>
      <c r="CH12" s="561"/>
      <c r="CI12" s="561"/>
      <c r="CJ12" s="561"/>
      <c r="CK12" s="561"/>
      <c r="CL12" s="561"/>
      <c r="CM12" s="561"/>
      <c r="CN12" s="561"/>
      <c r="CO12" s="561"/>
      <c r="CP12" s="561"/>
      <c r="CQ12" s="561"/>
      <c r="CR12" s="561"/>
      <c r="CS12" s="561"/>
      <c r="CT12" s="561"/>
      <c r="CU12" s="561"/>
      <c r="CV12" s="561"/>
      <c r="CW12" s="561"/>
      <c r="CX12" s="561"/>
      <c r="CY12" s="561"/>
      <c r="CZ12" s="561"/>
      <c r="DA12" s="561"/>
      <c r="DB12" s="561"/>
      <c r="DC12" s="561"/>
      <c r="DD12" s="561"/>
      <c r="DE12" s="561"/>
      <c r="DF12" s="561"/>
      <c r="DG12" s="561"/>
      <c r="DH12" s="561"/>
      <c r="DI12" s="561"/>
      <c r="DJ12" s="561"/>
      <c r="DK12" s="561"/>
      <c r="DL12" s="561"/>
      <c r="DM12" s="561"/>
      <c r="DN12" s="561"/>
      <c r="DO12" s="561"/>
      <c r="DP12" s="561"/>
      <c r="DQ12" s="561"/>
      <c r="DR12" s="561"/>
      <c r="DS12" s="561"/>
      <c r="DT12" s="561"/>
      <c r="DU12" s="561"/>
      <c r="DV12" s="561"/>
      <c r="DW12" s="561"/>
      <c r="DX12" s="561"/>
      <c r="DY12" s="561"/>
      <c r="DZ12" s="561"/>
      <c r="EA12" s="561"/>
      <c r="EB12" s="561"/>
      <c r="EC12" s="561"/>
      <c r="ED12" s="561"/>
      <c r="EE12" s="561"/>
      <c r="EF12" s="561"/>
      <c r="EG12" s="561"/>
      <c r="EH12" s="561"/>
      <c r="EI12" s="561"/>
      <c r="EJ12" s="561"/>
      <c r="EK12" s="561"/>
      <c r="EL12" s="561"/>
    </row>
    <row r="13" spans="1:142" ht="15.75" customHeight="1">
      <c r="B13" s="707" t="s">
        <v>51</v>
      </c>
      <c r="C13" s="691">
        <v>2.5000000000000001E-2</v>
      </c>
      <c r="D13" s="691">
        <v>0.03</v>
      </c>
      <c r="F13" s="2"/>
      <c r="G13" s="28" t="s">
        <v>683</v>
      </c>
      <c r="H13" s="5"/>
      <c r="I13" s="5"/>
      <c r="J13" s="5"/>
      <c r="K13" s="5"/>
      <c r="L13" s="5"/>
      <c r="M13" s="5"/>
      <c r="N13" s="5"/>
      <c r="O13" s="5"/>
      <c r="P13" s="5"/>
      <c r="Q13" s="5"/>
      <c r="S13" s="2"/>
      <c r="T13" s="28"/>
      <c r="U13" s="5"/>
      <c r="V13" s="5"/>
      <c r="W13" s="5"/>
      <c r="X13" s="5"/>
      <c r="Y13" s="5"/>
      <c r="Z13" s="5"/>
      <c r="AA13" s="5"/>
      <c r="AB13" s="5"/>
      <c r="AC13" s="5"/>
      <c r="AD13" s="5"/>
      <c r="AF13" s="561"/>
      <c r="AG13" s="561"/>
      <c r="AH13" s="561"/>
      <c r="AI13" s="561"/>
      <c r="AJ13" s="561"/>
      <c r="AK13" s="561"/>
      <c r="AL13" s="561"/>
      <c r="AM13" s="561"/>
      <c r="AN13" s="561"/>
      <c r="AO13" s="561"/>
      <c r="AP13" s="561"/>
      <c r="AQ13" s="561"/>
      <c r="AR13" s="561"/>
      <c r="AS13" s="561"/>
      <c r="AT13" s="561"/>
      <c r="AU13" s="561"/>
      <c r="AV13" s="561"/>
      <c r="AW13" s="561"/>
      <c r="AX13" s="561"/>
      <c r="AY13" s="561"/>
      <c r="AZ13" s="561"/>
      <c r="BA13" s="561"/>
      <c r="BB13" s="561"/>
      <c r="BC13" s="561"/>
      <c r="BD13" s="561"/>
      <c r="BE13" s="561"/>
      <c r="BF13" s="561"/>
      <c r="BG13" s="561"/>
      <c r="BH13" s="561"/>
      <c r="BI13" s="561"/>
      <c r="BJ13" s="561"/>
      <c r="BK13" s="561"/>
      <c r="BL13" s="561"/>
      <c r="BM13" s="561"/>
      <c r="BN13" s="561"/>
      <c r="BO13" s="561"/>
      <c r="BP13" s="561"/>
      <c r="BQ13" s="561"/>
      <c r="BR13" s="561"/>
      <c r="BS13" s="561"/>
      <c r="BT13" s="561"/>
      <c r="BU13" s="561"/>
      <c r="BV13" s="561"/>
      <c r="BW13" s="561"/>
      <c r="BX13" s="561"/>
      <c r="BY13" s="561"/>
      <c r="BZ13" s="561"/>
      <c r="CA13" s="561"/>
      <c r="CB13" s="561"/>
      <c r="CC13" s="561"/>
      <c r="CD13" s="561"/>
      <c r="CE13" s="561"/>
      <c r="CF13" s="561"/>
      <c r="CG13" s="561"/>
      <c r="CH13" s="561"/>
      <c r="CI13" s="561"/>
      <c r="CJ13" s="561"/>
      <c r="CK13" s="561"/>
      <c r="CL13" s="561"/>
      <c r="CM13" s="561"/>
      <c r="CN13" s="561"/>
      <c r="CO13" s="561"/>
      <c r="CP13" s="561"/>
      <c r="CQ13" s="561"/>
      <c r="CR13" s="561"/>
      <c r="CS13" s="561"/>
      <c r="CT13" s="561"/>
      <c r="CU13" s="561"/>
      <c r="CV13" s="561"/>
      <c r="CW13" s="561"/>
      <c r="CX13" s="561"/>
      <c r="CY13" s="561"/>
      <c r="CZ13" s="561"/>
      <c r="DA13" s="561"/>
      <c r="DB13" s="561"/>
      <c r="DC13" s="561"/>
      <c r="DD13" s="561"/>
      <c r="DE13" s="561"/>
      <c r="DF13" s="561"/>
      <c r="DG13" s="561"/>
      <c r="DH13" s="561"/>
      <c r="DI13" s="561"/>
      <c r="DJ13" s="561"/>
      <c r="DK13" s="561"/>
      <c r="DL13" s="561"/>
      <c r="DM13" s="561"/>
      <c r="DN13" s="561"/>
      <c r="DO13" s="561"/>
      <c r="DP13" s="561"/>
      <c r="DQ13" s="561"/>
      <c r="DR13" s="561"/>
      <c r="DS13" s="561"/>
      <c r="DT13" s="561"/>
      <c r="DU13" s="561"/>
      <c r="DV13" s="561"/>
      <c r="DW13" s="561"/>
      <c r="DX13" s="561"/>
      <c r="DY13" s="561"/>
      <c r="DZ13" s="561"/>
      <c r="EA13" s="561"/>
      <c r="EB13" s="561"/>
      <c r="EC13" s="561"/>
      <c r="ED13" s="561"/>
      <c r="EE13" s="561"/>
      <c r="EF13" s="561"/>
      <c r="EG13" s="561"/>
      <c r="EH13" s="561"/>
      <c r="EI13" s="561"/>
      <c r="EJ13" s="561"/>
      <c r="EK13" s="561"/>
      <c r="EL13" s="561"/>
    </row>
    <row r="14" spans="1:142" ht="15.75" customHeight="1">
      <c r="B14" s="707" t="s">
        <v>793</v>
      </c>
      <c r="C14" s="691">
        <v>5.5E-2</v>
      </c>
      <c r="D14" s="691">
        <v>0.06</v>
      </c>
      <c r="F14" s="2"/>
      <c r="G14" s="581"/>
      <c r="H14" s="2"/>
      <c r="I14" s="2"/>
      <c r="J14" s="2"/>
      <c r="K14" s="2"/>
      <c r="L14" s="584"/>
      <c r="M14" s="9"/>
      <c r="N14" s="9"/>
      <c r="O14" s="9"/>
      <c r="P14" s="9"/>
      <c r="Q14" s="9"/>
      <c r="S14" s="2"/>
      <c r="T14" s="581"/>
      <c r="U14" s="2"/>
      <c r="V14" s="2"/>
      <c r="W14" s="2"/>
      <c r="X14" s="2"/>
      <c r="Y14" s="584"/>
      <c r="Z14" s="9"/>
      <c r="AA14" s="9"/>
      <c r="AB14" s="9"/>
      <c r="AC14" s="9"/>
      <c r="AD14" s="9"/>
      <c r="AF14" s="561"/>
      <c r="AG14" s="561"/>
      <c r="AH14" s="561"/>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1"/>
      <c r="BW14" s="561"/>
      <c r="BX14" s="561"/>
      <c r="BY14" s="561"/>
      <c r="BZ14" s="561"/>
      <c r="CA14" s="561"/>
      <c r="CB14" s="561"/>
      <c r="CC14" s="561"/>
      <c r="CD14" s="561"/>
      <c r="CE14" s="561"/>
      <c r="CF14" s="561"/>
      <c r="CG14" s="561"/>
      <c r="CH14" s="561"/>
      <c r="CI14" s="561"/>
      <c r="CJ14" s="561"/>
      <c r="CK14" s="561"/>
      <c r="CL14" s="561"/>
      <c r="CM14" s="561"/>
      <c r="CN14" s="561"/>
      <c r="CO14" s="561"/>
      <c r="CP14" s="561"/>
      <c r="CQ14" s="561"/>
      <c r="CR14" s="561"/>
      <c r="CS14" s="561"/>
      <c r="CT14" s="561"/>
      <c r="CU14" s="561"/>
      <c r="CV14" s="561"/>
      <c r="CW14" s="561"/>
      <c r="CX14" s="561"/>
      <c r="CY14" s="561"/>
      <c r="CZ14" s="561"/>
      <c r="DA14" s="561"/>
      <c r="DB14" s="561"/>
      <c r="DC14" s="561"/>
      <c r="DD14" s="561"/>
      <c r="DE14" s="561"/>
      <c r="DF14" s="561"/>
      <c r="DG14" s="561"/>
      <c r="DH14" s="561"/>
      <c r="DI14" s="561"/>
      <c r="DJ14" s="561"/>
      <c r="DK14" s="561"/>
      <c r="DL14" s="561"/>
      <c r="DM14" s="561"/>
      <c r="DN14" s="561"/>
      <c r="DO14" s="561"/>
      <c r="DP14" s="561"/>
      <c r="DQ14" s="561"/>
      <c r="DR14" s="561"/>
      <c r="DS14" s="561"/>
      <c r="DT14" s="561"/>
      <c r="DU14" s="561"/>
      <c r="DV14" s="561"/>
      <c r="DW14" s="561"/>
      <c r="DX14" s="561"/>
      <c r="DY14" s="561"/>
      <c r="DZ14" s="561"/>
      <c r="EA14" s="561"/>
      <c r="EB14" s="561"/>
      <c r="EC14" s="561"/>
      <c r="ED14" s="561"/>
      <c r="EE14" s="561"/>
      <c r="EF14" s="561"/>
      <c r="EG14" s="561"/>
      <c r="EH14" s="561"/>
      <c r="EI14" s="561"/>
      <c r="EJ14" s="561"/>
      <c r="EK14" s="561"/>
      <c r="EL14" s="561"/>
    </row>
    <row r="15" spans="1:142" ht="15.75" customHeight="1">
      <c r="B15" s="707" t="s">
        <v>794</v>
      </c>
      <c r="C15" s="694">
        <v>18500000</v>
      </c>
      <c r="D15" s="694">
        <v>21000000</v>
      </c>
      <c r="F15" s="696"/>
      <c r="G15" s="699"/>
      <c r="H15" s="699"/>
      <c r="I15" s="699"/>
      <c r="J15" s="699"/>
      <c r="K15" s="699"/>
      <c r="L15" s="696"/>
      <c r="M15" s="696"/>
      <c r="N15" s="696"/>
      <c r="O15" s="696"/>
      <c r="P15" s="696"/>
      <c r="Q15" s="696"/>
      <c r="S15" s="696"/>
      <c r="T15" s="696"/>
      <c r="U15" s="696"/>
      <c r="V15" s="696"/>
      <c r="W15" s="696"/>
      <c r="X15" s="696"/>
      <c r="Y15" s="696"/>
      <c r="Z15" s="696"/>
      <c r="AA15" s="696"/>
      <c r="AB15" s="696"/>
      <c r="AC15" s="696"/>
      <c r="AD15" s="696"/>
      <c r="AF15" s="561"/>
      <c r="AG15" s="561"/>
      <c r="AH15" s="561"/>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1"/>
      <c r="BW15" s="561"/>
      <c r="BX15" s="561"/>
      <c r="BY15" s="561"/>
      <c r="BZ15" s="561"/>
      <c r="CA15" s="561"/>
      <c r="CB15" s="561"/>
      <c r="CC15" s="561"/>
      <c r="CD15" s="561"/>
      <c r="CE15" s="561"/>
      <c r="CF15" s="561"/>
      <c r="CG15" s="561"/>
      <c r="CH15" s="561"/>
      <c r="CI15" s="561"/>
      <c r="CJ15" s="561"/>
      <c r="CK15" s="561"/>
      <c r="CL15" s="561"/>
      <c r="CM15" s="561"/>
      <c r="CN15" s="561"/>
      <c r="CO15" s="561"/>
      <c r="CP15" s="561"/>
      <c r="CQ15" s="561"/>
      <c r="CR15" s="561"/>
      <c r="CS15" s="561"/>
      <c r="CT15" s="561"/>
      <c r="CU15" s="561"/>
      <c r="CV15" s="561"/>
      <c r="CW15" s="561"/>
      <c r="CX15" s="561"/>
      <c r="CY15" s="561"/>
      <c r="CZ15" s="561"/>
      <c r="DA15" s="561"/>
      <c r="DB15" s="561"/>
      <c r="DC15" s="561"/>
      <c r="DD15" s="561"/>
      <c r="DE15" s="561"/>
      <c r="DF15" s="561"/>
      <c r="DG15" s="561"/>
      <c r="DH15" s="561"/>
      <c r="DI15" s="561"/>
      <c r="DJ15" s="561"/>
      <c r="DK15" s="561"/>
      <c r="DL15" s="561"/>
      <c r="DM15" s="561"/>
      <c r="DN15" s="561"/>
      <c r="DO15" s="561"/>
      <c r="DP15" s="561"/>
      <c r="DQ15" s="561"/>
      <c r="DR15" s="561"/>
      <c r="DS15" s="561"/>
      <c r="DT15" s="561"/>
      <c r="DU15" s="561"/>
      <c r="DV15" s="561"/>
      <c r="DW15" s="561"/>
      <c r="DX15" s="561"/>
      <c r="DY15" s="561"/>
      <c r="DZ15" s="561"/>
      <c r="EA15" s="561"/>
      <c r="EB15" s="561"/>
      <c r="EC15" s="561"/>
      <c r="ED15" s="561"/>
      <c r="EE15" s="561"/>
      <c r="EF15" s="561"/>
      <c r="EG15" s="561"/>
      <c r="EH15" s="561"/>
      <c r="EI15" s="561"/>
      <c r="EJ15" s="561"/>
      <c r="EK15" s="561"/>
      <c r="EL15" s="561"/>
    </row>
    <row r="16" spans="1:142" ht="15.75" customHeight="1">
      <c r="B16" s="680" t="s">
        <v>812</v>
      </c>
      <c r="C16" s="702">
        <v>25000000</v>
      </c>
      <c r="D16" s="694">
        <v>24500000</v>
      </c>
      <c r="F16" s="696"/>
      <c r="G16" s="704"/>
      <c r="H16" s="699"/>
      <c r="I16" s="699"/>
      <c r="J16" s="699"/>
      <c r="K16" s="699"/>
      <c r="L16" s="699"/>
      <c r="M16" s="699"/>
      <c r="N16" s="699"/>
      <c r="O16" s="699"/>
      <c r="P16" s="699"/>
      <c r="Q16" s="696"/>
      <c r="S16" s="696"/>
      <c r="T16" s="696"/>
      <c r="U16" s="696"/>
      <c r="V16" s="696"/>
      <c r="W16" s="696"/>
      <c r="X16" s="696"/>
      <c r="Y16" s="696"/>
      <c r="Z16" s="696"/>
      <c r="AA16" s="696"/>
      <c r="AB16" s="696"/>
      <c r="AC16" s="696"/>
      <c r="AD16" s="696"/>
      <c r="AF16" s="561"/>
      <c r="AG16" s="561"/>
      <c r="AH16" s="561"/>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1"/>
      <c r="BW16" s="561"/>
      <c r="BX16" s="561"/>
      <c r="BY16" s="561"/>
      <c r="BZ16" s="561"/>
      <c r="CA16" s="561"/>
      <c r="CB16" s="561"/>
      <c r="CC16" s="561"/>
      <c r="CD16" s="561"/>
      <c r="CE16" s="561"/>
      <c r="CF16" s="561"/>
      <c r="CG16" s="561"/>
      <c r="CH16" s="561"/>
      <c r="CI16" s="561"/>
      <c r="CJ16" s="561"/>
      <c r="CK16" s="561"/>
      <c r="CL16" s="561"/>
      <c r="CM16" s="561"/>
      <c r="CN16" s="561"/>
      <c r="CO16" s="561"/>
      <c r="CP16" s="561"/>
      <c r="CQ16" s="561"/>
      <c r="CR16" s="561"/>
      <c r="CS16" s="561"/>
      <c r="CT16" s="561"/>
      <c r="CU16" s="561"/>
      <c r="CV16" s="561"/>
      <c r="CW16" s="561"/>
      <c r="CX16" s="561"/>
      <c r="CY16" s="561"/>
      <c r="CZ16" s="561"/>
      <c r="DA16" s="561"/>
      <c r="DB16" s="561"/>
      <c r="DC16" s="561"/>
      <c r="DD16" s="561"/>
      <c r="DE16" s="561"/>
      <c r="DF16" s="561"/>
      <c r="DG16" s="561"/>
      <c r="DH16" s="561"/>
      <c r="DI16" s="561"/>
      <c r="DJ16" s="561"/>
      <c r="DK16" s="561"/>
      <c r="DL16" s="561"/>
      <c r="DM16" s="561"/>
      <c r="DN16" s="561"/>
      <c r="DO16" s="561"/>
      <c r="DP16" s="561"/>
      <c r="DQ16" s="561"/>
      <c r="DR16" s="561"/>
      <c r="DS16" s="561"/>
      <c r="DT16" s="561"/>
      <c r="DU16" s="561"/>
      <c r="DV16" s="561"/>
      <c r="DW16" s="561"/>
      <c r="DX16" s="561"/>
      <c r="DY16" s="561"/>
      <c r="DZ16" s="561"/>
      <c r="EA16" s="561"/>
      <c r="EB16" s="561"/>
      <c r="EC16" s="561"/>
      <c r="ED16" s="561"/>
      <c r="EE16" s="561"/>
      <c r="EF16" s="561"/>
      <c r="EG16" s="561"/>
      <c r="EH16" s="561"/>
      <c r="EI16" s="561"/>
      <c r="EJ16" s="561"/>
      <c r="EK16" s="561"/>
      <c r="EL16" s="561"/>
    </row>
    <row r="17" spans="2:142" ht="15.75" customHeight="1">
      <c r="B17" s="703" t="s">
        <v>811</v>
      </c>
      <c r="C17" s="702">
        <v>900000</v>
      </c>
      <c r="F17" s="696"/>
      <c r="G17" s="1136" t="s">
        <v>1577</v>
      </c>
      <c r="H17" s="1139"/>
      <c r="I17" s="701"/>
      <c r="J17" s="699"/>
      <c r="K17" s="699"/>
      <c r="L17" s="699"/>
      <c r="M17" s="699"/>
      <c r="N17" s="699"/>
      <c r="O17" s="699"/>
      <c r="P17" s="699"/>
      <c r="Q17" s="696"/>
      <c r="S17" s="696"/>
      <c r="T17" s="1136" t="s">
        <v>1577</v>
      </c>
      <c r="U17" s="696"/>
      <c r="V17" s="696"/>
      <c r="W17" s="1136" t="s">
        <v>1577</v>
      </c>
      <c r="X17" s="696"/>
      <c r="Y17" s="696"/>
      <c r="Z17" s="696"/>
      <c r="AA17" s="696"/>
      <c r="AB17" s="696"/>
      <c r="AC17" s="696"/>
      <c r="AD17" s="696"/>
      <c r="AF17" s="561"/>
      <c r="AG17" s="561"/>
      <c r="AH17" s="561"/>
      <c r="AI17" s="561"/>
      <c r="AJ17" s="561"/>
      <c r="AK17" s="561"/>
      <c r="AL17" s="561"/>
      <c r="AM17" s="561"/>
      <c r="AN17" s="561"/>
      <c r="AO17" s="561"/>
      <c r="AP17" s="561"/>
      <c r="AQ17" s="561"/>
      <c r="AR17" s="561"/>
      <c r="AS17" s="561"/>
      <c r="AT17" s="561"/>
      <c r="AU17" s="561"/>
      <c r="AV17" s="561"/>
      <c r="AW17" s="561"/>
      <c r="AX17" s="561"/>
      <c r="AY17" s="561"/>
      <c r="AZ17" s="561"/>
      <c r="BA17" s="561"/>
      <c r="BB17" s="561"/>
      <c r="BC17" s="561"/>
      <c r="BD17" s="561"/>
      <c r="BE17" s="561"/>
      <c r="BF17" s="561"/>
      <c r="BG17" s="561"/>
      <c r="BH17" s="561"/>
      <c r="BI17" s="561"/>
      <c r="BJ17" s="561"/>
      <c r="BK17" s="561"/>
      <c r="BL17" s="561"/>
      <c r="BM17" s="561"/>
      <c r="BN17" s="561"/>
      <c r="BO17" s="561"/>
      <c r="BP17" s="561"/>
      <c r="BQ17" s="561"/>
      <c r="BR17" s="561"/>
      <c r="BS17" s="561"/>
      <c r="BT17" s="561"/>
      <c r="BU17" s="561"/>
      <c r="BV17" s="561"/>
      <c r="BW17" s="561"/>
      <c r="BX17" s="561"/>
      <c r="BY17" s="561"/>
      <c r="BZ17" s="561"/>
      <c r="CA17" s="561"/>
      <c r="CB17" s="561"/>
      <c r="CC17" s="561"/>
      <c r="CD17" s="561"/>
      <c r="CE17" s="561"/>
      <c r="CF17" s="561"/>
      <c r="CG17" s="561"/>
      <c r="CH17" s="561"/>
      <c r="CI17" s="561"/>
      <c r="CJ17" s="561"/>
      <c r="CK17" s="561"/>
      <c r="CL17" s="561"/>
      <c r="CM17" s="561"/>
      <c r="CN17" s="561"/>
      <c r="CO17" s="561"/>
      <c r="CP17" s="561"/>
      <c r="CQ17" s="561"/>
      <c r="CR17" s="561"/>
      <c r="CS17" s="561"/>
      <c r="CT17" s="561"/>
      <c r="CU17" s="561"/>
      <c r="CV17" s="561"/>
      <c r="CW17" s="561"/>
      <c r="CX17" s="561"/>
      <c r="CY17" s="561"/>
      <c r="CZ17" s="561"/>
      <c r="DA17" s="561"/>
      <c r="DB17" s="561"/>
      <c r="DC17" s="561"/>
      <c r="DD17" s="561"/>
      <c r="DE17" s="561"/>
      <c r="DF17" s="561"/>
      <c r="DG17" s="561"/>
      <c r="DH17" s="561"/>
      <c r="DI17" s="561"/>
      <c r="DJ17" s="561"/>
      <c r="DK17" s="561"/>
      <c r="DL17" s="561"/>
      <c r="DM17" s="561"/>
      <c r="DN17" s="561"/>
      <c r="DO17" s="561"/>
      <c r="DP17" s="561"/>
      <c r="DQ17" s="561"/>
      <c r="DR17" s="561"/>
      <c r="DS17" s="561"/>
      <c r="DT17" s="561"/>
      <c r="DU17" s="561"/>
      <c r="DV17" s="561"/>
      <c r="DW17" s="561"/>
      <c r="DX17" s="561"/>
      <c r="DY17" s="561"/>
      <c r="DZ17" s="561"/>
      <c r="EA17" s="561"/>
      <c r="EB17" s="561"/>
      <c r="EC17" s="561"/>
      <c r="ED17" s="561"/>
      <c r="EE17" s="561"/>
      <c r="EF17" s="561"/>
      <c r="EG17" s="561"/>
      <c r="EH17" s="561"/>
      <c r="EI17" s="561"/>
      <c r="EJ17" s="561"/>
      <c r="EK17" s="561"/>
      <c r="EL17" s="561"/>
    </row>
    <row r="18" spans="2:142" ht="31.5" customHeight="1">
      <c r="B18" s="703" t="s">
        <v>810</v>
      </c>
      <c r="C18" s="702">
        <v>400000</v>
      </c>
      <c r="F18" s="696"/>
      <c r="G18" s="699"/>
      <c r="H18" s="1139"/>
      <c r="I18" s="699"/>
      <c r="J18" s="699"/>
      <c r="K18" s="699"/>
      <c r="L18" s="699"/>
      <c r="M18" s="699"/>
      <c r="N18" s="699"/>
      <c r="O18" s="699"/>
      <c r="P18" s="699"/>
      <c r="Q18" s="696"/>
      <c r="S18" s="696"/>
      <c r="T18" s="696"/>
      <c r="U18" s="1146" t="s">
        <v>1576</v>
      </c>
      <c r="V18" s="696"/>
      <c r="W18" s="696"/>
      <c r="X18" s="1146" t="s">
        <v>1575</v>
      </c>
      <c r="Y18" s="696"/>
      <c r="Z18" s="696"/>
      <c r="AA18" s="696"/>
      <c r="AB18" s="696"/>
      <c r="AC18" s="696"/>
      <c r="AD18" s="696"/>
      <c r="AF18" s="561"/>
      <c r="AG18" s="561"/>
      <c r="AH18" s="561"/>
      <c r="AI18" s="561"/>
      <c r="AJ18" s="561"/>
      <c r="AK18" s="561"/>
      <c r="AL18" s="561"/>
      <c r="AM18" s="561"/>
      <c r="AN18" s="561"/>
      <c r="AO18" s="561"/>
      <c r="AP18" s="561"/>
      <c r="AQ18" s="561"/>
      <c r="AR18" s="561"/>
      <c r="AS18" s="561"/>
      <c r="AT18" s="561"/>
      <c r="AU18" s="561"/>
      <c r="AV18" s="561"/>
      <c r="AW18" s="561"/>
      <c r="AX18" s="561"/>
      <c r="AY18" s="561"/>
      <c r="AZ18" s="561"/>
      <c r="BA18" s="561"/>
      <c r="BB18" s="561"/>
      <c r="BC18" s="561"/>
      <c r="BD18" s="561"/>
      <c r="BE18" s="561"/>
      <c r="BF18" s="561"/>
      <c r="BG18" s="561"/>
      <c r="BH18" s="561"/>
      <c r="BI18" s="561"/>
      <c r="BJ18" s="561"/>
      <c r="BK18" s="561"/>
      <c r="BL18" s="561"/>
      <c r="BM18" s="561"/>
      <c r="BN18" s="561"/>
      <c r="BO18" s="561"/>
      <c r="BP18" s="561"/>
      <c r="BQ18" s="561"/>
      <c r="BR18" s="561"/>
      <c r="BS18" s="561"/>
      <c r="BT18" s="561"/>
      <c r="BU18" s="561"/>
      <c r="BV18" s="561"/>
      <c r="BW18" s="561"/>
      <c r="BX18" s="561"/>
      <c r="BY18" s="561"/>
      <c r="BZ18" s="561"/>
      <c r="CA18" s="561"/>
      <c r="CB18" s="561"/>
      <c r="CC18" s="561"/>
      <c r="CD18" s="561"/>
      <c r="CE18" s="561"/>
      <c r="CF18" s="561"/>
      <c r="CG18" s="561"/>
      <c r="CH18" s="561"/>
      <c r="CI18" s="561"/>
      <c r="CJ18" s="561"/>
      <c r="CK18" s="561"/>
      <c r="CL18" s="561"/>
      <c r="CM18" s="561"/>
      <c r="CN18" s="561"/>
      <c r="CO18" s="561"/>
      <c r="CP18" s="561"/>
      <c r="CQ18" s="561"/>
      <c r="CR18" s="561"/>
      <c r="CS18" s="561"/>
      <c r="CT18" s="561"/>
      <c r="CU18" s="561"/>
      <c r="CV18" s="561"/>
      <c r="CW18" s="561"/>
      <c r="CX18" s="561"/>
      <c r="CY18" s="561"/>
      <c r="CZ18" s="561"/>
      <c r="DA18" s="561"/>
      <c r="DB18" s="561"/>
      <c r="DC18" s="561"/>
      <c r="DD18" s="561"/>
      <c r="DE18" s="561"/>
      <c r="DF18" s="561"/>
      <c r="DG18" s="561"/>
      <c r="DH18" s="561"/>
      <c r="DI18" s="561"/>
      <c r="DJ18" s="561"/>
      <c r="DK18" s="561"/>
      <c r="DL18" s="561"/>
      <c r="DM18" s="561"/>
      <c r="DN18" s="561"/>
      <c r="DO18" s="561"/>
      <c r="DP18" s="561"/>
      <c r="DQ18" s="561"/>
      <c r="DR18" s="561"/>
      <c r="DS18" s="561"/>
      <c r="DT18" s="561"/>
      <c r="DU18" s="561"/>
      <c r="DV18" s="561"/>
      <c r="DW18" s="561"/>
      <c r="DX18" s="561"/>
      <c r="DY18" s="561"/>
      <c r="DZ18" s="561"/>
      <c r="EA18" s="561"/>
      <c r="EB18" s="561"/>
      <c r="EC18" s="561"/>
      <c r="ED18" s="561"/>
      <c r="EE18" s="561"/>
      <c r="EF18" s="561"/>
      <c r="EG18" s="561"/>
      <c r="EH18" s="561"/>
      <c r="EI18" s="561"/>
      <c r="EJ18" s="561"/>
      <c r="EK18" s="561"/>
      <c r="EL18" s="561"/>
    </row>
    <row r="19" spans="2:142" ht="31.5" customHeight="1">
      <c r="B19" s="703" t="s">
        <v>809</v>
      </c>
      <c r="C19" s="702">
        <v>325000</v>
      </c>
      <c r="F19" s="696"/>
      <c r="G19" s="699" t="s">
        <v>1574</v>
      </c>
      <c r="H19" s="1139"/>
      <c r="I19" s="1143">
        <f>C17*(1+C13)-C19</f>
        <v>597499.99999999988</v>
      </c>
      <c r="J19" s="699"/>
      <c r="K19" s="699"/>
      <c r="L19" s="699"/>
      <c r="M19" s="699"/>
      <c r="N19" s="699"/>
      <c r="O19" s="699"/>
      <c r="P19" s="699"/>
      <c r="Q19" s="696"/>
      <c r="S19" s="696"/>
      <c r="T19" s="699" t="s">
        <v>1574</v>
      </c>
      <c r="U19" s="1143">
        <f>C17/2*(1+C13/2)-C19/2</f>
        <v>293125</v>
      </c>
      <c r="V19" s="696"/>
      <c r="W19" s="699" t="s">
        <v>1574</v>
      </c>
      <c r="X19" s="1143">
        <v>0</v>
      </c>
      <c r="Y19" s="696"/>
      <c r="Z19" s="696"/>
      <c r="AA19" s="696"/>
      <c r="AB19" s="696"/>
      <c r="AC19" s="696"/>
      <c r="AD19" s="696"/>
      <c r="AF19" s="561"/>
      <c r="AG19" s="561"/>
      <c r="AH19" s="561"/>
      <c r="AI19" s="561"/>
      <c r="AJ19" s="561"/>
      <c r="AK19" s="561"/>
      <c r="AL19" s="561"/>
      <c r="AM19" s="561"/>
      <c r="AN19" s="561"/>
      <c r="AO19" s="561"/>
      <c r="AP19" s="561"/>
      <c r="AQ19" s="561"/>
      <c r="AR19" s="561"/>
      <c r="AS19" s="561"/>
      <c r="AT19" s="561"/>
      <c r="AU19" s="561"/>
      <c r="AV19" s="561"/>
      <c r="AW19" s="561"/>
      <c r="AX19" s="561"/>
      <c r="AY19" s="561"/>
      <c r="AZ19" s="561"/>
      <c r="BA19" s="561"/>
      <c r="BB19" s="561"/>
      <c r="BC19" s="561"/>
      <c r="BD19" s="561"/>
      <c r="BE19" s="561"/>
      <c r="BF19" s="561"/>
      <c r="BG19" s="561"/>
      <c r="BH19" s="561"/>
      <c r="BI19" s="561"/>
      <c r="BJ19" s="561"/>
      <c r="BK19" s="561"/>
      <c r="BL19" s="561"/>
      <c r="BM19" s="561"/>
      <c r="BN19" s="561"/>
      <c r="BO19" s="561"/>
      <c r="BP19" s="561"/>
      <c r="BQ19" s="561"/>
      <c r="BR19" s="561"/>
      <c r="BS19" s="561"/>
      <c r="BT19" s="561"/>
      <c r="BU19" s="561"/>
      <c r="BV19" s="561"/>
      <c r="BW19" s="561"/>
      <c r="BX19" s="561"/>
      <c r="BY19" s="561"/>
      <c r="BZ19" s="561"/>
      <c r="CA19" s="561"/>
      <c r="CB19" s="561"/>
      <c r="CC19" s="561"/>
      <c r="CD19" s="561"/>
      <c r="CE19" s="561"/>
      <c r="CF19" s="561"/>
      <c r="CG19" s="561"/>
      <c r="CH19" s="561"/>
      <c r="CI19" s="561"/>
      <c r="CJ19" s="561"/>
      <c r="CK19" s="561"/>
      <c r="CL19" s="561"/>
      <c r="CM19" s="561"/>
      <c r="CN19" s="561"/>
      <c r="CO19" s="561"/>
      <c r="CP19" s="561"/>
      <c r="CQ19" s="561"/>
      <c r="CR19" s="561"/>
      <c r="CS19" s="561"/>
      <c r="CT19" s="561"/>
      <c r="CU19" s="561"/>
      <c r="CV19" s="561"/>
      <c r="CW19" s="561"/>
      <c r="CX19" s="561"/>
      <c r="CY19" s="561"/>
      <c r="CZ19" s="561"/>
      <c r="DA19" s="561"/>
      <c r="DB19" s="561"/>
      <c r="DC19" s="561"/>
      <c r="DD19" s="561"/>
      <c r="DE19" s="561"/>
      <c r="DF19" s="561"/>
      <c r="DG19" s="561"/>
      <c r="DH19" s="561"/>
      <c r="DI19" s="561"/>
      <c r="DJ19" s="561"/>
      <c r="DK19" s="561"/>
      <c r="DL19" s="561"/>
      <c r="DM19" s="561"/>
      <c r="DN19" s="561"/>
      <c r="DO19" s="561"/>
      <c r="DP19" s="561"/>
      <c r="DQ19" s="561"/>
      <c r="DR19" s="561"/>
      <c r="DS19" s="561"/>
      <c r="DT19" s="561"/>
      <c r="DU19" s="561"/>
      <c r="DV19" s="561"/>
      <c r="DW19" s="561"/>
      <c r="DX19" s="561"/>
      <c r="DY19" s="561"/>
      <c r="DZ19" s="561"/>
      <c r="EA19" s="561"/>
      <c r="EB19" s="561"/>
      <c r="EC19" s="561"/>
      <c r="ED19" s="561"/>
      <c r="EE19" s="561"/>
      <c r="EF19" s="561"/>
      <c r="EG19" s="561"/>
      <c r="EH19" s="561"/>
      <c r="EI19" s="561"/>
      <c r="EJ19" s="561"/>
      <c r="EK19" s="561"/>
      <c r="EL19" s="561"/>
    </row>
    <row r="20" spans="2:142" ht="31.5" customHeight="1">
      <c r="B20" s="703" t="s">
        <v>808</v>
      </c>
      <c r="C20" s="702">
        <v>500000</v>
      </c>
      <c r="F20" s="696"/>
      <c r="G20" s="699" t="s">
        <v>1041</v>
      </c>
      <c r="H20" s="1139"/>
      <c r="I20" s="1133">
        <f>(C16-C20/2)*C13</f>
        <v>618750</v>
      </c>
      <c r="J20" s="699"/>
      <c r="K20" s="699"/>
      <c r="L20" s="699"/>
      <c r="M20" s="699"/>
      <c r="N20" s="699"/>
      <c r="O20" s="699"/>
      <c r="P20" s="699"/>
      <c r="Q20" s="696"/>
      <c r="S20" s="696"/>
      <c r="T20" s="699" t="s">
        <v>1573</v>
      </c>
      <c r="U20" s="1143">
        <f>(U33+U36/2)*C13/2</f>
        <v>310937.5</v>
      </c>
      <c r="V20" s="696"/>
      <c r="W20" s="699" t="s">
        <v>1573</v>
      </c>
      <c r="X20" s="1143">
        <f>X37</f>
        <v>267187.5</v>
      </c>
      <c r="Y20" s="696"/>
      <c r="Z20" s="696"/>
      <c r="AA20" s="696"/>
      <c r="AB20" s="696"/>
      <c r="AC20" s="696"/>
      <c r="AD20" s="696"/>
      <c r="AF20" s="561"/>
      <c r="AG20" s="561"/>
      <c r="AH20" s="561"/>
      <c r="AI20" s="561"/>
      <c r="AJ20" s="561"/>
      <c r="AK20" s="561"/>
      <c r="AL20" s="561"/>
      <c r="AM20" s="561"/>
      <c r="AN20" s="561"/>
      <c r="AO20" s="561"/>
      <c r="AP20" s="561"/>
      <c r="AQ20" s="561"/>
      <c r="AR20" s="561"/>
      <c r="AS20" s="561"/>
      <c r="AT20" s="561"/>
      <c r="AU20" s="561"/>
      <c r="AV20" s="561"/>
      <c r="AW20" s="561"/>
      <c r="AX20" s="561"/>
      <c r="AY20" s="561"/>
      <c r="AZ20" s="561"/>
      <c r="BA20" s="561"/>
      <c r="BB20" s="561"/>
      <c r="BC20" s="561"/>
      <c r="BD20" s="561"/>
      <c r="BE20" s="561"/>
      <c r="BF20" s="561"/>
      <c r="BG20" s="561"/>
      <c r="BH20" s="561"/>
      <c r="BI20" s="561"/>
      <c r="BJ20" s="561"/>
      <c r="BK20" s="561"/>
      <c r="BL20" s="561"/>
      <c r="BM20" s="561"/>
      <c r="BN20" s="561"/>
      <c r="BO20" s="561"/>
      <c r="BP20" s="561"/>
      <c r="BQ20" s="561"/>
      <c r="BR20" s="561"/>
      <c r="BS20" s="561"/>
      <c r="BT20" s="561"/>
      <c r="BU20" s="561"/>
      <c r="BV20" s="561"/>
      <c r="BW20" s="561"/>
      <c r="BX20" s="561"/>
      <c r="BY20" s="561"/>
      <c r="BZ20" s="561"/>
      <c r="CA20" s="561"/>
      <c r="CB20" s="561"/>
      <c r="CC20" s="561"/>
      <c r="CD20" s="561"/>
      <c r="CE20" s="561"/>
      <c r="CF20" s="561"/>
      <c r="CG20" s="561"/>
      <c r="CH20" s="561"/>
      <c r="CI20" s="561"/>
      <c r="CJ20" s="561"/>
      <c r="CK20" s="561"/>
      <c r="CL20" s="561"/>
      <c r="CM20" s="561"/>
      <c r="CN20" s="561"/>
      <c r="CO20" s="561"/>
      <c r="CP20" s="561"/>
      <c r="CQ20" s="561"/>
      <c r="CR20" s="561"/>
      <c r="CS20" s="561"/>
      <c r="CT20" s="561"/>
      <c r="CU20" s="561"/>
      <c r="CV20" s="561"/>
      <c r="CW20" s="561"/>
      <c r="CX20" s="561"/>
      <c r="CY20" s="561"/>
      <c r="CZ20" s="561"/>
      <c r="DA20" s="561"/>
      <c r="DB20" s="561"/>
      <c r="DC20" s="561"/>
      <c r="DD20" s="561"/>
      <c r="DE20" s="561"/>
      <c r="DF20" s="561"/>
      <c r="DG20" s="561"/>
      <c r="DH20" s="561"/>
      <c r="DI20" s="561"/>
      <c r="DJ20" s="561"/>
      <c r="DK20" s="561"/>
      <c r="DL20" s="561"/>
      <c r="DM20" s="561"/>
      <c r="DN20" s="561"/>
      <c r="DO20" s="561"/>
      <c r="DP20" s="561"/>
      <c r="DQ20" s="561"/>
      <c r="DR20" s="561"/>
      <c r="DS20" s="561"/>
      <c r="DT20" s="561"/>
      <c r="DU20" s="561"/>
      <c r="DV20" s="561"/>
      <c r="DW20" s="561"/>
      <c r="DX20" s="561"/>
      <c r="DY20" s="561"/>
      <c r="DZ20" s="561"/>
      <c r="EA20" s="561"/>
      <c r="EB20" s="561"/>
      <c r="EC20" s="561"/>
      <c r="ED20" s="561"/>
      <c r="EE20" s="561"/>
      <c r="EF20" s="561"/>
      <c r="EG20" s="561"/>
      <c r="EH20" s="561"/>
      <c r="EI20" s="561"/>
      <c r="EJ20" s="561"/>
      <c r="EK20" s="561"/>
      <c r="EL20" s="561"/>
    </row>
    <row r="21" spans="2:142" ht="31.5" customHeight="1">
      <c r="B21" s="703" t="s">
        <v>807</v>
      </c>
      <c r="C21" s="706">
        <v>11</v>
      </c>
      <c r="F21" s="696"/>
      <c r="G21" s="699" t="s">
        <v>793</v>
      </c>
      <c r="H21" s="1139"/>
      <c r="I21" s="1133">
        <f>-(C15+(C18+C19)/2-C20/2)*C14</f>
        <v>-1023687.5</v>
      </c>
      <c r="J21" s="699"/>
      <c r="K21" s="699"/>
      <c r="L21" s="699"/>
      <c r="M21" s="699"/>
      <c r="N21" s="699"/>
      <c r="O21" s="699"/>
      <c r="P21" s="699"/>
      <c r="Q21" s="696"/>
      <c r="S21" s="696"/>
      <c r="T21" s="699" t="s">
        <v>1572</v>
      </c>
      <c r="U21" s="1143">
        <f>-U50</f>
        <v>-510296.875</v>
      </c>
      <c r="V21" s="696"/>
      <c r="W21" s="699" t="s">
        <v>1572</v>
      </c>
      <c r="X21" s="1143">
        <f>-X50</f>
        <v>-539687.5</v>
      </c>
      <c r="Y21" s="696"/>
      <c r="Z21" s="696"/>
      <c r="AA21" s="696"/>
      <c r="AB21" s="696"/>
      <c r="AC21" s="696"/>
      <c r="AD21" s="696"/>
    </row>
    <row r="22" spans="2:142" ht="31.5" customHeight="1">
      <c r="B22" s="703" t="s">
        <v>806</v>
      </c>
      <c r="C22" s="706">
        <v>20</v>
      </c>
      <c r="F22" s="696"/>
      <c r="G22" s="1135" t="s">
        <v>1571</v>
      </c>
      <c r="H22" s="1145"/>
      <c r="I22" s="1132">
        <f>I28</f>
        <v>22727.272727272728</v>
      </c>
      <c r="J22" s="699"/>
      <c r="K22" s="699"/>
      <c r="L22" s="699"/>
      <c r="M22" s="699"/>
      <c r="N22" s="699"/>
      <c r="O22" s="699"/>
      <c r="P22" s="699"/>
      <c r="Q22" s="696"/>
      <c r="S22" s="696"/>
      <c r="T22" s="699" t="s">
        <v>1571</v>
      </c>
      <c r="U22" s="1143">
        <f>I22/2</f>
        <v>11363.636363636364</v>
      </c>
      <c r="V22" s="696"/>
      <c r="W22" s="699" t="s">
        <v>1571</v>
      </c>
      <c r="X22" s="1143">
        <v>0</v>
      </c>
      <c r="Y22" s="696"/>
      <c r="Z22" s="696"/>
      <c r="AA22" s="696"/>
      <c r="AB22" s="696"/>
      <c r="AC22" s="696"/>
      <c r="AD22" s="696"/>
    </row>
    <row r="23" spans="2:142" ht="63" customHeight="1">
      <c r="B23" s="703" t="s">
        <v>805</v>
      </c>
      <c r="C23" s="702" t="s">
        <v>804</v>
      </c>
      <c r="F23" s="696"/>
      <c r="G23" s="704" t="s">
        <v>1140</v>
      </c>
      <c r="H23" s="1144"/>
      <c r="I23" s="1140">
        <f>SUM(I19:I22)</f>
        <v>215289.77272727274</v>
      </c>
      <c r="J23" s="699"/>
      <c r="K23" s="699"/>
      <c r="L23" s="699"/>
      <c r="M23" s="699"/>
      <c r="N23" s="699"/>
      <c r="O23" s="699"/>
      <c r="P23" s="699"/>
      <c r="Q23" s="696"/>
      <c r="S23" s="696"/>
      <c r="T23" s="994" t="s">
        <v>1570</v>
      </c>
      <c r="U23" s="994">
        <v>0</v>
      </c>
      <c r="V23" s="696"/>
      <c r="W23" s="994" t="s">
        <v>1570</v>
      </c>
      <c r="X23" s="1131">
        <f>U69</f>
        <v>-1905129.2613636362</v>
      </c>
      <c r="Y23" s="696"/>
      <c r="AB23" s="696"/>
      <c r="AC23" s="696"/>
      <c r="AD23" s="696"/>
    </row>
    <row r="24" spans="2:142" ht="31.5" customHeight="1">
      <c r="B24" s="703" t="s">
        <v>803</v>
      </c>
      <c r="C24" s="702">
        <v>2750000</v>
      </c>
      <c r="F24" s="696"/>
      <c r="G24" s="1136" t="s">
        <v>1548</v>
      </c>
      <c r="H24" s="1139"/>
      <c r="I24" s="1143"/>
      <c r="J24" s="699"/>
      <c r="K24" s="699"/>
      <c r="L24" s="699"/>
      <c r="M24" s="699"/>
      <c r="N24" s="699"/>
      <c r="O24" s="699"/>
      <c r="P24" s="699"/>
      <c r="Q24" s="696"/>
      <c r="S24" s="696"/>
      <c r="T24" s="699" t="s">
        <v>1140</v>
      </c>
      <c r="U24" s="1143">
        <f>SUM(U19:U23)</f>
        <v>105129.26136363637</v>
      </c>
      <c r="V24" s="696"/>
      <c r="W24" s="699" t="s">
        <v>1140</v>
      </c>
      <c r="X24" s="1143">
        <f>SUM(X19:X23)</f>
        <v>-2177629.2613636362</v>
      </c>
      <c r="Y24" s="696"/>
      <c r="Z24" s="696"/>
      <c r="AA24" s="696"/>
      <c r="AB24" s="696"/>
      <c r="AC24" s="696"/>
      <c r="AD24" s="696"/>
    </row>
    <row r="25" spans="2:142" ht="15.75" customHeight="1">
      <c r="F25" s="696"/>
      <c r="G25" s="699" t="s">
        <v>1547</v>
      </c>
      <c r="H25" s="1139"/>
      <c r="I25" s="1133">
        <f>C24</f>
        <v>2750000</v>
      </c>
      <c r="J25" s="699"/>
      <c r="K25" s="699"/>
      <c r="L25" s="699"/>
      <c r="M25" s="699"/>
      <c r="N25" s="699"/>
      <c r="O25" s="699"/>
      <c r="P25" s="699"/>
      <c r="Q25" s="696"/>
      <c r="S25" s="696"/>
      <c r="T25" s="696"/>
      <c r="U25" s="696"/>
      <c r="V25" s="696"/>
      <c r="W25" s="696"/>
      <c r="X25" s="696"/>
      <c r="Y25" s="696"/>
      <c r="Z25" s="696"/>
      <c r="AA25" s="696"/>
      <c r="AB25" s="696"/>
      <c r="AC25" s="696"/>
      <c r="AD25" s="696"/>
    </row>
    <row r="26" spans="2:142" ht="15.75" customHeight="1">
      <c r="B26" s="2" t="s">
        <v>802</v>
      </c>
      <c r="F26" s="696"/>
      <c r="G26" s="1135" t="s">
        <v>1546</v>
      </c>
      <c r="H26" s="1142"/>
      <c r="I26" s="1132">
        <f>10%*MAX(C15,C16)</f>
        <v>2500000</v>
      </c>
      <c r="J26" s="699"/>
      <c r="K26" s="699"/>
      <c r="L26" s="699"/>
      <c r="M26" s="699"/>
      <c r="N26" s="699"/>
      <c r="O26" s="699"/>
      <c r="P26" s="699"/>
      <c r="Q26" s="696"/>
      <c r="S26" s="696"/>
      <c r="T26" s="696"/>
      <c r="U26" s="696"/>
      <c r="V26" s="696"/>
      <c r="W26" s="696"/>
      <c r="X26" s="696"/>
      <c r="Y26" s="696"/>
      <c r="Z26" s="696"/>
      <c r="AA26" s="696"/>
      <c r="AB26" s="696"/>
      <c r="AC26" s="696"/>
      <c r="AD26" s="696"/>
    </row>
    <row r="27" spans="2:142">
      <c r="F27" s="696"/>
      <c r="G27" s="699" t="s">
        <v>1545</v>
      </c>
      <c r="H27" s="1139"/>
      <c r="I27" s="1133">
        <f>MAX(0,I25-I26)</f>
        <v>250000</v>
      </c>
      <c r="J27" s="699"/>
      <c r="K27" s="699"/>
      <c r="L27" s="699"/>
      <c r="M27" s="699"/>
      <c r="N27" s="699"/>
      <c r="O27" s="699"/>
      <c r="P27" s="699"/>
      <c r="Q27" s="696"/>
      <c r="S27" s="696"/>
      <c r="T27" s="1141" t="s">
        <v>1569</v>
      </c>
      <c r="U27" s="1140">
        <f>U24+X24</f>
        <v>-2072499.9999999998</v>
      </c>
      <c r="V27" s="696"/>
      <c r="W27" s="696"/>
      <c r="X27" s="696"/>
      <c r="Y27" s="696"/>
      <c r="Z27" s="696"/>
      <c r="AA27" s="696"/>
      <c r="AB27" s="696"/>
      <c r="AC27" s="696"/>
      <c r="AD27" s="696"/>
    </row>
    <row r="28" spans="2:142">
      <c r="B28" s="619" t="s">
        <v>801</v>
      </c>
      <c r="F28" s="696"/>
      <c r="G28" s="699" t="s">
        <v>1544</v>
      </c>
      <c r="H28" s="699"/>
      <c r="I28" s="1133">
        <f>I27/C21</f>
        <v>22727.272727272728</v>
      </c>
      <c r="J28" s="699"/>
      <c r="K28" s="699"/>
      <c r="L28" s="699"/>
      <c r="M28" s="699"/>
      <c r="N28" s="699"/>
      <c r="O28" s="699"/>
      <c r="P28" s="699"/>
      <c r="Q28" s="696"/>
      <c r="S28" s="696"/>
      <c r="T28" s="696"/>
      <c r="U28" s="696"/>
      <c r="V28" s="696"/>
      <c r="W28" s="696"/>
      <c r="X28" s="696"/>
      <c r="Y28" s="696"/>
      <c r="Z28" s="696"/>
      <c r="AA28" s="696"/>
      <c r="AB28" s="696"/>
      <c r="AC28" s="696"/>
      <c r="AD28" s="696"/>
    </row>
    <row r="29" spans="2:142">
      <c r="F29" s="696"/>
      <c r="G29" s="699"/>
      <c r="H29" s="1139"/>
      <c r="I29" s="1133"/>
      <c r="J29" s="699"/>
      <c r="K29" s="699"/>
      <c r="L29" s="699"/>
      <c r="M29" s="699"/>
      <c r="N29" s="699"/>
      <c r="O29" s="699"/>
      <c r="P29" s="699"/>
      <c r="Q29" s="696"/>
      <c r="S29" s="696"/>
      <c r="T29" s="696"/>
      <c r="U29" s="696"/>
      <c r="V29" s="696"/>
      <c r="W29" s="696"/>
      <c r="X29" s="696"/>
      <c r="Y29" s="696"/>
      <c r="Z29" s="696"/>
      <c r="AA29" s="696"/>
      <c r="AB29" s="696"/>
      <c r="AC29" s="696"/>
      <c r="AD29" s="696"/>
    </row>
    <row r="30" spans="2:142">
      <c r="B30" s="2" t="s">
        <v>800</v>
      </c>
      <c r="F30" s="696"/>
      <c r="G30" s="699"/>
      <c r="H30" s="1139"/>
      <c r="I30" s="1133"/>
      <c r="J30" s="699"/>
      <c r="K30" s="699"/>
      <c r="L30" s="699"/>
      <c r="M30" s="699"/>
      <c r="N30" s="699"/>
      <c r="O30" s="699"/>
      <c r="P30" s="699"/>
      <c r="Q30" s="696"/>
      <c r="S30" s="696"/>
      <c r="T30" s="696"/>
      <c r="U30" s="696"/>
      <c r="V30" s="696"/>
      <c r="W30" s="696"/>
      <c r="X30" s="696"/>
      <c r="Y30" s="696"/>
      <c r="Z30" s="696"/>
      <c r="AA30" s="699"/>
      <c r="AB30" s="696"/>
      <c r="AC30" s="696"/>
      <c r="AD30" s="696"/>
    </row>
    <row r="31" spans="2:142">
      <c r="F31" s="696"/>
      <c r="G31" s="1136" t="s">
        <v>1566</v>
      </c>
      <c r="H31" s="696"/>
      <c r="I31" s="1133"/>
      <c r="J31" s="699"/>
      <c r="K31" s="699"/>
      <c r="L31" s="699"/>
      <c r="M31" s="699"/>
      <c r="N31" s="699"/>
      <c r="O31" s="699"/>
      <c r="P31" s="699"/>
      <c r="Q31" s="696"/>
      <c r="S31" s="696"/>
      <c r="T31" s="696" t="s">
        <v>1568</v>
      </c>
      <c r="U31" s="696"/>
      <c r="V31" s="696"/>
      <c r="W31" s="696" t="s">
        <v>1567</v>
      </c>
      <c r="X31" s="696"/>
      <c r="Y31" s="696"/>
      <c r="Z31" s="696"/>
      <c r="AA31" s="699"/>
      <c r="AB31" s="696"/>
      <c r="AC31" s="696"/>
      <c r="AD31" s="696"/>
    </row>
    <row r="32" spans="2:142">
      <c r="B32" s="2" t="s">
        <v>799</v>
      </c>
      <c r="C32" s="581"/>
      <c r="F32" s="696"/>
      <c r="G32" s="699" t="s">
        <v>1564</v>
      </c>
      <c r="H32" s="1139"/>
      <c r="I32" s="1133">
        <f>C16</f>
        <v>25000000</v>
      </c>
      <c r="J32" s="699"/>
      <c r="K32" s="699"/>
      <c r="L32" s="699"/>
      <c r="M32" s="699"/>
      <c r="N32" s="699"/>
      <c r="O32" s="699"/>
      <c r="P32" s="699"/>
      <c r="Q32" s="696"/>
      <c r="S32" s="696"/>
      <c r="T32" s="1136" t="s">
        <v>1566</v>
      </c>
      <c r="U32" s="1133"/>
      <c r="V32" s="699"/>
      <c r="W32" s="1136" t="s">
        <v>1041</v>
      </c>
      <c r="X32" s="696"/>
      <c r="Y32" s="696"/>
      <c r="Z32" s="696"/>
      <c r="AA32" s="699"/>
      <c r="AB32" s="696"/>
      <c r="AC32" s="696"/>
      <c r="AD32" s="696"/>
    </row>
    <row r="33" spans="1:30">
      <c r="B33" s="581"/>
      <c r="C33" s="581"/>
      <c r="F33" s="696"/>
      <c r="G33" s="699" t="s">
        <v>1565</v>
      </c>
      <c r="H33" s="699"/>
      <c r="I33" s="1133">
        <f>I19</f>
        <v>597499.99999999988</v>
      </c>
      <c r="J33" s="699"/>
      <c r="K33" s="699"/>
      <c r="L33" s="699"/>
      <c r="M33" s="699"/>
      <c r="N33" s="699"/>
      <c r="O33" s="699"/>
      <c r="P33" s="699"/>
      <c r="Q33" s="696"/>
      <c r="S33" s="696"/>
      <c r="T33" s="699" t="s">
        <v>1564</v>
      </c>
      <c r="U33" s="1133">
        <f>C16</f>
        <v>25000000</v>
      </c>
      <c r="V33" s="696"/>
      <c r="W33" s="560" t="s">
        <v>1558</v>
      </c>
      <c r="X33" s="1133">
        <f>U43</f>
        <v>21500000</v>
      </c>
      <c r="Y33" s="696"/>
      <c r="Z33" s="696"/>
      <c r="AA33" s="699"/>
      <c r="AB33" s="696"/>
      <c r="AC33" s="696"/>
      <c r="AD33" s="696"/>
    </row>
    <row r="34" spans="1:30">
      <c r="B34" s="2" t="s">
        <v>788</v>
      </c>
      <c r="F34" s="696"/>
      <c r="G34" s="560" t="s">
        <v>1563</v>
      </c>
      <c r="I34" s="1133">
        <f>C19</f>
        <v>325000</v>
      </c>
      <c r="J34" s="699"/>
      <c r="K34" s="699"/>
      <c r="L34" s="696"/>
      <c r="M34" s="696"/>
      <c r="N34" s="696"/>
      <c r="O34" s="696"/>
      <c r="P34" s="696"/>
      <c r="Q34" s="696"/>
      <c r="S34" s="696"/>
      <c r="T34" s="699" t="s">
        <v>1218</v>
      </c>
      <c r="U34" s="1133">
        <f>U19</f>
        <v>293125</v>
      </c>
      <c r="V34" s="699"/>
      <c r="W34" s="699" t="s">
        <v>1218</v>
      </c>
      <c r="X34" s="1133">
        <f>X19</f>
        <v>0</v>
      </c>
      <c r="Y34" s="696"/>
      <c r="Z34" s="696"/>
      <c r="AA34" s="699"/>
      <c r="AB34" s="696"/>
      <c r="AC34" s="696"/>
      <c r="AD34" s="696"/>
    </row>
    <row r="35" spans="1:30">
      <c r="F35" s="696"/>
      <c r="G35" s="699" t="s">
        <v>543</v>
      </c>
      <c r="H35" s="696"/>
      <c r="I35" s="1133">
        <f>-C20</f>
        <v>-500000</v>
      </c>
      <c r="J35" s="699"/>
      <c r="K35" s="699"/>
      <c r="L35" s="696"/>
      <c r="M35" s="696"/>
      <c r="N35" s="696"/>
      <c r="O35" s="696"/>
      <c r="P35" s="696"/>
      <c r="Q35" s="696"/>
      <c r="S35" s="696"/>
      <c r="T35" s="699" t="s">
        <v>1563</v>
      </c>
      <c r="U35" s="1133">
        <f>I34/2</f>
        <v>162500</v>
      </c>
      <c r="AA35" s="699"/>
      <c r="AC35" s="696"/>
      <c r="AD35" s="696"/>
    </row>
    <row r="36" spans="1:30">
      <c r="A36" s="2" t="s">
        <v>798</v>
      </c>
      <c r="F36" s="696"/>
      <c r="G36" s="1135" t="s">
        <v>1217</v>
      </c>
      <c r="H36" s="1138"/>
      <c r="I36" s="1132">
        <f>I20</f>
        <v>618750</v>
      </c>
      <c r="J36" s="699"/>
      <c r="K36" s="699"/>
      <c r="L36" s="696"/>
      <c r="M36" s="696"/>
      <c r="N36" s="696"/>
      <c r="O36" s="696"/>
      <c r="P36" s="696"/>
      <c r="Q36" s="696"/>
      <c r="S36" s="696"/>
      <c r="T36" s="699" t="s">
        <v>543</v>
      </c>
      <c r="U36" s="1133">
        <f>-C20/2</f>
        <v>-250000</v>
      </c>
      <c r="V36" s="696"/>
      <c r="W36" s="699" t="s">
        <v>543</v>
      </c>
      <c r="X36" s="1133">
        <f>-C20/2</f>
        <v>-250000</v>
      </c>
      <c r="Y36" s="696"/>
      <c r="Z36" s="696"/>
      <c r="AA36" s="699"/>
      <c r="AB36" s="696"/>
      <c r="AC36" s="696"/>
      <c r="AD36" s="696"/>
    </row>
    <row r="37" spans="1:30">
      <c r="A37" s="2" t="s">
        <v>797</v>
      </c>
      <c r="F37" s="696"/>
      <c r="G37" s="699" t="s">
        <v>1562</v>
      </c>
      <c r="H37" s="696"/>
      <c r="I37" s="1133">
        <f>SUM(I32:I36)</f>
        <v>26041250</v>
      </c>
      <c r="J37" s="699"/>
      <c r="K37" s="699"/>
      <c r="L37" s="696"/>
      <c r="M37" s="696"/>
      <c r="N37" s="696"/>
      <c r="O37" s="696"/>
      <c r="P37" s="696"/>
      <c r="Q37" s="696"/>
      <c r="S37" s="696"/>
      <c r="T37" s="1135" t="s">
        <v>1217</v>
      </c>
      <c r="U37" s="1132">
        <f>U20</f>
        <v>310937.5</v>
      </c>
      <c r="V37" s="696"/>
      <c r="W37" s="699" t="s">
        <v>1217</v>
      </c>
      <c r="X37" s="1133">
        <f>(X33)*C44/2+(X34+X36/2)*C44/2</f>
        <v>267187.5</v>
      </c>
      <c r="Y37" s="696"/>
      <c r="Z37" s="696"/>
      <c r="AA37" s="699"/>
      <c r="AB37" s="696"/>
      <c r="AC37" s="696"/>
      <c r="AD37" s="696"/>
    </row>
    <row r="38" spans="1:30">
      <c r="F38" s="696"/>
      <c r="G38" s="994" t="s">
        <v>1490</v>
      </c>
      <c r="H38" s="994"/>
      <c r="I38" s="1132">
        <f>I39-I37</f>
        <v>-1541250</v>
      </c>
      <c r="J38" s="699"/>
      <c r="K38" s="699"/>
      <c r="L38" s="696"/>
      <c r="M38" s="696"/>
      <c r="N38" s="696"/>
      <c r="O38" s="696"/>
      <c r="P38" s="696"/>
      <c r="Q38" s="696"/>
      <c r="S38" s="696"/>
      <c r="T38" s="699" t="s">
        <v>1560</v>
      </c>
      <c r="U38" s="1133">
        <f>SUM(U33:U37)</f>
        <v>25516562.5</v>
      </c>
      <c r="V38" s="696"/>
      <c r="X38" s="1133"/>
      <c r="Y38" s="696"/>
      <c r="Z38" s="696"/>
      <c r="AA38" s="699"/>
      <c r="AB38" s="696"/>
      <c r="AC38" s="696"/>
      <c r="AD38" s="696"/>
    </row>
    <row r="39" spans="1:30">
      <c r="A39" s="2" t="s">
        <v>754</v>
      </c>
      <c r="F39" s="696"/>
      <c r="G39" s="699" t="s">
        <v>1561</v>
      </c>
      <c r="H39" s="696"/>
      <c r="I39" s="1133">
        <f>D16</f>
        <v>24500000</v>
      </c>
      <c r="J39" s="699"/>
      <c r="K39" s="699"/>
      <c r="L39" s="696"/>
      <c r="M39" s="696"/>
      <c r="N39" s="696"/>
      <c r="O39" s="696"/>
      <c r="P39" s="696"/>
      <c r="Q39" s="696"/>
      <c r="S39" s="696"/>
      <c r="T39" s="994" t="s">
        <v>1490</v>
      </c>
      <c r="U39" s="1132">
        <v>0</v>
      </c>
      <c r="V39" s="696"/>
      <c r="X39" s="1133"/>
      <c r="Y39" s="696"/>
      <c r="Z39" s="696"/>
      <c r="AA39" s="699"/>
      <c r="AB39" s="696"/>
      <c r="AC39" s="696"/>
      <c r="AD39" s="696"/>
    </row>
    <row r="40" spans="1:30">
      <c r="G40" s="697"/>
      <c r="H40" s="696"/>
      <c r="I40" s="1133"/>
      <c r="J40" s="699"/>
      <c r="K40" s="699"/>
      <c r="T40" s="699" t="s">
        <v>1560</v>
      </c>
      <c r="U40" s="1133">
        <f>U38+U39</f>
        <v>25516562.5</v>
      </c>
      <c r="V40" s="696"/>
      <c r="X40" s="1133"/>
      <c r="Y40" s="696"/>
      <c r="Z40" s="696"/>
      <c r="AA40" s="699"/>
      <c r="AB40" s="696"/>
    </row>
    <row r="41" spans="1:30">
      <c r="B41" s="590"/>
      <c r="C41" s="695" t="s">
        <v>796</v>
      </c>
      <c r="G41" s="1136" t="s">
        <v>1556</v>
      </c>
      <c r="H41" s="696"/>
      <c r="I41" s="1133"/>
      <c r="J41" s="699"/>
      <c r="K41" s="699"/>
      <c r="U41" s="696"/>
      <c r="V41" s="696"/>
      <c r="W41" s="696"/>
      <c r="X41" s="1133"/>
      <c r="Y41" s="696"/>
      <c r="Z41" s="696"/>
      <c r="AA41" s="699"/>
      <c r="AB41" s="696"/>
    </row>
    <row r="42" spans="1:30">
      <c r="B42" s="590" t="s">
        <v>795</v>
      </c>
      <c r="C42" s="694">
        <v>21500000</v>
      </c>
      <c r="G42" s="699" t="s">
        <v>1554</v>
      </c>
      <c r="H42" s="1139"/>
      <c r="I42" s="1133">
        <f>C15</f>
        <v>18500000</v>
      </c>
      <c r="J42" s="699"/>
      <c r="T42" s="696" t="s">
        <v>1559</v>
      </c>
      <c r="U42" s="1133">
        <f>U43-U40</f>
        <v>-4016562.5</v>
      </c>
      <c r="V42" s="696"/>
      <c r="W42" s="696"/>
      <c r="X42" s="1133"/>
      <c r="Y42" s="696"/>
      <c r="Z42" s="696"/>
      <c r="AA42" s="699"/>
    </row>
    <row r="43" spans="1:30">
      <c r="B43" s="590" t="s">
        <v>794</v>
      </c>
      <c r="C43" s="693">
        <v>19750000</v>
      </c>
      <c r="G43" s="699" t="s">
        <v>113</v>
      </c>
      <c r="H43" s="699"/>
      <c r="I43" s="1133">
        <f>C18+C19</f>
        <v>725000</v>
      </c>
      <c r="J43" s="699"/>
      <c r="T43" s="560" t="s">
        <v>1558</v>
      </c>
      <c r="U43" s="1133">
        <f>C42</f>
        <v>21500000</v>
      </c>
      <c r="V43" s="696"/>
      <c r="X43" s="1133"/>
      <c r="AA43" s="699"/>
    </row>
    <row r="44" spans="1:30">
      <c r="B44" s="590" t="s">
        <v>51</v>
      </c>
      <c r="C44" s="691">
        <v>2.5000000000000001E-2</v>
      </c>
      <c r="G44" s="699" t="s">
        <v>543</v>
      </c>
      <c r="H44" s="696"/>
      <c r="I44" s="1133">
        <f>-C20</f>
        <v>-500000</v>
      </c>
      <c r="J44" s="699"/>
      <c r="U44" s="1133"/>
      <c r="X44" s="1133"/>
      <c r="AA44" s="699"/>
    </row>
    <row r="45" spans="1:30">
      <c r="B45" s="590" t="s">
        <v>793</v>
      </c>
      <c r="C45" s="691">
        <v>5.5E-2</v>
      </c>
      <c r="G45" s="1135" t="s">
        <v>1144</v>
      </c>
      <c r="H45" s="1138"/>
      <c r="I45" s="1132">
        <f>(I42+I43/2+I44/2)*C14</f>
        <v>1023687.5</v>
      </c>
      <c r="J45" s="699"/>
      <c r="X45" s="1133"/>
      <c r="AA45" s="699"/>
    </row>
    <row r="46" spans="1:30">
      <c r="G46" s="699" t="s">
        <v>1557</v>
      </c>
      <c r="H46" s="696"/>
      <c r="I46" s="1133">
        <f>SUM(I42:I45)</f>
        <v>19748687.5</v>
      </c>
      <c r="J46" s="699"/>
      <c r="T46" s="1136" t="s">
        <v>1556</v>
      </c>
      <c r="W46" s="1136" t="s">
        <v>1144</v>
      </c>
      <c r="X46" s="1133"/>
    </row>
    <row r="47" spans="1:30">
      <c r="A47" s="2" t="s">
        <v>792</v>
      </c>
      <c r="G47" s="699" t="s">
        <v>1555</v>
      </c>
      <c r="H47" s="696"/>
      <c r="I47" s="1133">
        <f>D15</f>
        <v>21000000</v>
      </c>
      <c r="J47" s="699"/>
      <c r="T47" s="699" t="s">
        <v>1554</v>
      </c>
      <c r="U47" s="1133">
        <f>C15</f>
        <v>18500000</v>
      </c>
      <c r="W47" s="699" t="s">
        <v>1552</v>
      </c>
      <c r="X47" s="1133">
        <f>U52</f>
        <v>19750000</v>
      </c>
    </row>
    <row r="48" spans="1:30">
      <c r="B48" s="689" t="s">
        <v>791</v>
      </c>
      <c r="G48" s="699" t="s">
        <v>1550</v>
      </c>
      <c r="H48" s="696"/>
      <c r="I48" s="1133">
        <f>I47-I46</f>
        <v>1251312.5</v>
      </c>
      <c r="J48" s="699"/>
      <c r="T48" s="699" t="s">
        <v>113</v>
      </c>
      <c r="U48" s="1133">
        <f>(C18+C19)/2</f>
        <v>362500</v>
      </c>
      <c r="W48" s="560" t="s">
        <v>113</v>
      </c>
      <c r="X48" s="1133">
        <v>0</v>
      </c>
    </row>
    <row r="49" spans="2:25">
      <c r="B49" s="689" t="s">
        <v>790</v>
      </c>
      <c r="J49" s="699"/>
      <c r="T49" s="699" t="s">
        <v>543</v>
      </c>
      <c r="U49" s="1133">
        <f>-C20/2</f>
        <v>-250000</v>
      </c>
      <c r="V49" s="696"/>
      <c r="W49" s="560" t="s">
        <v>543</v>
      </c>
      <c r="X49" s="1133">
        <f>X36</f>
        <v>-250000</v>
      </c>
    </row>
    <row r="50" spans="2:25">
      <c r="G50" s="1134" t="s">
        <v>1543</v>
      </c>
      <c r="I50" s="1133"/>
      <c r="J50" s="699"/>
      <c r="T50" s="1135" t="s">
        <v>1144</v>
      </c>
      <c r="U50" s="1132">
        <f>(U47)*C14/2+(U48/2+U49/2)*C14/2</f>
        <v>510296.875</v>
      </c>
      <c r="V50" s="696"/>
      <c r="W50" s="560" t="s">
        <v>1144</v>
      </c>
      <c r="X50" s="1133">
        <f>(X47)*C45/2+(X48/2+X49/2)*C45/2</f>
        <v>539687.5</v>
      </c>
      <c r="Y50" s="696"/>
    </row>
    <row r="51" spans="2:25">
      <c r="B51" s="619" t="s">
        <v>789</v>
      </c>
      <c r="G51" s="560" t="s">
        <v>1542</v>
      </c>
      <c r="I51" s="1133">
        <f>C24</f>
        <v>2750000</v>
      </c>
      <c r="J51" s="699"/>
      <c r="T51" s="699" t="s">
        <v>1553</v>
      </c>
      <c r="U51" s="1133">
        <f>SUM(U47:U50)</f>
        <v>19122796.875</v>
      </c>
      <c r="V51" s="696"/>
    </row>
    <row r="52" spans="2:25">
      <c r="G52" s="560" t="s">
        <v>1544</v>
      </c>
      <c r="I52" s="1133">
        <f>-I28</f>
        <v>-22727.272727272728</v>
      </c>
      <c r="J52" s="699"/>
      <c r="T52" s="699" t="s">
        <v>1552</v>
      </c>
      <c r="U52" s="1133">
        <f>C43</f>
        <v>19750000</v>
      </c>
      <c r="V52" s="696"/>
    </row>
    <row r="53" spans="2:25">
      <c r="B53" s="2" t="s">
        <v>788</v>
      </c>
      <c r="G53" s="560" t="s">
        <v>1551</v>
      </c>
      <c r="I53" s="1133">
        <f>I38</f>
        <v>-1541250</v>
      </c>
      <c r="J53" s="699"/>
      <c r="T53" s="699" t="s">
        <v>1550</v>
      </c>
      <c r="U53" s="1133">
        <f>U52-U51</f>
        <v>627203.125</v>
      </c>
      <c r="V53" s="696"/>
    </row>
    <row r="54" spans="2:25">
      <c r="G54" s="994" t="s">
        <v>1540</v>
      </c>
      <c r="H54" s="994"/>
      <c r="I54" s="1132">
        <f>-I48</f>
        <v>-1251312.5</v>
      </c>
      <c r="J54" s="699"/>
      <c r="V54" s="696"/>
    </row>
    <row r="55" spans="2:25">
      <c r="G55" s="603" t="s">
        <v>1549</v>
      </c>
      <c r="H55" s="603"/>
      <c r="I55" s="1137">
        <f>SUM(I51:I54)</f>
        <v>-65289.772727272939</v>
      </c>
      <c r="J55" s="699"/>
    </row>
    <row r="56" spans="2:25">
      <c r="G56" s="696"/>
      <c r="I56" s="1133"/>
      <c r="J56" s="699"/>
      <c r="T56" s="1136" t="s">
        <v>1548</v>
      </c>
    </row>
    <row r="57" spans="2:25">
      <c r="J57" s="699"/>
      <c r="T57" s="699" t="s">
        <v>1547</v>
      </c>
      <c r="U57" s="1133">
        <f>C24</f>
        <v>2750000</v>
      </c>
    </row>
    <row r="58" spans="2:25">
      <c r="F58" s="696"/>
      <c r="G58" s="696"/>
      <c r="H58" s="696"/>
      <c r="I58" s="696"/>
      <c r="J58" s="696"/>
      <c r="K58" s="696"/>
      <c r="T58" s="1135" t="s">
        <v>1546</v>
      </c>
      <c r="U58" s="1132">
        <f>10%*MAX(U47,U33)</f>
        <v>2500000</v>
      </c>
    </row>
    <row r="59" spans="2:25">
      <c r="F59" s="696"/>
      <c r="G59" s="696"/>
      <c r="H59" s="696"/>
      <c r="I59" s="696"/>
      <c r="J59" s="696"/>
      <c r="K59" s="696"/>
      <c r="T59" s="699" t="s">
        <v>1545</v>
      </c>
      <c r="U59" s="1133">
        <f>MAX(0,U57-U58)</f>
        <v>250000</v>
      </c>
    </row>
    <row r="60" spans="2:25">
      <c r="F60" s="696"/>
      <c r="G60" s="696"/>
      <c r="H60" s="696"/>
      <c r="I60" s="696"/>
      <c r="J60" s="696"/>
      <c r="K60" s="696"/>
      <c r="T60" s="699" t="s">
        <v>1544</v>
      </c>
      <c r="U60" s="1133">
        <f>U59/C21</f>
        <v>22727.272727272728</v>
      </c>
    </row>
    <row r="61" spans="2:25">
      <c r="F61" s="696"/>
      <c r="G61" s="696"/>
      <c r="H61" s="696"/>
      <c r="I61" s="696"/>
      <c r="J61" s="696"/>
      <c r="K61" s="696"/>
    </row>
    <row r="62" spans="2:25">
      <c r="F62" s="696"/>
      <c r="G62" s="696"/>
      <c r="H62" s="696"/>
      <c r="I62" s="696"/>
      <c r="J62" s="696"/>
      <c r="K62" s="696"/>
    </row>
    <row r="63" spans="2:25">
      <c r="F63" s="696"/>
      <c r="G63" s="696"/>
      <c r="H63" s="696"/>
      <c r="I63" s="696"/>
      <c r="J63" s="696"/>
      <c r="K63" s="696"/>
      <c r="T63" s="1134" t="s">
        <v>1543</v>
      </c>
    </row>
    <row r="64" spans="2:25">
      <c r="F64" s="696"/>
      <c r="G64" s="696"/>
      <c r="H64" s="696"/>
      <c r="I64" s="696"/>
      <c r="J64" s="696"/>
      <c r="K64" s="696"/>
      <c r="T64" s="560" t="s">
        <v>1542</v>
      </c>
      <c r="U64" s="1133">
        <f>C24</f>
        <v>2750000</v>
      </c>
      <c r="V64" s="696"/>
    </row>
    <row r="65" spans="6:23">
      <c r="F65" s="696"/>
      <c r="G65" s="696"/>
      <c r="H65" s="696"/>
      <c r="I65" s="696"/>
      <c r="J65" s="696"/>
      <c r="K65" s="696"/>
      <c r="T65" s="560" t="s">
        <v>1541</v>
      </c>
      <c r="U65" s="1133">
        <f>-U60/2</f>
        <v>-11363.636363636364</v>
      </c>
      <c r="V65" s="696"/>
    </row>
    <row r="66" spans="6:23">
      <c r="F66" s="696"/>
      <c r="G66" s="696"/>
      <c r="H66" s="696"/>
      <c r="I66" s="696"/>
      <c r="J66" s="696"/>
      <c r="K66" s="696"/>
      <c r="T66" s="994" t="s">
        <v>1540</v>
      </c>
      <c r="U66" s="1132">
        <f>-U53</f>
        <v>-627203.125</v>
      </c>
      <c r="V66" s="696"/>
    </row>
    <row r="67" spans="6:23">
      <c r="F67" s="696"/>
      <c r="G67" s="696"/>
      <c r="H67" s="696"/>
      <c r="I67" s="696"/>
      <c r="J67" s="696"/>
      <c r="K67" s="696"/>
      <c r="T67" s="560" t="s">
        <v>1539</v>
      </c>
      <c r="U67" s="1130">
        <f>SUM(U64:U66)</f>
        <v>2111433.2386363638</v>
      </c>
      <c r="V67" s="696"/>
    </row>
    <row r="68" spans="6:23">
      <c r="F68" s="696"/>
      <c r="G68" s="696"/>
      <c r="H68" s="696"/>
      <c r="I68" s="696"/>
      <c r="J68" s="696"/>
      <c r="K68" s="696"/>
      <c r="T68" s="994" t="s">
        <v>1538</v>
      </c>
      <c r="U68" s="1131">
        <f>U42</f>
        <v>-4016562.5</v>
      </c>
      <c r="V68" s="696"/>
    </row>
    <row r="69" spans="6:23">
      <c r="F69" s="696"/>
      <c r="G69" s="696"/>
      <c r="H69" s="696"/>
      <c r="I69" s="696"/>
      <c r="J69" s="696"/>
      <c r="K69" s="696"/>
      <c r="T69" s="560" t="s">
        <v>1537</v>
      </c>
      <c r="U69" s="1130">
        <f>U68+U67</f>
        <v>-1905129.2613636362</v>
      </c>
      <c r="V69" s="696"/>
    </row>
    <row r="70" spans="6:23">
      <c r="F70" s="696"/>
      <c r="G70" s="696"/>
      <c r="H70" s="696"/>
      <c r="I70" s="696"/>
      <c r="J70" s="696"/>
      <c r="K70" s="696"/>
      <c r="V70" s="696"/>
    </row>
    <row r="71" spans="6:23">
      <c r="F71" s="696"/>
      <c r="G71" s="696"/>
      <c r="H71" s="696"/>
      <c r="I71" s="696"/>
      <c r="J71" s="696"/>
      <c r="K71" s="696"/>
      <c r="V71" s="696"/>
    </row>
    <row r="72" spans="6:23">
      <c r="J72" s="699"/>
      <c r="T72" s="696"/>
      <c r="U72" s="696"/>
      <c r="V72" s="696"/>
      <c r="W72" s="696"/>
    </row>
    <row r="73" spans="6:23">
      <c r="J73" s="699"/>
      <c r="T73" s="696"/>
      <c r="U73" s="696"/>
      <c r="V73" s="696"/>
      <c r="W73" s="696"/>
    </row>
    <row r="74" spans="6:23">
      <c r="J74" s="699"/>
      <c r="T74" s="696"/>
      <c r="U74" s="696"/>
      <c r="V74" s="696"/>
      <c r="W74" s="696"/>
    </row>
    <row r="75" spans="6:23">
      <c r="J75" s="699"/>
      <c r="T75" s="696"/>
      <c r="U75" s="696"/>
      <c r="V75" s="696"/>
      <c r="W75" s="696"/>
    </row>
    <row r="76" spans="6:23">
      <c r="J76" s="699"/>
      <c r="T76" s="696"/>
      <c r="U76" s="696"/>
      <c r="V76" s="696"/>
      <c r="W76" s="696"/>
    </row>
    <row r="77" spans="6:23">
      <c r="J77" s="699"/>
      <c r="T77" s="696"/>
      <c r="U77" s="696"/>
      <c r="V77" s="696"/>
      <c r="W77" s="696"/>
    </row>
    <row r="78" spans="6:23">
      <c r="J78" s="699"/>
      <c r="T78" s="696"/>
      <c r="U78" s="696"/>
      <c r="V78" s="696"/>
      <c r="W78" s="696"/>
    </row>
    <row r="79" spans="6:23">
      <c r="J79" s="699"/>
      <c r="T79" s="696"/>
      <c r="U79" s="696"/>
      <c r="V79" s="696"/>
      <c r="W79" s="696"/>
    </row>
    <row r="80" spans="6:23">
      <c r="T80" s="696"/>
      <c r="U80" s="696"/>
      <c r="V80" s="696"/>
      <c r="W80" s="696"/>
    </row>
    <row r="81" spans="20:23">
      <c r="T81" s="696"/>
      <c r="U81" s="696"/>
      <c r="V81" s="696"/>
      <c r="W81" s="696"/>
    </row>
    <row r="82" spans="20:23">
      <c r="T82" s="696"/>
      <c r="U82" s="696"/>
      <c r="V82" s="696"/>
      <c r="W82" s="696"/>
    </row>
    <row r="83" spans="20:23">
      <c r="T83" s="696"/>
      <c r="U83" s="696"/>
      <c r="V83" s="696"/>
      <c r="W83" s="696"/>
    </row>
    <row r="84" spans="20:23">
      <c r="T84" s="696"/>
      <c r="U84" s="696"/>
      <c r="V84" s="696"/>
      <c r="W84" s="696"/>
    </row>
  </sheetData>
  <sheetProtection algorithmName="SHA-512" hashValue="BT2I7/K73+GhKBoo/KPYi+9MdXXnTXdyJ4XUGLgOVCAGEyFc7MvLaPzKp4sfi2+mhR0NxZsaKP4q5hCSci4SMw==" saltValue="tOwkfb0ttiKftNQiR8rLww==" spinCount="100000" sheet="1" formatCells="0" formatColumns="0" formatRows="0" insertColumns="0" insertRows="0"/>
  <mergeCells count="3">
    <mergeCell ref="G7:Q7"/>
    <mergeCell ref="T7:AD7"/>
    <mergeCell ref="T8:AD8"/>
  </mergeCells>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D3989-14B4-41F5-9E9C-5C60A0AB2365}">
  <dimension ref="A1:AM120"/>
  <sheetViews>
    <sheetView zoomScale="68" zoomScaleNormal="90" workbookViewId="0">
      <selection activeCell="G13" sqref="G13"/>
    </sheetView>
  </sheetViews>
  <sheetFormatPr defaultColWidth="9.109375" defaultRowHeight="15.6"/>
  <cols>
    <col min="1" max="1" width="3.5546875" style="2" customWidth="1"/>
    <col min="2" max="2" width="45.5546875" style="2" customWidth="1"/>
    <col min="3" max="3" width="21.88671875" style="583" customWidth="1"/>
    <col min="4" max="4" width="23.88671875" style="583" customWidth="1"/>
    <col min="5" max="5" width="12.109375" style="2" customWidth="1"/>
    <col min="6" max="6" width="1.5546875" style="3" customWidth="1"/>
    <col min="7" max="7" width="3.5546875" style="560" customWidth="1"/>
    <col min="8" max="12" width="17.5546875" style="560" customWidth="1"/>
    <col min="13" max="13" width="8.5546875" style="560" customWidth="1"/>
    <col min="14" max="14" width="1.5546875" style="561" customWidth="1"/>
    <col min="15" max="15" width="3.5546875" style="560" customWidth="1"/>
    <col min="16" max="20" width="17.44140625" style="560" customWidth="1"/>
    <col min="21" max="21" width="8.5546875" style="560" customWidth="1"/>
    <col min="22" max="22" width="1.5546875" style="561" customWidth="1"/>
    <col min="23" max="23" width="3.5546875" style="560" customWidth="1"/>
    <col min="24" max="28" width="18.33203125" style="560" customWidth="1"/>
    <col min="29" max="29" width="8.5546875" style="560" customWidth="1"/>
    <col min="30" max="30" width="1.5546875" style="561" customWidth="1"/>
    <col min="31" max="31" width="3.5546875" style="560" customWidth="1"/>
    <col min="32" max="36" width="17" style="560" customWidth="1"/>
    <col min="37" max="37" width="8.5546875" style="560" customWidth="1"/>
    <col min="38" max="38" width="1.5546875" style="561" customWidth="1"/>
    <col min="39" max="39" width="9.109375" style="560"/>
    <col min="40" max="16384" width="9.109375" style="4"/>
  </cols>
  <sheetData>
    <row r="1" spans="1:39">
      <c r="A1" s="1" t="s">
        <v>787</v>
      </c>
      <c r="G1" s="1" t="s">
        <v>787</v>
      </c>
      <c r="H1" s="687"/>
      <c r="I1" s="687"/>
      <c r="J1" s="687"/>
      <c r="K1" s="687"/>
      <c r="L1" s="687"/>
      <c r="M1" s="687"/>
      <c r="O1" s="1" t="s">
        <v>787</v>
      </c>
      <c r="P1" s="687"/>
      <c r="Q1" s="687"/>
      <c r="R1" s="687"/>
      <c r="S1" s="687"/>
      <c r="T1" s="687"/>
      <c r="U1" s="687"/>
      <c r="W1" s="1" t="s">
        <v>787</v>
      </c>
      <c r="X1" s="687"/>
      <c r="Y1" s="687"/>
      <c r="Z1" s="687"/>
      <c r="AA1" s="687"/>
      <c r="AB1" s="687"/>
      <c r="AC1" s="687"/>
      <c r="AE1" s="1" t="s">
        <v>787</v>
      </c>
      <c r="AF1" s="687"/>
      <c r="AG1" s="687"/>
      <c r="AH1" s="687"/>
      <c r="AI1" s="687"/>
      <c r="AJ1" s="687"/>
      <c r="AK1" s="687"/>
    </row>
    <row r="2" spans="1:39">
      <c r="A2" s="1" t="s">
        <v>732</v>
      </c>
      <c r="G2" s="1" t="s">
        <v>732</v>
      </c>
      <c r="H2" s="687"/>
      <c r="I2" s="687"/>
      <c r="J2" s="687"/>
      <c r="K2" s="687"/>
      <c r="L2" s="687"/>
      <c r="M2" s="687"/>
      <c r="O2" s="1" t="s">
        <v>732</v>
      </c>
      <c r="P2" s="687"/>
      <c r="Q2" s="687"/>
      <c r="R2" s="687"/>
      <c r="S2" s="687"/>
      <c r="T2" s="687"/>
      <c r="U2" s="687"/>
      <c r="W2" s="1" t="s">
        <v>732</v>
      </c>
      <c r="X2" s="687"/>
      <c r="Y2" s="687"/>
      <c r="Z2" s="687"/>
      <c r="AA2" s="687"/>
      <c r="AB2" s="687"/>
      <c r="AC2" s="687"/>
      <c r="AE2" s="1" t="s">
        <v>732</v>
      </c>
      <c r="AF2" s="687"/>
      <c r="AG2" s="687"/>
      <c r="AH2" s="687"/>
      <c r="AI2" s="687"/>
      <c r="AJ2" s="687"/>
      <c r="AK2" s="687"/>
    </row>
    <row r="3" spans="1:39">
      <c r="A3" s="1" t="s">
        <v>464</v>
      </c>
      <c r="G3" s="1" t="s">
        <v>464</v>
      </c>
      <c r="H3" s="687"/>
      <c r="I3" s="687"/>
      <c r="J3" s="687"/>
      <c r="K3" s="687"/>
      <c r="L3" s="687"/>
      <c r="M3" s="687"/>
      <c r="O3" s="1" t="s">
        <v>464</v>
      </c>
      <c r="P3" s="687"/>
      <c r="Q3" s="687"/>
      <c r="R3" s="687"/>
      <c r="S3" s="687"/>
      <c r="T3" s="687"/>
      <c r="U3" s="687"/>
      <c r="W3" s="1" t="s">
        <v>464</v>
      </c>
      <c r="X3" s="687"/>
      <c r="Y3" s="687"/>
      <c r="Z3" s="687"/>
      <c r="AA3" s="687"/>
      <c r="AB3" s="687"/>
      <c r="AC3" s="687"/>
      <c r="AE3" s="1" t="s">
        <v>464</v>
      </c>
      <c r="AF3" s="687"/>
      <c r="AG3" s="687"/>
      <c r="AH3" s="687"/>
      <c r="AI3" s="687"/>
      <c r="AJ3" s="687"/>
      <c r="AK3" s="687"/>
    </row>
    <row r="4" spans="1:39">
      <c r="G4" s="687"/>
      <c r="H4" s="687"/>
      <c r="I4" s="687"/>
      <c r="J4" s="687"/>
      <c r="K4" s="687"/>
      <c r="L4" s="687"/>
      <c r="M4" s="687"/>
      <c r="O4" s="687"/>
      <c r="P4" s="687"/>
      <c r="Q4" s="687"/>
      <c r="R4" s="687"/>
      <c r="S4" s="687"/>
      <c r="T4" s="687"/>
      <c r="U4" s="687"/>
      <c r="W4" s="687"/>
      <c r="X4" s="687"/>
      <c r="Y4" s="687"/>
      <c r="Z4" s="687"/>
      <c r="AA4" s="687"/>
      <c r="AB4" s="687"/>
      <c r="AC4" s="687"/>
      <c r="AE4" s="687"/>
      <c r="AF4" s="687"/>
      <c r="AG4" s="687"/>
      <c r="AH4" s="687"/>
      <c r="AI4" s="687"/>
      <c r="AJ4" s="687"/>
      <c r="AK4" s="687"/>
    </row>
    <row r="5" spans="1:39" ht="16.2">
      <c r="A5" s="6" t="s">
        <v>697</v>
      </c>
      <c r="G5" s="688" t="s">
        <v>696</v>
      </c>
      <c r="H5" s="687"/>
      <c r="I5" s="687"/>
      <c r="J5" s="687"/>
      <c r="K5" s="687"/>
      <c r="L5" s="687"/>
      <c r="M5" s="687"/>
      <c r="O5" s="688" t="s">
        <v>786</v>
      </c>
      <c r="P5" s="687"/>
      <c r="Q5" s="687"/>
      <c r="R5" s="687"/>
      <c r="S5" s="687"/>
      <c r="T5" s="687"/>
      <c r="U5" s="687"/>
      <c r="W5" s="688" t="s">
        <v>731</v>
      </c>
      <c r="X5" s="687"/>
      <c r="Y5" s="687"/>
      <c r="Z5" s="687"/>
      <c r="AA5" s="687"/>
      <c r="AB5" s="687"/>
      <c r="AC5" s="687"/>
      <c r="AE5" s="688" t="s">
        <v>785</v>
      </c>
      <c r="AF5" s="687"/>
      <c r="AG5" s="687"/>
      <c r="AH5" s="687"/>
      <c r="AI5" s="687"/>
      <c r="AJ5" s="687"/>
      <c r="AK5" s="687"/>
    </row>
    <row r="6" spans="1:39">
      <c r="G6" s="687"/>
      <c r="H6" s="687"/>
      <c r="I6" s="687"/>
      <c r="J6" s="687"/>
      <c r="K6" s="687"/>
      <c r="L6" s="687"/>
      <c r="M6" s="687"/>
      <c r="O6" s="687"/>
      <c r="P6" s="687"/>
      <c r="Q6" s="687"/>
      <c r="R6" s="687"/>
      <c r="S6" s="687"/>
      <c r="T6" s="687"/>
      <c r="U6" s="687"/>
      <c r="W6" s="687"/>
      <c r="X6" s="687"/>
      <c r="Y6" s="687"/>
      <c r="Z6" s="687"/>
      <c r="AA6" s="687"/>
      <c r="AB6" s="687"/>
      <c r="AC6" s="687"/>
      <c r="AE6" s="687"/>
      <c r="AF6" s="687"/>
      <c r="AG6" s="687"/>
      <c r="AH6" s="687"/>
      <c r="AI6" s="687"/>
      <c r="AJ6" s="687"/>
      <c r="AK6" s="687"/>
    </row>
    <row r="7" spans="1:39">
      <c r="B7" s="2" t="s">
        <v>784</v>
      </c>
      <c r="G7" s="687" t="s">
        <v>246</v>
      </c>
      <c r="H7" s="687" t="s">
        <v>783</v>
      </c>
      <c r="I7" s="687"/>
      <c r="J7" s="687"/>
      <c r="K7" s="687"/>
      <c r="L7" s="687"/>
      <c r="M7" s="687"/>
      <c r="O7" s="687" t="s">
        <v>6</v>
      </c>
      <c r="P7" s="687" t="s">
        <v>782</v>
      </c>
      <c r="Q7" s="687"/>
      <c r="R7" s="687"/>
      <c r="S7" s="687"/>
      <c r="T7" s="687"/>
      <c r="U7" s="687"/>
      <c r="W7" s="687" t="s">
        <v>256</v>
      </c>
      <c r="X7" s="687" t="s">
        <v>781</v>
      </c>
      <c r="Y7" s="687"/>
      <c r="Z7" s="687"/>
      <c r="AA7" s="687"/>
      <c r="AB7" s="687"/>
      <c r="AC7" s="687"/>
      <c r="AE7" s="687" t="s">
        <v>449</v>
      </c>
      <c r="AF7" s="687" t="s">
        <v>780</v>
      </c>
      <c r="AG7" s="687"/>
      <c r="AH7" s="687"/>
      <c r="AI7" s="687"/>
      <c r="AJ7" s="687"/>
      <c r="AK7" s="687"/>
    </row>
    <row r="8" spans="1:39">
      <c r="B8" s="2" t="s">
        <v>779</v>
      </c>
      <c r="G8" s="687"/>
      <c r="H8" s="687"/>
      <c r="I8" s="687"/>
      <c r="J8" s="687"/>
      <c r="K8" s="687"/>
      <c r="L8" s="687"/>
      <c r="M8" s="687"/>
      <c r="O8" s="687"/>
      <c r="P8" s="687"/>
      <c r="Q8" s="687"/>
      <c r="R8" s="687"/>
      <c r="S8" s="687"/>
      <c r="T8" s="687"/>
      <c r="U8" s="687"/>
      <c r="W8" s="687"/>
      <c r="X8" s="687" t="s">
        <v>778</v>
      </c>
      <c r="Y8" s="687"/>
      <c r="Z8" s="687"/>
      <c r="AA8" s="687"/>
      <c r="AB8" s="687"/>
      <c r="AC8" s="687"/>
      <c r="AE8" s="687"/>
      <c r="AF8" s="687" t="s">
        <v>777</v>
      </c>
      <c r="AG8" s="687"/>
      <c r="AH8" s="687"/>
      <c r="AI8" s="687"/>
      <c r="AJ8" s="687"/>
      <c r="AK8" s="687"/>
    </row>
    <row r="9" spans="1:39">
      <c r="G9" s="687"/>
      <c r="H9" s="687" t="s">
        <v>683</v>
      </c>
      <c r="I9" s="687"/>
      <c r="J9" s="687"/>
      <c r="K9" s="687"/>
      <c r="L9" s="687"/>
      <c r="M9" s="687"/>
      <c r="O9" s="687"/>
      <c r="P9" s="687" t="s">
        <v>683</v>
      </c>
      <c r="Q9" s="687"/>
      <c r="R9" s="687"/>
      <c r="S9" s="687"/>
      <c r="T9" s="687"/>
      <c r="U9" s="687"/>
      <c r="W9" s="687"/>
      <c r="X9" s="687" t="s">
        <v>776</v>
      </c>
      <c r="Y9" s="687"/>
      <c r="Z9" s="687"/>
      <c r="AA9" s="687"/>
      <c r="AB9" s="687"/>
      <c r="AC9" s="687"/>
      <c r="AE9" s="687"/>
      <c r="AF9" s="687"/>
      <c r="AG9" s="687"/>
      <c r="AH9" s="687"/>
      <c r="AI9" s="687"/>
      <c r="AJ9" s="687"/>
      <c r="AK9" s="687"/>
    </row>
    <row r="10" spans="1:39">
      <c r="B10" s="2" t="s">
        <v>775</v>
      </c>
      <c r="G10" s="687"/>
      <c r="H10" s="687"/>
      <c r="I10" s="687"/>
      <c r="J10" s="687"/>
      <c r="K10" s="687"/>
      <c r="L10" s="687"/>
      <c r="M10" s="687"/>
      <c r="O10" s="687"/>
      <c r="P10" s="687"/>
      <c r="Q10" s="687"/>
      <c r="R10" s="687"/>
      <c r="S10" s="687"/>
      <c r="T10" s="687"/>
      <c r="U10" s="687"/>
      <c r="W10" s="687"/>
      <c r="X10" s="687" t="s">
        <v>774</v>
      </c>
      <c r="Y10" s="687"/>
      <c r="Z10" s="687"/>
      <c r="AA10" s="687"/>
      <c r="AB10" s="687"/>
      <c r="AC10" s="687"/>
      <c r="AE10" s="687"/>
      <c r="AF10" s="687" t="s">
        <v>683</v>
      </c>
      <c r="AG10" s="687"/>
      <c r="AH10" s="687"/>
      <c r="AI10" s="687"/>
      <c r="AJ10" s="687"/>
      <c r="AK10" s="687"/>
    </row>
    <row r="11" spans="1:39">
      <c r="G11" s="687"/>
      <c r="H11" s="687"/>
      <c r="I11" s="687"/>
      <c r="J11" s="687"/>
      <c r="K11" s="687"/>
      <c r="L11" s="687"/>
      <c r="M11" s="687"/>
      <c r="O11" s="687"/>
      <c r="P11" s="687"/>
      <c r="Q11" s="687"/>
      <c r="R11" s="687"/>
      <c r="S11" s="687"/>
      <c r="T11" s="687"/>
      <c r="U11" s="687"/>
      <c r="W11" s="687"/>
      <c r="X11" s="687"/>
      <c r="Y11" s="687"/>
      <c r="Z11" s="687"/>
      <c r="AA11" s="687"/>
      <c r="AB11" s="687"/>
      <c r="AC11" s="687"/>
      <c r="AE11" s="687"/>
      <c r="AF11" s="687"/>
      <c r="AG11" s="687"/>
      <c r="AH11" s="687"/>
      <c r="AI11" s="687"/>
      <c r="AJ11" s="687"/>
      <c r="AK11" s="687"/>
    </row>
    <row r="12" spans="1:39">
      <c r="B12" s="680"/>
      <c r="C12" s="679" t="s">
        <v>773</v>
      </c>
      <c r="D12" s="679" t="s">
        <v>772</v>
      </c>
      <c r="G12" s="687"/>
      <c r="H12" s="687"/>
      <c r="I12" s="687"/>
      <c r="J12" s="687"/>
      <c r="K12" s="687"/>
      <c r="L12" s="687"/>
      <c r="M12" s="687"/>
      <c r="O12" s="687"/>
      <c r="P12" s="687"/>
      <c r="Q12" s="687"/>
      <c r="R12" s="687"/>
      <c r="S12" s="687"/>
      <c r="T12" s="687"/>
      <c r="U12" s="687"/>
      <c r="W12" s="687"/>
      <c r="X12" s="687" t="s">
        <v>683</v>
      </c>
      <c r="Y12" s="687"/>
      <c r="Z12" s="687"/>
      <c r="AA12" s="687"/>
      <c r="AB12" s="687"/>
      <c r="AC12" s="687"/>
      <c r="AE12" s="687"/>
      <c r="AF12" s="687"/>
      <c r="AG12" s="687"/>
      <c r="AH12" s="687"/>
      <c r="AI12" s="687"/>
      <c r="AJ12" s="687"/>
      <c r="AK12" s="687"/>
    </row>
    <row r="13" spans="1:39">
      <c r="B13" s="680" t="s">
        <v>771</v>
      </c>
      <c r="C13" s="684">
        <v>5.2999999999999999E-2</v>
      </c>
      <c r="D13" s="684">
        <v>4.4999999999999998E-2</v>
      </c>
      <c r="G13" s="673"/>
      <c r="H13" s="673"/>
      <c r="I13" s="673"/>
      <c r="J13" s="676"/>
      <c r="K13" s="676"/>
      <c r="L13" s="673"/>
      <c r="M13" s="673"/>
      <c r="N13" s="674"/>
      <c r="O13" s="673"/>
      <c r="P13" s="673"/>
      <c r="Q13" s="673"/>
      <c r="R13" s="676"/>
      <c r="S13" s="676"/>
      <c r="T13" s="673"/>
      <c r="U13" s="673"/>
      <c r="V13" s="674"/>
      <c r="W13" s="673"/>
      <c r="X13" s="673"/>
      <c r="Y13" s="673"/>
      <c r="Z13" s="676"/>
      <c r="AA13" s="676"/>
      <c r="AB13" s="673"/>
      <c r="AC13" s="673"/>
      <c r="AD13" s="674"/>
      <c r="AE13" s="673"/>
      <c r="AF13" s="673"/>
      <c r="AG13" s="673"/>
      <c r="AH13" s="676"/>
      <c r="AI13" s="676"/>
      <c r="AJ13" s="673"/>
      <c r="AK13" s="673"/>
      <c r="AL13" s="674"/>
      <c r="AM13" s="673"/>
    </row>
    <row r="14" spans="1:39">
      <c r="B14" s="680" t="s">
        <v>770</v>
      </c>
      <c r="C14" s="684">
        <v>0.06</v>
      </c>
      <c r="D14" s="684">
        <v>0.06</v>
      </c>
      <c r="G14" s="673"/>
      <c r="H14" s="673"/>
      <c r="I14" s="673"/>
      <c r="J14" s="673"/>
      <c r="K14" s="673"/>
      <c r="L14" s="673"/>
      <c r="M14" s="673"/>
      <c r="N14" s="674"/>
      <c r="O14" s="673"/>
      <c r="P14" s="673"/>
      <c r="Q14" s="673"/>
      <c r="R14" s="673"/>
      <c r="S14" s="673"/>
      <c r="T14" s="673"/>
      <c r="U14" s="673"/>
      <c r="V14" s="674"/>
      <c r="W14" s="673"/>
      <c r="X14" s="673"/>
      <c r="Y14" s="673"/>
      <c r="Z14" s="676"/>
      <c r="AA14" s="676"/>
      <c r="AB14" s="673"/>
      <c r="AC14" s="673"/>
      <c r="AD14" s="674"/>
      <c r="AE14" s="673"/>
      <c r="AF14" s="673"/>
      <c r="AG14" s="673"/>
      <c r="AH14" s="676"/>
      <c r="AI14" s="676"/>
      <c r="AJ14" s="673"/>
      <c r="AK14" s="673"/>
      <c r="AL14" s="674"/>
      <c r="AM14" s="673"/>
    </row>
    <row r="15" spans="1:39">
      <c r="B15" s="680" t="s">
        <v>769</v>
      </c>
      <c r="C15" s="679">
        <v>695000000</v>
      </c>
      <c r="D15" s="679">
        <v>815000000</v>
      </c>
      <c r="G15" s="673"/>
      <c r="H15" s="673"/>
      <c r="I15" s="673"/>
      <c r="J15" s="675"/>
      <c r="K15" s="675"/>
      <c r="L15" s="673"/>
      <c r="M15" s="673"/>
      <c r="N15" s="674"/>
      <c r="O15" s="673"/>
      <c r="P15" s="673"/>
      <c r="Q15" s="673"/>
      <c r="R15" s="675"/>
      <c r="S15" s="675"/>
      <c r="T15" s="673"/>
      <c r="U15" s="673"/>
      <c r="V15" s="674"/>
      <c r="W15" s="673"/>
      <c r="X15" s="673"/>
      <c r="Y15" s="673"/>
      <c r="Z15" s="675"/>
      <c r="AA15" s="675"/>
      <c r="AB15" s="673"/>
      <c r="AC15" s="673"/>
      <c r="AD15" s="674"/>
      <c r="AE15" s="673"/>
      <c r="AF15" s="673"/>
      <c r="AG15" s="673"/>
      <c r="AH15" s="675"/>
      <c r="AI15" s="675"/>
      <c r="AJ15" s="673"/>
      <c r="AK15" s="673"/>
      <c r="AL15" s="674"/>
      <c r="AM15" s="673"/>
    </row>
    <row r="16" spans="1:39">
      <c r="B16" s="680" t="s">
        <v>768</v>
      </c>
      <c r="C16" s="679">
        <v>805000000</v>
      </c>
      <c r="D16" s="679">
        <v>795000000</v>
      </c>
      <c r="G16" s="673"/>
      <c r="H16" s="673"/>
      <c r="I16" s="673"/>
      <c r="J16" s="673"/>
      <c r="K16" s="673"/>
      <c r="L16" s="673"/>
      <c r="M16" s="673"/>
      <c r="N16" s="674"/>
      <c r="O16" s="673"/>
      <c r="P16" s="673"/>
      <c r="Q16" s="673"/>
      <c r="R16" s="673"/>
      <c r="S16" s="686"/>
      <c r="T16" s="673"/>
      <c r="U16" s="673"/>
      <c r="V16" s="674"/>
      <c r="W16" s="673"/>
      <c r="X16" s="673"/>
      <c r="Y16" s="673"/>
      <c r="Z16" s="673"/>
      <c r="AA16" s="673"/>
      <c r="AB16" s="673"/>
      <c r="AC16" s="673"/>
      <c r="AD16" s="674"/>
      <c r="AE16" s="673"/>
      <c r="AF16" s="673"/>
      <c r="AG16" s="673"/>
      <c r="AH16" s="673"/>
      <c r="AI16" s="673"/>
      <c r="AJ16" s="673"/>
      <c r="AK16" s="673"/>
      <c r="AL16" s="674"/>
      <c r="AM16" s="673"/>
    </row>
    <row r="17" spans="1:39">
      <c r="B17" s="680" t="s">
        <v>767</v>
      </c>
      <c r="C17" s="679">
        <v>23000000</v>
      </c>
      <c r="D17" s="679"/>
      <c r="G17" s="673"/>
      <c r="H17" s="673"/>
      <c r="I17" s="673"/>
      <c r="J17" s="675"/>
      <c r="K17" s="675"/>
      <c r="L17" s="673"/>
      <c r="M17" s="673"/>
      <c r="N17" s="674"/>
      <c r="O17" s="673"/>
      <c r="P17" s="673"/>
      <c r="Q17" s="673"/>
      <c r="R17" s="675"/>
      <c r="S17" s="686"/>
      <c r="T17" s="673"/>
      <c r="U17" s="673"/>
      <c r="V17" s="674"/>
      <c r="W17" s="673"/>
      <c r="X17" s="673"/>
      <c r="Y17" s="673"/>
      <c r="Z17" s="675"/>
      <c r="AA17" s="675"/>
      <c r="AB17" s="673"/>
      <c r="AC17" s="673"/>
      <c r="AD17" s="674"/>
      <c r="AE17" s="673"/>
      <c r="AF17" s="673"/>
      <c r="AG17" s="673"/>
      <c r="AH17" s="675"/>
      <c r="AI17" s="675"/>
      <c r="AJ17" s="673"/>
      <c r="AK17" s="673"/>
      <c r="AL17" s="674"/>
      <c r="AM17" s="673"/>
    </row>
    <row r="18" spans="1:39">
      <c r="B18" s="680" t="s">
        <v>766</v>
      </c>
      <c r="C18" s="679">
        <v>25000000</v>
      </c>
      <c r="D18" s="679"/>
      <c r="G18" s="673"/>
      <c r="H18" s="673"/>
      <c r="I18" s="673"/>
      <c r="J18" s="675"/>
      <c r="K18" s="675"/>
      <c r="L18" s="673"/>
      <c r="M18" s="673"/>
      <c r="N18" s="674"/>
      <c r="O18" s="673"/>
      <c r="P18" s="673"/>
      <c r="Q18" s="673"/>
      <c r="R18" s="673"/>
      <c r="S18" s="675"/>
      <c r="T18" s="673"/>
      <c r="U18" s="673"/>
      <c r="V18" s="674"/>
      <c r="W18" s="673"/>
      <c r="X18" s="673"/>
      <c r="Y18" s="673"/>
      <c r="Z18" s="675"/>
      <c r="AA18" s="675"/>
      <c r="AB18" s="673"/>
      <c r="AC18" s="673"/>
      <c r="AD18" s="674"/>
      <c r="AE18" s="673"/>
      <c r="AF18" s="673"/>
      <c r="AG18" s="673"/>
      <c r="AH18" s="675"/>
      <c r="AI18" s="675"/>
      <c r="AJ18" s="673"/>
      <c r="AK18" s="673"/>
      <c r="AL18" s="674"/>
      <c r="AM18" s="673"/>
    </row>
    <row r="19" spans="1:39">
      <c r="B19" s="680" t="s">
        <v>765</v>
      </c>
      <c r="C19" s="679">
        <v>22000000</v>
      </c>
      <c r="D19" s="679"/>
      <c r="G19" s="673"/>
      <c r="H19" s="673"/>
      <c r="I19" s="673"/>
      <c r="J19" s="675"/>
      <c r="K19" s="675"/>
      <c r="L19" s="673"/>
      <c r="M19" s="673"/>
      <c r="N19" s="674"/>
      <c r="O19" s="673"/>
      <c r="P19" s="673"/>
      <c r="Q19" s="673"/>
      <c r="R19" s="675"/>
      <c r="S19" s="675"/>
      <c r="T19" s="673"/>
      <c r="U19" s="673"/>
      <c r="V19" s="674"/>
      <c r="W19" s="673"/>
      <c r="X19" s="673"/>
      <c r="Y19" s="673"/>
      <c r="Z19" s="675"/>
      <c r="AA19" s="675"/>
      <c r="AB19" s="673"/>
      <c r="AC19" s="673"/>
      <c r="AD19" s="674"/>
      <c r="AE19" s="673"/>
      <c r="AF19" s="673"/>
      <c r="AG19" s="673"/>
      <c r="AH19" s="675"/>
      <c r="AI19" s="675"/>
      <c r="AJ19" s="673"/>
      <c r="AK19" s="673"/>
      <c r="AL19" s="674"/>
      <c r="AM19" s="673"/>
    </row>
    <row r="20" spans="1:39">
      <c r="B20" s="680" t="s">
        <v>764</v>
      </c>
      <c r="C20" s="685" t="s">
        <v>763</v>
      </c>
      <c r="D20" s="685"/>
      <c r="G20" s="673"/>
      <c r="H20" s="673"/>
      <c r="I20" s="673"/>
      <c r="J20" s="673"/>
      <c r="K20" s="673"/>
      <c r="L20" s="673"/>
      <c r="M20" s="673"/>
      <c r="N20" s="674"/>
      <c r="O20" s="673"/>
      <c r="P20" s="673"/>
      <c r="Q20" s="673"/>
      <c r="R20" s="675"/>
      <c r="S20" s="675"/>
      <c r="T20" s="673"/>
      <c r="U20" s="673"/>
      <c r="V20" s="674"/>
      <c r="W20" s="673"/>
      <c r="X20" s="673"/>
      <c r="Y20" s="673"/>
      <c r="Z20" s="673"/>
      <c r="AA20" s="673"/>
      <c r="AB20" s="673"/>
      <c r="AC20" s="673"/>
      <c r="AD20" s="674"/>
      <c r="AE20" s="673"/>
      <c r="AF20" s="673"/>
      <c r="AG20" s="673"/>
      <c r="AH20" s="673"/>
      <c r="AI20" s="673"/>
      <c r="AJ20" s="673"/>
      <c r="AK20" s="673"/>
      <c r="AL20" s="674"/>
      <c r="AM20" s="673"/>
    </row>
    <row r="21" spans="1:39">
      <c r="B21" s="680" t="s">
        <v>762</v>
      </c>
      <c r="C21" s="679">
        <v>125000000</v>
      </c>
      <c r="D21" s="679"/>
      <c r="G21" s="673"/>
      <c r="H21" s="673"/>
      <c r="I21" s="673"/>
      <c r="J21" s="673"/>
      <c r="K21" s="673"/>
      <c r="L21" s="673"/>
      <c r="M21" s="673"/>
      <c r="N21" s="674"/>
      <c r="O21" s="673"/>
      <c r="P21" s="673"/>
      <c r="Q21" s="673"/>
      <c r="R21" s="675"/>
      <c r="S21" s="673"/>
      <c r="T21" s="673"/>
      <c r="U21" s="673"/>
      <c r="V21" s="674"/>
      <c r="W21" s="673"/>
      <c r="X21" s="673"/>
      <c r="Y21" s="673"/>
      <c r="Z21" s="673"/>
      <c r="AA21" s="673"/>
      <c r="AB21" s="673"/>
      <c r="AC21" s="673"/>
      <c r="AD21" s="674"/>
      <c r="AE21" s="673"/>
      <c r="AF21" s="673"/>
      <c r="AG21" s="673"/>
      <c r="AH21" s="673"/>
      <c r="AI21" s="673"/>
      <c r="AJ21" s="673"/>
      <c r="AK21" s="673"/>
      <c r="AL21" s="674"/>
      <c r="AM21" s="673"/>
    </row>
    <row r="22" spans="1:39">
      <c r="B22" s="680" t="s">
        <v>761</v>
      </c>
      <c r="C22" s="679">
        <v>33000000</v>
      </c>
      <c r="D22" s="679"/>
      <c r="G22" s="673"/>
      <c r="H22" s="673"/>
      <c r="I22" s="673"/>
      <c r="J22" s="673"/>
      <c r="K22" s="673"/>
      <c r="L22" s="673"/>
      <c r="M22" s="673"/>
      <c r="N22" s="674"/>
      <c r="O22" s="673"/>
      <c r="P22" s="673"/>
      <c r="Q22" s="673"/>
      <c r="R22" s="673"/>
      <c r="S22" s="676"/>
      <c r="T22" s="673"/>
      <c r="U22" s="673"/>
      <c r="V22" s="674"/>
      <c r="W22" s="673"/>
      <c r="X22" s="673"/>
      <c r="Y22" s="673"/>
      <c r="Z22" s="673"/>
      <c r="AA22" s="673"/>
      <c r="AB22" s="675"/>
      <c r="AC22" s="673"/>
      <c r="AD22" s="674"/>
      <c r="AE22" s="673"/>
      <c r="AF22" s="673"/>
      <c r="AG22" s="673"/>
      <c r="AH22" s="673"/>
      <c r="AI22" s="673"/>
      <c r="AJ22" s="675"/>
      <c r="AK22" s="673"/>
      <c r="AL22" s="674"/>
      <c r="AM22" s="673"/>
    </row>
    <row r="23" spans="1:39">
      <c r="B23" s="680" t="s">
        <v>760</v>
      </c>
      <c r="C23" s="684" t="s">
        <v>759</v>
      </c>
      <c r="D23" s="684"/>
      <c r="G23" s="673"/>
      <c r="H23" s="673"/>
      <c r="I23" s="673"/>
      <c r="J23" s="673"/>
      <c r="K23" s="673"/>
      <c r="L23" s="673"/>
      <c r="M23" s="673"/>
      <c r="N23" s="674"/>
      <c r="O23" s="673"/>
      <c r="P23" s="673"/>
      <c r="Q23" s="673"/>
      <c r="R23" s="675"/>
      <c r="S23" s="673"/>
      <c r="T23" s="673"/>
      <c r="U23" s="673"/>
      <c r="V23" s="674"/>
      <c r="W23" s="673"/>
      <c r="X23" s="673"/>
      <c r="Y23" s="673"/>
      <c r="Z23" s="673"/>
      <c r="AA23" s="673"/>
      <c r="AB23" s="673"/>
      <c r="AC23" s="673"/>
      <c r="AD23" s="674"/>
      <c r="AE23" s="673"/>
      <c r="AF23" s="673"/>
      <c r="AG23" s="673"/>
      <c r="AH23" s="673"/>
      <c r="AI23" s="673"/>
      <c r="AJ23" s="673"/>
      <c r="AK23" s="673"/>
      <c r="AL23" s="674"/>
      <c r="AM23" s="673"/>
    </row>
    <row r="24" spans="1:39">
      <c r="B24" s="680" t="s">
        <v>758</v>
      </c>
      <c r="C24" s="683">
        <v>12</v>
      </c>
      <c r="D24" s="683"/>
      <c r="G24" s="673"/>
      <c r="H24" s="673"/>
      <c r="I24" s="673"/>
      <c r="J24" s="676"/>
      <c r="K24" s="676"/>
      <c r="L24" s="673"/>
      <c r="M24" s="673"/>
      <c r="N24" s="674"/>
      <c r="O24" s="673"/>
      <c r="P24" s="673"/>
      <c r="Q24" s="673"/>
      <c r="R24" s="675"/>
      <c r="S24" s="675"/>
      <c r="T24" s="673"/>
      <c r="U24" s="673"/>
      <c r="V24" s="674"/>
      <c r="W24" s="673"/>
      <c r="X24" s="673"/>
      <c r="Y24" s="673"/>
      <c r="Z24" s="676"/>
      <c r="AA24" s="675"/>
      <c r="AB24" s="673"/>
      <c r="AC24" s="673"/>
      <c r="AD24" s="674"/>
      <c r="AE24" s="673"/>
      <c r="AF24" s="673"/>
      <c r="AG24" s="673"/>
      <c r="AH24" s="676"/>
      <c r="AI24" s="675"/>
      <c r="AJ24" s="673"/>
      <c r="AK24" s="673"/>
      <c r="AL24" s="674"/>
      <c r="AM24" s="673"/>
    </row>
    <row r="25" spans="1:39">
      <c r="B25" s="680" t="s">
        <v>757</v>
      </c>
      <c r="C25" s="683">
        <v>20</v>
      </c>
      <c r="D25" s="683"/>
      <c r="G25" s="673"/>
      <c r="H25" s="673"/>
      <c r="I25" s="673"/>
      <c r="J25" s="673"/>
      <c r="K25" s="673"/>
      <c r="L25" s="673"/>
      <c r="M25" s="673"/>
      <c r="N25" s="674"/>
      <c r="O25" s="673"/>
      <c r="P25" s="673"/>
      <c r="Q25" s="673"/>
      <c r="R25" s="675"/>
      <c r="S25" s="675"/>
      <c r="T25" s="673"/>
      <c r="U25" s="673"/>
      <c r="V25" s="674"/>
      <c r="W25" s="673"/>
      <c r="X25" s="673"/>
      <c r="Y25" s="673"/>
      <c r="Z25" s="673"/>
      <c r="AA25" s="673"/>
      <c r="AB25" s="673"/>
      <c r="AC25" s="673"/>
      <c r="AD25" s="674"/>
      <c r="AE25" s="673"/>
      <c r="AF25" s="673"/>
      <c r="AG25" s="673"/>
      <c r="AH25" s="673"/>
      <c r="AI25" s="673"/>
      <c r="AJ25" s="673"/>
      <c r="AK25" s="673"/>
      <c r="AL25" s="674"/>
      <c r="AM25" s="673"/>
    </row>
    <row r="26" spans="1:39">
      <c r="G26" s="673"/>
      <c r="H26" s="673"/>
      <c r="I26" s="673"/>
      <c r="J26" s="675"/>
      <c r="K26" s="675"/>
      <c r="L26" s="673"/>
      <c r="M26" s="673"/>
      <c r="N26" s="674"/>
      <c r="O26" s="673"/>
      <c r="P26" s="673"/>
      <c r="Q26" s="673"/>
      <c r="R26" s="675"/>
      <c r="S26" s="675"/>
      <c r="T26" s="673"/>
      <c r="U26" s="673"/>
      <c r="V26" s="674"/>
      <c r="W26" s="673"/>
      <c r="X26" s="673"/>
      <c r="Y26" s="673"/>
      <c r="Z26" s="675"/>
      <c r="AA26" s="675"/>
      <c r="AB26" s="673"/>
      <c r="AC26" s="673"/>
      <c r="AD26" s="674"/>
      <c r="AE26" s="673"/>
      <c r="AF26" s="673"/>
      <c r="AG26" s="673"/>
      <c r="AH26" s="675"/>
      <c r="AI26" s="675"/>
      <c r="AJ26" s="673"/>
      <c r="AK26" s="673"/>
      <c r="AL26" s="674"/>
      <c r="AM26" s="673"/>
    </row>
    <row r="27" spans="1:39">
      <c r="B27" s="2" t="s">
        <v>756</v>
      </c>
      <c r="G27" s="673"/>
      <c r="H27" s="673"/>
      <c r="I27" s="673"/>
      <c r="J27" s="675"/>
      <c r="K27" s="675"/>
      <c r="L27" s="673"/>
      <c r="M27" s="673"/>
      <c r="N27" s="674"/>
      <c r="O27" s="673"/>
      <c r="P27" s="673"/>
      <c r="Q27" s="673"/>
      <c r="R27" s="675"/>
      <c r="S27" s="675"/>
      <c r="T27" s="673"/>
      <c r="U27" s="673"/>
      <c r="V27" s="674"/>
      <c r="W27" s="673"/>
      <c r="X27" s="673"/>
      <c r="Y27" s="673"/>
      <c r="Z27" s="675"/>
      <c r="AA27" s="675"/>
      <c r="AB27" s="673"/>
      <c r="AC27" s="673"/>
      <c r="AD27" s="674"/>
      <c r="AE27" s="673"/>
      <c r="AF27" s="673"/>
      <c r="AG27" s="673"/>
      <c r="AH27" s="675"/>
      <c r="AI27" s="675"/>
      <c r="AJ27" s="673"/>
      <c r="AK27" s="673"/>
      <c r="AL27" s="674"/>
      <c r="AM27" s="673"/>
    </row>
    <row r="28" spans="1:39">
      <c r="G28" s="673"/>
      <c r="H28" s="673"/>
      <c r="I28" s="673"/>
      <c r="J28" s="675"/>
      <c r="K28" s="675"/>
      <c r="L28" s="673"/>
      <c r="M28" s="673"/>
      <c r="N28" s="674"/>
      <c r="O28" s="673"/>
      <c r="P28" s="673"/>
      <c r="Q28" s="673"/>
      <c r="R28" s="673"/>
      <c r="S28" s="673"/>
      <c r="T28" s="673"/>
      <c r="U28" s="673"/>
      <c r="V28" s="674"/>
      <c r="W28" s="673"/>
      <c r="X28" s="673"/>
      <c r="Y28" s="673"/>
      <c r="Z28" s="675"/>
      <c r="AA28" s="675"/>
      <c r="AB28" s="673"/>
      <c r="AC28" s="673"/>
      <c r="AD28" s="674"/>
      <c r="AE28" s="673"/>
      <c r="AF28" s="673"/>
      <c r="AG28" s="673"/>
      <c r="AH28" s="675"/>
      <c r="AI28" s="675"/>
      <c r="AJ28" s="673"/>
      <c r="AK28" s="673"/>
      <c r="AL28" s="674"/>
      <c r="AM28" s="673"/>
    </row>
    <row r="29" spans="1:39">
      <c r="G29" s="673"/>
      <c r="H29" s="673"/>
      <c r="I29" s="673"/>
      <c r="J29" s="675"/>
      <c r="K29" s="675"/>
      <c r="L29" s="673"/>
      <c r="M29" s="673"/>
      <c r="N29" s="674"/>
      <c r="O29" s="673"/>
      <c r="P29" s="673"/>
      <c r="Q29" s="673"/>
      <c r="R29" s="675"/>
      <c r="S29" s="675"/>
      <c r="T29" s="673"/>
      <c r="U29" s="673"/>
      <c r="V29" s="674"/>
      <c r="W29" s="673"/>
      <c r="X29" s="673"/>
      <c r="Y29" s="673"/>
      <c r="Z29" s="675"/>
      <c r="AA29" s="675"/>
      <c r="AB29" s="673"/>
      <c r="AC29" s="673"/>
      <c r="AD29" s="674"/>
      <c r="AE29" s="673"/>
      <c r="AF29" s="673"/>
      <c r="AG29" s="673"/>
      <c r="AH29" s="675"/>
      <c r="AI29" s="675"/>
      <c r="AJ29" s="673"/>
      <c r="AK29" s="673"/>
      <c r="AL29" s="674"/>
      <c r="AM29" s="673"/>
    </row>
    <row r="30" spans="1:39">
      <c r="A30" s="594" t="s">
        <v>730</v>
      </c>
      <c r="G30" s="673"/>
      <c r="H30" s="673"/>
      <c r="I30" s="673"/>
      <c r="J30" s="673"/>
      <c r="K30" s="673"/>
      <c r="L30" s="673"/>
      <c r="M30" s="673"/>
      <c r="N30" s="674"/>
      <c r="O30" s="673"/>
      <c r="P30" s="673"/>
      <c r="Q30" s="673"/>
      <c r="R30" s="675"/>
      <c r="S30" s="675"/>
      <c r="T30" s="673"/>
      <c r="U30" s="673"/>
      <c r="V30" s="674"/>
      <c r="W30" s="673"/>
      <c r="X30" s="673"/>
      <c r="Y30" s="673"/>
      <c r="Z30" s="673"/>
      <c r="AA30" s="673"/>
      <c r="AB30" s="673"/>
      <c r="AC30" s="673"/>
      <c r="AD30" s="674"/>
      <c r="AE30" s="673"/>
      <c r="AF30" s="673"/>
      <c r="AG30" s="673"/>
      <c r="AH30" s="673"/>
      <c r="AI30" s="673"/>
      <c r="AJ30" s="673"/>
      <c r="AK30" s="673"/>
      <c r="AL30" s="674"/>
      <c r="AM30" s="673"/>
    </row>
    <row r="31" spans="1:39">
      <c r="B31" s="682" t="s">
        <v>755</v>
      </c>
      <c r="G31" s="673"/>
      <c r="H31" s="673"/>
      <c r="I31" s="673"/>
      <c r="J31" s="673"/>
      <c r="K31" s="673"/>
      <c r="L31" s="673"/>
      <c r="M31" s="673"/>
      <c r="N31" s="674"/>
      <c r="O31" s="673"/>
      <c r="P31" s="673"/>
      <c r="Q31" s="673"/>
      <c r="R31" s="675"/>
      <c r="S31" s="675"/>
      <c r="T31" s="673"/>
      <c r="U31" s="673"/>
      <c r="V31" s="674"/>
      <c r="W31" s="673"/>
      <c r="X31" s="673"/>
      <c r="Y31" s="673"/>
      <c r="Z31" s="673"/>
      <c r="AA31" s="673"/>
      <c r="AB31" s="673"/>
      <c r="AC31" s="673"/>
      <c r="AD31" s="674"/>
      <c r="AE31" s="673"/>
      <c r="AF31" s="673"/>
      <c r="AG31" s="673"/>
      <c r="AH31" s="673"/>
      <c r="AI31" s="673"/>
      <c r="AJ31" s="673"/>
      <c r="AK31" s="673"/>
      <c r="AL31" s="674"/>
      <c r="AM31" s="673"/>
    </row>
    <row r="32" spans="1:39">
      <c r="A32" s="594"/>
      <c r="B32" s="682" t="s">
        <v>754</v>
      </c>
      <c r="C32" s="681"/>
      <c r="D32" s="681"/>
      <c r="G32" s="673"/>
      <c r="H32" s="673"/>
      <c r="I32" s="673"/>
      <c r="J32" s="673"/>
      <c r="K32" s="673"/>
      <c r="L32" s="673"/>
      <c r="M32" s="673"/>
      <c r="N32" s="674"/>
      <c r="O32" s="673"/>
      <c r="P32" s="673"/>
      <c r="Q32" s="673"/>
      <c r="R32" s="675"/>
      <c r="S32" s="675"/>
      <c r="T32" s="673"/>
      <c r="U32" s="673"/>
      <c r="V32" s="674"/>
      <c r="W32" s="673"/>
      <c r="X32" s="673"/>
      <c r="Y32" s="673"/>
      <c r="Z32" s="676"/>
      <c r="AA32" s="676"/>
      <c r="AB32" s="673"/>
      <c r="AC32" s="673"/>
      <c r="AD32" s="674"/>
      <c r="AE32" s="673"/>
      <c r="AF32" s="673"/>
      <c r="AG32" s="673"/>
      <c r="AH32" s="676"/>
      <c r="AI32" s="676"/>
      <c r="AJ32" s="673"/>
      <c r="AK32" s="673"/>
      <c r="AL32" s="674"/>
      <c r="AM32" s="673"/>
    </row>
    <row r="33" spans="2:39">
      <c r="B33" s="682"/>
      <c r="C33" s="681"/>
      <c r="D33" s="681"/>
      <c r="G33" s="673"/>
      <c r="H33" s="673"/>
      <c r="I33" s="673"/>
      <c r="J33" s="673"/>
      <c r="K33" s="673"/>
      <c r="L33" s="673"/>
      <c r="M33" s="673"/>
      <c r="N33" s="674"/>
      <c r="O33" s="673"/>
      <c r="P33" s="673"/>
      <c r="Q33" s="673"/>
      <c r="R33" s="675"/>
      <c r="S33" s="673"/>
      <c r="T33" s="673"/>
      <c r="U33" s="673"/>
      <c r="V33" s="674"/>
      <c r="W33" s="673"/>
      <c r="X33" s="673"/>
      <c r="Y33" s="673"/>
      <c r="Z33" s="675"/>
      <c r="AA33" s="673"/>
      <c r="AB33" s="673"/>
      <c r="AC33" s="673"/>
      <c r="AD33" s="674"/>
      <c r="AE33" s="673"/>
      <c r="AF33" s="673"/>
      <c r="AG33" s="673"/>
      <c r="AH33" s="675"/>
      <c r="AI33" s="673"/>
      <c r="AJ33" s="673"/>
      <c r="AK33" s="673"/>
      <c r="AL33" s="674"/>
      <c r="AM33" s="673"/>
    </row>
    <row r="34" spans="2:39">
      <c r="B34" s="680" t="s">
        <v>753</v>
      </c>
      <c r="C34" s="679">
        <v>233500000</v>
      </c>
      <c r="D34" s="681"/>
      <c r="G34" s="673"/>
      <c r="H34" s="673"/>
      <c r="I34" s="673"/>
      <c r="J34" s="675"/>
      <c r="K34" s="675"/>
      <c r="L34" s="673"/>
      <c r="M34" s="673"/>
      <c r="N34" s="674"/>
      <c r="O34" s="673"/>
      <c r="P34" s="673"/>
      <c r="Q34" s="673"/>
      <c r="R34" s="673"/>
      <c r="S34" s="675"/>
      <c r="T34" s="673"/>
      <c r="U34" s="673"/>
      <c r="V34" s="674"/>
      <c r="W34" s="673"/>
      <c r="X34" s="673"/>
      <c r="Y34" s="673"/>
      <c r="Z34" s="675"/>
      <c r="AA34" s="675"/>
      <c r="AB34" s="673"/>
      <c r="AC34" s="673"/>
      <c r="AD34" s="674"/>
      <c r="AE34" s="673"/>
      <c r="AF34" s="673"/>
      <c r="AG34" s="673"/>
      <c r="AH34" s="675"/>
      <c r="AI34" s="675"/>
      <c r="AJ34" s="673"/>
      <c r="AK34" s="673"/>
      <c r="AL34" s="674"/>
      <c r="AM34" s="673"/>
    </row>
    <row r="35" spans="2:39">
      <c r="B35" s="680" t="s">
        <v>752</v>
      </c>
      <c r="C35" s="679">
        <v>200000000</v>
      </c>
      <c r="G35" s="673"/>
      <c r="H35" s="673"/>
      <c r="I35" s="673"/>
      <c r="J35" s="675"/>
      <c r="K35" s="675"/>
      <c r="L35" s="673"/>
      <c r="M35" s="673"/>
      <c r="N35" s="674"/>
      <c r="O35" s="673"/>
      <c r="P35" s="673"/>
      <c r="Q35" s="673"/>
      <c r="R35" s="675"/>
      <c r="S35" s="673"/>
      <c r="T35" s="673"/>
      <c r="U35" s="673"/>
      <c r="V35" s="674"/>
      <c r="W35" s="673"/>
      <c r="X35" s="673"/>
      <c r="Y35" s="673"/>
      <c r="Z35" s="675"/>
      <c r="AA35" s="675"/>
      <c r="AB35" s="673"/>
      <c r="AC35" s="673"/>
      <c r="AD35" s="674"/>
      <c r="AE35" s="673"/>
      <c r="AF35" s="673"/>
      <c r="AG35" s="673"/>
      <c r="AH35" s="675"/>
      <c r="AI35" s="675"/>
      <c r="AJ35" s="673"/>
      <c r="AK35" s="673"/>
      <c r="AL35" s="674"/>
      <c r="AM35" s="673"/>
    </row>
    <row r="36" spans="2:39">
      <c r="G36" s="673"/>
      <c r="H36" s="673"/>
      <c r="I36" s="673"/>
      <c r="J36" s="675"/>
      <c r="K36" s="675"/>
      <c r="L36" s="673"/>
      <c r="M36" s="673"/>
      <c r="N36" s="674"/>
      <c r="O36" s="673"/>
      <c r="P36" s="673"/>
      <c r="Q36" s="673"/>
      <c r="R36" s="673"/>
      <c r="S36" s="675"/>
      <c r="T36" s="673"/>
      <c r="U36" s="673"/>
      <c r="V36" s="674"/>
      <c r="W36" s="673"/>
      <c r="X36" s="673"/>
      <c r="Y36" s="673"/>
      <c r="Z36" s="673"/>
      <c r="AA36" s="675"/>
      <c r="AB36" s="673"/>
      <c r="AC36" s="673"/>
      <c r="AD36" s="674"/>
      <c r="AE36" s="673"/>
      <c r="AF36" s="673"/>
      <c r="AG36" s="673"/>
      <c r="AH36" s="673"/>
      <c r="AI36" s="675"/>
      <c r="AJ36" s="673"/>
      <c r="AK36" s="673"/>
      <c r="AL36" s="674"/>
      <c r="AM36" s="673"/>
    </row>
    <row r="37" spans="2:39">
      <c r="C37" s="678"/>
      <c r="D37" s="678"/>
      <c r="G37" s="673"/>
      <c r="H37" s="673"/>
      <c r="I37" s="673"/>
      <c r="J37" s="675"/>
      <c r="K37" s="675"/>
      <c r="L37" s="673"/>
      <c r="M37" s="673"/>
      <c r="N37" s="674"/>
      <c r="O37" s="673"/>
      <c r="P37" s="673"/>
      <c r="Q37" s="673"/>
      <c r="R37" s="673"/>
      <c r="S37" s="675"/>
      <c r="T37" s="673"/>
      <c r="U37" s="673"/>
      <c r="V37" s="674"/>
      <c r="W37" s="673"/>
      <c r="X37" s="673"/>
      <c r="Y37" s="673"/>
      <c r="Z37" s="673"/>
      <c r="AA37" s="675"/>
      <c r="AB37" s="673"/>
      <c r="AC37" s="673"/>
      <c r="AD37" s="674"/>
      <c r="AE37" s="673"/>
      <c r="AF37" s="673"/>
      <c r="AG37" s="673"/>
      <c r="AH37" s="673"/>
      <c r="AI37" s="675"/>
      <c r="AJ37" s="673"/>
      <c r="AK37" s="673"/>
      <c r="AL37" s="674"/>
      <c r="AM37" s="673"/>
    </row>
    <row r="38" spans="2:39">
      <c r="C38" s="678"/>
      <c r="D38" s="678"/>
      <c r="G38" s="673"/>
      <c r="H38" s="673"/>
      <c r="I38" s="673"/>
      <c r="J38" s="673"/>
      <c r="K38" s="673"/>
      <c r="L38" s="673"/>
      <c r="M38" s="673"/>
      <c r="N38" s="674"/>
      <c r="O38" s="673"/>
      <c r="P38" s="673"/>
      <c r="Q38" s="673"/>
      <c r="R38" s="673"/>
      <c r="S38" s="675"/>
      <c r="T38" s="673"/>
      <c r="U38" s="673"/>
      <c r="V38" s="674"/>
      <c r="W38" s="673"/>
      <c r="X38" s="673"/>
      <c r="Y38" s="673"/>
      <c r="Z38" s="675"/>
      <c r="AA38" s="675"/>
      <c r="AB38" s="673"/>
      <c r="AC38" s="673"/>
      <c r="AD38" s="674"/>
      <c r="AE38" s="673"/>
      <c r="AF38" s="673"/>
      <c r="AG38" s="673"/>
      <c r="AH38" s="675"/>
      <c r="AI38" s="675"/>
      <c r="AJ38" s="673"/>
      <c r="AK38" s="673"/>
      <c r="AL38" s="674"/>
      <c r="AM38" s="673"/>
    </row>
    <row r="39" spans="2:39">
      <c r="G39" s="673"/>
      <c r="H39" s="673"/>
      <c r="I39" s="673"/>
      <c r="J39" s="675"/>
      <c r="K39" s="675"/>
      <c r="L39" s="673"/>
      <c r="M39" s="673"/>
      <c r="N39" s="674"/>
      <c r="O39" s="673"/>
      <c r="P39" s="673"/>
      <c r="Q39" s="673"/>
      <c r="R39" s="673"/>
      <c r="S39" s="675"/>
      <c r="T39" s="673"/>
      <c r="U39" s="673"/>
      <c r="V39" s="674"/>
      <c r="W39" s="673"/>
      <c r="X39" s="673"/>
      <c r="Y39" s="673"/>
      <c r="Z39" s="675"/>
      <c r="AA39" s="675"/>
      <c r="AB39" s="673"/>
      <c r="AC39" s="673"/>
      <c r="AD39" s="674"/>
      <c r="AE39" s="673"/>
      <c r="AF39" s="673"/>
      <c r="AG39" s="673"/>
      <c r="AH39" s="675"/>
      <c r="AI39" s="675"/>
      <c r="AJ39" s="673"/>
      <c r="AK39" s="673"/>
      <c r="AL39" s="674"/>
      <c r="AM39" s="673"/>
    </row>
    <row r="40" spans="2:39">
      <c r="G40" s="673"/>
      <c r="H40" s="673"/>
      <c r="I40" s="673"/>
      <c r="J40" s="675"/>
      <c r="K40" s="675"/>
      <c r="L40" s="673"/>
      <c r="M40" s="673"/>
      <c r="N40" s="674"/>
      <c r="O40" s="673"/>
      <c r="P40" s="673"/>
      <c r="Q40" s="673"/>
      <c r="R40" s="673"/>
      <c r="S40" s="675"/>
      <c r="T40" s="673"/>
      <c r="U40" s="673"/>
      <c r="V40" s="674"/>
      <c r="W40" s="673"/>
      <c r="X40" s="673"/>
      <c r="Y40" s="673"/>
      <c r="Z40" s="673"/>
      <c r="AA40" s="675"/>
      <c r="AB40" s="673"/>
      <c r="AC40" s="673"/>
      <c r="AD40" s="674"/>
      <c r="AE40" s="673"/>
      <c r="AF40" s="673"/>
      <c r="AG40" s="673"/>
      <c r="AH40" s="673"/>
      <c r="AI40" s="675"/>
      <c r="AJ40" s="673"/>
      <c r="AK40" s="673"/>
      <c r="AL40" s="674"/>
      <c r="AM40" s="673"/>
    </row>
    <row r="41" spans="2:39">
      <c r="G41" s="673"/>
      <c r="H41" s="673"/>
      <c r="I41" s="673"/>
      <c r="J41" s="673"/>
      <c r="K41" s="673"/>
      <c r="L41" s="673"/>
      <c r="M41" s="673"/>
      <c r="N41" s="674"/>
      <c r="O41" s="673"/>
      <c r="P41" s="673"/>
      <c r="Q41" s="673"/>
      <c r="R41" s="673"/>
      <c r="S41" s="673"/>
      <c r="T41" s="673"/>
      <c r="U41" s="673"/>
      <c r="V41" s="674"/>
      <c r="W41" s="673"/>
      <c r="X41" s="673"/>
      <c r="Y41" s="673"/>
      <c r="Z41" s="677"/>
      <c r="AA41" s="675"/>
      <c r="AB41" s="673"/>
      <c r="AC41" s="673"/>
      <c r="AD41" s="674"/>
      <c r="AE41" s="673"/>
      <c r="AF41" s="673"/>
      <c r="AG41" s="673"/>
      <c r="AH41" s="677"/>
      <c r="AI41" s="675"/>
      <c r="AJ41" s="673"/>
      <c r="AK41" s="673"/>
      <c r="AL41" s="674"/>
      <c r="AM41" s="673"/>
    </row>
    <row r="42" spans="2:39">
      <c r="G42" s="673"/>
      <c r="H42" s="673"/>
      <c r="I42" s="673"/>
      <c r="J42" s="673"/>
      <c r="K42" s="673"/>
      <c r="L42" s="673"/>
      <c r="M42" s="673"/>
      <c r="N42" s="674"/>
      <c r="O42" s="673"/>
      <c r="P42" s="673"/>
      <c r="Q42" s="673"/>
      <c r="R42" s="675"/>
      <c r="S42" s="673"/>
      <c r="T42" s="673"/>
      <c r="U42" s="673"/>
      <c r="V42" s="674"/>
      <c r="W42" s="673"/>
      <c r="X42" s="673"/>
      <c r="Y42" s="673"/>
      <c r="Z42" s="673"/>
      <c r="AA42" s="673"/>
      <c r="AB42" s="673"/>
      <c r="AC42" s="673"/>
      <c r="AD42" s="674"/>
      <c r="AE42" s="673"/>
      <c r="AF42" s="673"/>
      <c r="AG42" s="673"/>
      <c r="AH42" s="673"/>
      <c r="AI42" s="673"/>
      <c r="AJ42" s="673"/>
      <c r="AK42" s="673"/>
      <c r="AL42" s="674"/>
      <c r="AM42" s="673"/>
    </row>
    <row r="43" spans="2:39">
      <c r="G43" s="673"/>
      <c r="H43" s="673"/>
      <c r="I43" s="673"/>
      <c r="J43" s="673"/>
      <c r="K43" s="673"/>
      <c r="L43" s="673"/>
      <c r="M43" s="673"/>
      <c r="N43" s="674"/>
      <c r="O43" s="673"/>
      <c r="P43" s="673"/>
      <c r="Q43" s="673"/>
      <c r="R43" s="673"/>
      <c r="S43" s="673"/>
      <c r="T43" s="673"/>
      <c r="U43" s="673"/>
      <c r="V43" s="674"/>
      <c r="W43" s="673"/>
      <c r="X43" s="673"/>
      <c r="Y43" s="673"/>
      <c r="Z43" s="673"/>
      <c r="AA43" s="673"/>
      <c r="AB43" s="673"/>
      <c r="AC43" s="673"/>
      <c r="AD43" s="674"/>
      <c r="AE43" s="673"/>
      <c r="AF43" s="673"/>
      <c r="AG43" s="673"/>
      <c r="AH43" s="673"/>
      <c r="AI43" s="673"/>
      <c r="AJ43" s="673"/>
      <c r="AK43" s="673"/>
      <c r="AL43" s="674"/>
      <c r="AM43" s="673"/>
    </row>
    <row r="44" spans="2:39">
      <c r="G44" s="673"/>
      <c r="H44" s="673"/>
      <c r="I44" s="673"/>
      <c r="J44" s="673"/>
      <c r="K44" s="673"/>
      <c r="L44" s="673"/>
      <c r="M44" s="673"/>
      <c r="N44" s="674"/>
      <c r="O44" s="673"/>
      <c r="P44" s="673"/>
      <c r="Q44" s="673"/>
      <c r="R44" s="673"/>
      <c r="S44" s="673"/>
      <c r="T44" s="673"/>
      <c r="U44" s="673"/>
      <c r="V44" s="674"/>
      <c r="W44" s="673"/>
      <c r="X44" s="673"/>
      <c r="Y44" s="673"/>
      <c r="Z44" s="673"/>
      <c r="AA44" s="673"/>
      <c r="AB44" s="673"/>
      <c r="AC44" s="673"/>
      <c r="AD44" s="674"/>
      <c r="AE44" s="673"/>
      <c r="AF44" s="673"/>
      <c r="AG44" s="673"/>
      <c r="AH44" s="673"/>
      <c r="AI44" s="673"/>
      <c r="AJ44" s="673"/>
      <c r="AK44" s="673"/>
      <c r="AL44" s="674"/>
      <c r="AM44" s="673"/>
    </row>
    <row r="45" spans="2:39">
      <c r="G45" s="673"/>
      <c r="H45" s="673"/>
      <c r="I45" s="673"/>
      <c r="J45" s="675"/>
      <c r="K45" s="675"/>
      <c r="L45" s="673"/>
      <c r="M45" s="673"/>
      <c r="N45" s="674"/>
      <c r="O45" s="673"/>
      <c r="P45" s="673"/>
      <c r="Q45" s="673"/>
      <c r="R45" s="675"/>
      <c r="S45" s="675"/>
      <c r="T45" s="673"/>
      <c r="U45" s="673"/>
      <c r="V45" s="674"/>
      <c r="W45" s="673"/>
      <c r="X45" s="673"/>
      <c r="Y45" s="673"/>
      <c r="Z45" s="675"/>
      <c r="AA45" s="675"/>
      <c r="AB45" s="673"/>
      <c r="AC45" s="673"/>
      <c r="AD45" s="674"/>
      <c r="AE45" s="673"/>
      <c r="AF45" s="673"/>
      <c r="AG45" s="673"/>
      <c r="AH45" s="675"/>
      <c r="AI45" s="675"/>
      <c r="AJ45" s="673"/>
      <c r="AK45" s="673"/>
      <c r="AL45" s="674"/>
      <c r="AM45" s="673"/>
    </row>
    <row r="46" spans="2:39">
      <c r="G46" s="673"/>
      <c r="H46" s="673"/>
      <c r="I46" s="673"/>
      <c r="J46" s="675"/>
      <c r="K46" s="675"/>
      <c r="L46" s="673"/>
      <c r="M46" s="673"/>
      <c r="N46" s="674"/>
      <c r="O46" s="673"/>
      <c r="P46" s="673"/>
      <c r="Q46" s="673"/>
      <c r="R46" s="675"/>
      <c r="S46" s="675"/>
      <c r="T46" s="673"/>
      <c r="U46" s="673"/>
      <c r="V46" s="674"/>
      <c r="W46" s="673"/>
      <c r="X46" s="673"/>
      <c r="Y46" s="673"/>
      <c r="Z46" s="675"/>
      <c r="AA46" s="675"/>
      <c r="AB46" s="673"/>
      <c r="AC46" s="673"/>
      <c r="AD46" s="674"/>
      <c r="AE46" s="673"/>
      <c r="AF46" s="673"/>
      <c r="AG46" s="673"/>
      <c r="AH46" s="675"/>
      <c r="AI46" s="675"/>
      <c r="AJ46" s="673"/>
      <c r="AK46" s="673"/>
      <c r="AL46" s="674"/>
      <c r="AM46" s="673"/>
    </row>
    <row r="47" spans="2:39">
      <c r="G47" s="673"/>
      <c r="H47" s="673"/>
      <c r="I47" s="673"/>
      <c r="J47" s="673"/>
      <c r="K47" s="673"/>
      <c r="L47" s="673"/>
      <c r="M47" s="673"/>
      <c r="N47" s="674"/>
      <c r="O47" s="673"/>
      <c r="P47" s="673"/>
      <c r="Q47" s="673"/>
      <c r="R47" s="673"/>
      <c r="S47" s="673"/>
      <c r="T47" s="673"/>
      <c r="U47" s="673"/>
      <c r="V47" s="674"/>
      <c r="W47" s="673"/>
      <c r="X47" s="673"/>
      <c r="Y47" s="673"/>
      <c r="Z47" s="675"/>
      <c r="AA47" s="675"/>
      <c r="AB47" s="673"/>
      <c r="AC47" s="673"/>
      <c r="AD47" s="674"/>
      <c r="AE47" s="673"/>
      <c r="AF47" s="673"/>
      <c r="AG47" s="673"/>
      <c r="AH47" s="675"/>
      <c r="AI47" s="675"/>
      <c r="AJ47" s="673"/>
      <c r="AK47" s="673"/>
      <c r="AL47" s="674"/>
      <c r="AM47" s="673"/>
    </row>
    <row r="48" spans="2:39">
      <c r="G48" s="673"/>
      <c r="H48" s="673"/>
      <c r="I48" s="673"/>
      <c r="J48" s="673"/>
      <c r="K48" s="673"/>
      <c r="L48" s="673"/>
      <c r="M48" s="673"/>
      <c r="N48" s="674"/>
      <c r="O48" s="673"/>
      <c r="P48" s="673"/>
      <c r="Q48" s="673"/>
      <c r="R48" s="673"/>
      <c r="S48" s="673"/>
      <c r="T48" s="673"/>
      <c r="U48" s="673"/>
      <c r="V48" s="674"/>
      <c r="W48" s="673"/>
      <c r="X48" s="673"/>
      <c r="Y48" s="673"/>
      <c r="Z48" s="675"/>
      <c r="AA48" s="675"/>
      <c r="AB48" s="673"/>
      <c r="AC48" s="673"/>
      <c r="AD48" s="674"/>
      <c r="AE48" s="673"/>
      <c r="AF48" s="673"/>
      <c r="AG48" s="673"/>
      <c r="AH48" s="675"/>
      <c r="AI48" s="675"/>
      <c r="AJ48" s="673"/>
      <c r="AK48" s="673"/>
      <c r="AL48" s="674"/>
      <c r="AM48" s="673"/>
    </row>
    <row r="49" spans="7:39">
      <c r="G49" s="673"/>
      <c r="H49" s="673"/>
      <c r="I49" s="673"/>
      <c r="J49" s="673"/>
      <c r="K49" s="673"/>
      <c r="L49" s="673"/>
      <c r="M49" s="673"/>
      <c r="N49" s="674"/>
      <c r="O49" s="673"/>
      <c r="P49" s="673"/>
      <c r="Q49" s="673"/>
      <c r="R49" s="673"/>
      <c r="S49" s="673"/>
      <c r="T49" s="673"/>
      <c r="U49" s="673"/>
      <c r="V49" s="674"/>
      <c r="W49" s="673"/>
      <c r="X49" s="673"/>
      <c r="Y49" s="673"/>
      <c r="Z49" s="673"/>
      <c r="AA49" s="673"/>
      <c r="AB49" s="673"/>
      <c r="AC49" s="673"/>
      <c r="AD49" s="674"/>
      <c r="AE49" s="673"/>
      <c r="AF49" s="673"/>
      <c r="AG49" s="673"/>
      <c r="AH49" s="673"/>
      <c r="AI49" s="673"/>
      <c r="AJ49" s="673"/>
      <c r="AK49" s="673"/>
      <c r="AL49" s="674"/>
      <c r="AM49" s="673"/>
    </row>
    <row r="50" spans="7:39">
      <c r="G50" s="673"/>
      <c r="H50" s="673"/>
      <c r="I50" s="673"/>
      <c r="J50" s="673"/>
      <c r="K50" s="673"/>
      <c r="L50" s="673"/>
      <c r="M50" s="673"/>
      <c r="N50" s="674"/>
      <c r="O50" s="673"/>
      <c r="P50" s="673"/>
      <c r="Q50" s="673"/>
      <c r="R50" s="673"/>
      <c r="S50" s="673"/>
      <c r="T50" s="673"/>
      <c r="U50" s="673"/>
      <c r="V50" s="674"/>
      <c r="W50" s="673"/>
      <c r="X50" s="673"/>
      <c r="Y50" s="673"/>
      <c r="Z50" s="675"/>
      <c r="AA50" s="675"/>
      <c r="AB50" s="673"/>
      <c r="AC50" s="673"/>
      <c r="AD50" s="674"/>
      <c r="AE50" s="673"/>
      <c r="AF50" s="673"/>
      <c r="AG50" s="673"/>
      <c r="AH50" s="675"/>
      <c r="AI50" s="675"/>
      <c r="AJ50" s="673"/>
      <c r="AK50" s="673"/>
      <c r="AL50" s="674"/>
      <c r="AM50" s="673"/>
    </row>
    <row r="51" spans="7:39">
      <c r="G51" s="673"/>
      <c r="H51" s="673"/>
      <c r="I51" s="673"/>
      <c r="J51" s="673"/>
      <c r="K51" s="673"/>
      <c r="L51" s="673"/>
      <c r="M51" s="673"/>
      <c r="N51" s="674"/>
      <c r="O51" s="673"/>
      <c r="P51" s="673"/>
      <c r="Q51" s="673"/>
      <c r="R51" s="673"/>
      <c r="S51" s="673"/>
      <c r="T51" s="673"/>
      <c r="U51" s="673"/>
      <c r="V51" s="674"/>
      <c r="W51" s="673"/>
      <c r="X51" s="673"/>
      <c r="Y51" s="673"/>
      <c r="Z51" s="675"/>
      <c r="AA51" s="675"/>
      <c r="AB51" s="675"/>
      <c r="AC51" s="673"/>
      <c r="AD51" s="674"/>
      <c r="AE51" s="673"/>
      <c r="AF51" s="673"/>
      <c r="AG51" s="673"/>
      <c r="AH51" s="675"/>
      <c r="AI51" s="675"/>
      <c r="AJ51" s="675"/>
      <c r="AK51" s="673"/>
      <c r="AL51" s="674"/>
      <c r="AM51" s="673"/>
    </row>
    <row r="52" spans="7:39">
      <c r="G52" s="673"/>
      <c r="H52" s="673"/>
      <c r="I52" s="673"/>
      <c r="J52" s="673"/>
      <c r="K52" s="673"/>
      <c r="L52" s="673"/>
      <c r="M52" s="673"/>
      <c r="N52" s="674"/>
      <c r="O52" s="673"/>
      <c r="P52" s="673"/>
      <c r="Q52" s="673"/>
      <c r="R52" s="673"/>
      <c r="S52" s="673"/>
      <c r="T52" s="673"/>
      <c r="U52" s="673"/>
      <c r="V52" s="674"/>
      <c r="W52" s="673"/>
      <c r="X52" s="673"/>
      <c r="Y52" s="673"/>
      <c r="Z52" s="673"/>
      <c r="AA52" s="673"/>
      <c r="AB52" s="675"/>
      <c r="AC52" s="673"/>
      <c r="AD52" s="674"/>
      <c r="AE52" s="673"/>
      <c r="AF52" s="673"/>
      <c r="AG52" s="673"/>
      <c r="AH52" s="673"/>
      <c r="AI52" s="673"/>
      <c r="AJ52" s="675"/>
      <c r="AK52" s="673"/>
      <c r="AL52" s="674"/>
      <c r="AM52" s="673"/>
    </row>
    <row r="53" spans="7:39">
      <c r="G53" s="673"/>
      <c r="H53" s="673"/>
      <c r="I53" s="673"/>
      <c r="J53" s="673"/>
      <c r="K53" s="673"/>
      <c r="L53" s="673"/>
      <c r="M53" s="673"/>
      <c r="N53" s="674"/>
      <c r="O53" s="673"/>
      <c r="P53" s="673"/>
      <c r="Q53" s="673"/>
      <c r="R53" s="673"/>
      <c r="S53" s="673"/>
      <c r="T53" s="673"/>
      <c r="U53" s="673"/>
      <c r="V53" s="674"/>
      <c r="W53" s="673"/>
      <c r="X53" s="673"/>
      <c r="Y53" s="673"/>
      <c r="Z53" s="673"/>
      <c r="AA53" s="673"/>
      <c r="AB53" s="673"/>
      <c r="AC53" s="673"/>
      <c r="AD53" s="674"/>
      <c r="AE53" s="673"/>
      <c r="AF53" s="673"/>
      <c r="AG53" s="673"/>
      <c r="AH53" s="673"/>
      <c r="AI53" s="673"/>
      <c r="AJ53" s="673"/>
      <c r="AK53" s="673"/>
      <c r="AL53" s="674"/>
      <c r="AM53" s="673"/>
    </row>
    <row r="54" spans="7:39">
      <c r="G54" s="673"/>
      <c r="H54" s="673"/>
      <c r="I54" s="673"/>
      <c r="J54" s="673"/>
      <c r="K54" s="673"/>
      <c r="L54" s="673"/>
      <c r="M54" s="673"/>
      <c r="N54" s="674"/>
      <c r="O54" s="673"/>
      <c r="P54" s="673"/>
      <c r="Q54" s="673"/>
      <c r="R54" s="673"/>
      <c r="S54" s="673"/>
      <c r="T54" s="673"/>
      <c r="U54" s="673"/>
      <c r="V54" s="674"/>
      <c r="W54" s="673"/>
      <c r="X54" s="673"/>
      <c r="Y54" s="673"/>
      <c r="Z54" s="673"/>
      <c r="AA54" s="673"/>
      <c r="AB54" s="673"/>
      <c r="AC54" s="673"/>
      <c r="AD54" s="674"/>
      <c r="AE54" s="673"/>
      <c r="AF54" s="673"/>
      <c r="AG54" s="673"/>
      <c r="AH54" s="673"/>
      <c r="AI54" s="673"/>
      <c r="AJ54" s="673"/>
      <c r="AK54" s="673"/>
      <c r="AL54" s="674"/>
      <c r="AM54" s="673"/>
    </row>
    <row r="55" spans="7:39">
      <c r="G55" s="673"/>
      <c r="H55" s="673"/>
      <c r="I55" s="673"/>
      <c r="J55" s="673"/>
      <c r="K55" s="673"/>
      <c r="L55" s="673"/>
      <c r="M55" s="673"/>
      <c r="N55" s="674"/>
      <c r="O55" s="673"/>
      <c r="P55" s="673"/>
      <c r="Q55" s="673"/>
      <c r="R55" s="673"/>
      <c r="S55" s="673"/>
      <c r="T55" s="673"/>
      <c r="U55" s="673"/>
      <c r="V55" s="674"/>
      <c r="W55" s="673"/>
      <c r="X55" s="673"/>
      <c r="Y55" s="673"/>
      <c r="Z55" s="673"/>
      <c r="AA55" s="673"/>
      <c r="AB55" s="673"/>
      <c r="AC55" s="673"/>
      <c r="AD55" s="674"/>
      <c r="AE55" s="673"/>
      <c r="AF55" s="673"/>
      <c r="AG55" s="673"/>
      <c r="AH55" s="673"/>
      <c r="AI55" s="673"/>
      <c r="AJ55" s="673"/>
      <c r="AK55" s="673"/>
      <c r="AL55" s="674"/>
      <c r="AM55" s="673"/>
    </row>
    <row r="56" spans="7:39">
      <c r="G56" s="673"/>
      <c r="H56" s="673"/>
      <c r="I56" s="673"/>
      <c r="J56" s="673"/>
      <c r="K56" s="673"/>
      <c r="L56" s="673"/>
      <c r="M56" s="673"/>
      <c r="N56" s="674"/>
      <c r="O56" s="673"/>
      <c r="P56" s="673"/>
      <c r="Q56" s="673"/>
      <c r="R56" s="673"/>
      <c r="S56" s="673"/>
      <c r="T56" s="673"/>
      <c r="U56" s="673"/>
      <c r="V56" s="674"/>
      <c r="W56" s="673"/>
      <c r="X56" s="673"/>
      <c r="Y56" s="673"/>
      <c r="Z56" s="675"/>
      <c r="AA56" s="675"/>
      <c r="AB56" s="673"/>
      <c r="AC56" s="673"/>
      <c r="AD56" s="674"/>
      <c r="AE56" s="673"/>
      <c r="AF56" s="673"/>
      <c r="AG56" s="673"/>
      <c r="AH56" s="675"/>
      <c r="AI56" s="675"/>
      <c r="AJ56" s="673"/>
      <c r="AK56" s="673"/>
      <c r="AL56" s="674"/>
      <c r="AM56" s="673"/>
    </row>
    <row r="57" spans="7:39">
      <c r="G57" s="673"/>
      <c r="H57" s="673"/>
      <c r="I57" s="673"/>
      <c r="J57" s="673"/>
      <c r="K57" s="673"/>
      <c r="L57" s="673"/>
      <c r="M57" s="673"/>
      <c r="N57" s="674"/>
      <c r="O57" s="673"/>
      <c r="P57" s="673"/>
      <c r="Q57" s="673"/>
      <c r="R57" s="673"/>
      <c r="S57" s="673"/>
      <c r="T57" s="673"/>
      <c r="U57" s="673"/>
      <c r="V57" s="674"/>
      <c r="W57" s="673"/>
      <c r="X57" s="673"/>
      <c r="Y57" s="673"/>
      <c r="Z57" s="676"/>
      <c r="AA57" s="675"/>
      <c r="AB57" s="673"/>
      <c r="AC57" s="673"/>
      <c r="AD57" s="674"/>
      <c r="AE57" s="673"/>
      <c r="AF57" s="673"/>
      <c r="AG57" s="673"/>
      <c r="AH57" s="676"/>
      <c r="AI57" s="675"/>
      <c r="AJ57" s="673"/>
      <c r="AK57" s="673"/>
      <c r="AL57" s="674"/>
      <c r="AM57" s="673"/>
    </row>
    <row r="58" spans="7:39">
      <c r="G58" s="673"/>
      <c r="H58" s="673"/>
      <c r="I58" s="673"/>
      <c r="J58" s="673"/>
      <c r="K58" s="673"/>
      <c r="L58" s="673"/>
      <c r="M58" s="673"/>
      <c r="N58" s="674"/>
      <c r="O58" s="673"/>
      <c r="P58" s="673"/>
      <c r="Q58" s="673"/>
      <c r="R58" s="673"/>
      <c r="S58" s="673"/>
      <c r="T58" s="673"/>
      <c r="U58" s="673"/>
      <c r="V58" s="674"/>
      <c r="W58" s="673"/>
      <c r="X58" s="673"/>
      <c r="Y58" s="673"/>
      <c r="Z58" s="673"/>
      <c r="AA58" s="673"/>
      <c r="AB58" s="673"/>
      <c r="AC58" s="673"/>
      <c r="AD58" s="674"/>
      <c r="AE58" s="673"/>
      <c r="AF58" s="673"/>
      <c r="AG58" s="673"/>
      <c r="AH58" s="673"/>
      <c r="AI58" s="673"/>
      <c r="AJ58" s="673"/>
      <c r="AK58" s="673"/>
      <c r="AL58" s="674"/>
      <c r="AM58" s="673"/>
    </row>
    <row r="59" spans="7:39">
      <c r="G59" s="673"/>
      <c r="H59" s="673"/>
      <c r="I59" s="673"/>
      <c r="J59" s="673"/>
      <c r="K59" s="673"/>
      <c r="L59" s="673"/>
      <c r="M59" s="673"/>
      <c r="N59" s="674"/>
      <c r="O59" s="673"/>
      <c r="P59" s="673"/>
      <c r="Q59" s="673"/>
      <c r="R59" s="673"/>
      <c r="S59" s="673"/>
      <c r="T59" s="673"/>
      <c r="U59" s="673"/>
      <c r="V59" s="674"/>
      <c r="W59" s="673"/>
      <c r="X59" s="673"/>
      <c r="Y59" s="673"/>
      <c r="Z59" s="673"/>
      <c r="AA59" s="675"/>
      <c r="AB59" s="673"/>
      <c r="AC59" s="673"/>
      <c r="AD59" s="674"/>
      <c r="AE59" s="673"/>
      <c r="AF59" s="673"/>
      <c r="AG59" s="673"/>
      <c r="AH59" s="673"/>
      <c r="AI59" s="675"/>
      <c r="AJ59" s="673"/>
      <c r="AK59" s="673"/>
      <c r="AL59" s="674"/>
      <c r="AM59" s="673"/>
    </row>
    <row r="60" spans="7:39">
      <c r="G60" s="673"/>
      <c r="H60" s="673"/>
      <c r="I60" s="673"/>
      <c r="J60" s="673"/>
      <c r="K60" s="673"/>
      <c r="L60" s="673"/>
      <c r="M60" s="673"/>
      <c r="N60" s="674"/>
      <c r="O60" s="673"/>
      <c r="P60" s="673"/>
      <c r="Q60" s="673"/>
      <c r="R60" s="673"/>
      <c r="S60" s="673"/>
      <c r="T60" s="673"/>
      <c r="U60" s="673"/>
      <c r="V60" s="674"/>
      <c r="W60" s="673"/>
      <c r="X60" s="673"/>
      <c r="Y60" s="673"/>
      <c r="Z60" s="673"/>
      <c r="AA60" s="675"/>
      <c r="AB60" s="673"/>
      <c r="AC60" s="673"/>
      <c r="AD60" s="674"/>
      <c r="AE60" s="673"/>
      <c r="AF60" s="673"/>
      <c r="AG60" s="673"/>
      <c r="AH60" s="673"/>
      <c r="AI60" s="675"/>
      <c r="AJ60" s="673"/>
      <c r="AK60" s="673"/>
      <c r="AL60" s="674"/>
      <c r="AM60" s="673"/>
    </row>
    <row r="61" spans="7:39">
      <c r="G61" s="673"/>
      <c r="H61" s="673"/>
      <c r="I61" s="673"/>
      <c r="J61" s="673"/>
      <c r="K61" s="673"/>
      <c r="L61" s="673"/>
      <c r="M61" s="673"/>
      <c r="N61" s="674"/>
      <c r="O61" s="673"/>
      <c r="P61" s="673"/>
      <c r="Q61" s="673"/>
      <c r="R61" s="673"/>
      <c r="S61" s="673"/>
      <c r="T61" s="673"/>
      <c r="U61" s="673"/>
      <c r="V61" s="674"/>
      <c r="W61" s="673"/>
      <c r="X61" s="673"/>
      <c r="Y61" s="673"/>
      <c r="Z61" s="673"/>
      <c r="AA61" s="675"/>
      <c r="AB61" s="673"/>
      <c r="AC61" s="673"/>
      <c r="AD61" s="674"/>
      <c r="AE61" s="673"/>
      <c r="AF61" s="673"/>
      <c r="AG61" s="673"/>
      <c r="AH61" s="673"/>
      <c r="AI61" s="675"/>
      <c r="AJ61" s="673"/>
      <c r="AK61" s="673"/>
      <c r="AL61" s="674"/>
      <c r="AM61" s="673"/>
    </row>
    <row r="62" spans="7:39">
      <c r="G62" s="673"/>
      <c r="H62" s="673"/>
      <c r="I62" s="673"/>
      <c r="J62" s="673"/>
      <c r="K62" s="673"/>
      <c r="L62" s="673"/>
      <c r="M62" s="673"/>
      <c r="N62" s="674"/>
      <c r="O62" s="673"/>
      <c r="P62" s="673"/>
      <c r="Q62" s="673"/>
      <c r="R62" s="673"/>
      <c r="S62" s="673"/>
      <c r="T62" s="673"/>
      <c r="U62" s="673"/>
      <c r="V62" s="674"/>
      <c r="W62" s="673"/>
      <c r="X62" s="673"/>
      <c r="Y62" s="673"/>
      <c r="Z62" s="673"/>
      <c r="AA62" s="675"/>
      <c r="AB62" s="673"/>
      <c r="AC62" s="673"/>
      <c r="AD62" s="674"/>
      <c r="AE62" s="673"/>
      <c r="AF62" s="673"/>
      <c r="AG62" s="673"/>
      <c r="AH62" s="673"/>
      <c r="AI62" s="675"/>
      <c r="AJ62" s="673"/>
      <c r="AK62" s="673"/>
      <c r="AL62" s="674"/>
      <c r="AM62" s="673"/>
    </row>
    <row r="63" spans="7:39">
      <c r="G63" s="673"/>
      <c r="H63" s="673"/>
      <c r="I63" s="673"/>
      <c r="J63" s="673"/>
      <c r="K63" s="673"/>
      <c r="L63" s="673"/>
      <c r="M63" s="673"/>
      <c r="N63" s="674"/>
      <c r="O63" s="673"/>
      <c r="P63" s="673"/>
      <c r="Q63" s="673"/>
      <c r="R63" s="673"/>
      <c r="S63" s="673"/>
      <c r="T63" s="673"/>
      <c r="U63" s="673"/>
      <c r="V63" s="674"/>
      <c r="W63" s="673"/>
      <c r="X63" s="673"/>
      <c r="Y63" s="673"/>
      <c r="Z63" s="673"/>
      <c r="AA63" s="675"/>
      <c r="AB63" s="673"/>
      <c r="AC63" s="673"/>
      <c r="AD63" s="674"/>
      <c r="AE63" s="673"/>
      <c r="AF63" s="673"/>
      <c r="AG63" s="673"/>
      <c r="AH63" s="673"/>
      <c r="AI63" s="675"/>
      <c r="AJ63" s="673"/>
      <c r="AK63" s="673"/>
      <c r="AL63" s="674"/>
      <c r="AM63" s="673"/>
    </row>
    <row r="64" spans="7:39">
      <c r="G64" s="673"/>
      <c r="H64" s="673"/>
      <c r="I64" s="673"/>
      <c r="J64" s="673"/>
      <c r="K64" s="673"/>
      <c r="L64" s="673"/>
      <c r="M64" s="673"/>
      <c r="N64" s="674"/>
      <c r="O64" s="673"/>
      <c r="P64" s="673"/>
      <c r="Q64" s="673"/>
      <c r="R64" s="673"/>
      <c r="S64" s="673"/>
      <c r="T64" s="673"/>
      <c r="U64" s="673"/>
      <c r="V64" s="674"/>
      <c r="W64" s="673"/>
      <c r="X64" s="673"/>
      <c r="Y64" s="673"/>
      <c r="Z64" s="673"/>
      <c r="AA64" s="675"/>
      <c r="AB64" s="673"/>
      <c r="AC64" s="673"/>
      <c r="AD64" s="674"/>
      <c r="AE64" s="673"/>
      <c r="AF64" s="673"/>
      <c r="AG64" s="673"/>
      <c r="AH64" s="673"/>
      <c r="AI64" s="675"/>
      <c r="AJ64" s="673"/>
      <c r="AK64" s="673"/>
      <c r="AL64" s="674"/>
      <c r="AM64" s="673"/>
    </row>
    <row r="65" spans="7:39">
      <c r="G65" s="673"/>
      <c r="H65" s="673"/>
      <c r="I65" s="673"/>
      <c r="J65" s="673"/>
      <c r="K65" s="673"/>
      <c r="L65" s="673"/>
      <c r="M65" s="673"/>
      <c r="N65" s="674"/>
      <c r="O65" s="673"/>
      <c r="P65" s="673"/>
      <c r="Q65" s="673"/>
      <c r="R65" s="673"/>
      <c r="S65" s="673"/>
      <c r="T65" s="673"/>
      <c r="U65" s="673"/>
      <c r="V65" s="674"/>
      <c r="W65" s="673"/>
      <c r="X65" s="673"/>
      <c r="Y65" s="673"/>
      <c r="Z65" s="673"/>
      <c r="AA65" s="675"/>
      <c r="AB65" s="673"/>
      <c r="AC65" s="673"/>
      <c r="AD65" s="674"/>
      <c r="AE65" s="673"/>
      <c r="AF65" s="673"/>
      <c r="AG65" s="673"/>
      <c r="AH65" s="673"/>
      <c r="AI65" s="675"/>
      <c r="AJ65" s="673"/>
      <c r="AK65" s="673"/>
      <c r="AL65" s="674"/>
      <c r="AM65" s="673"/>
    </row>
    <row r="66" spans="7:39">
      <c r="G66" s="673"/>
      <c r="H66" s="673"/>
      <c r="I66" s="673"/>
      <c r="J66" s="673"/>
      <c r="K66" s="673"/>
      <c r="L66" s="673"/>
      <c r="M66" s="673"/>
      <c r="N66" s="674"/>
      <c r="O66" s="673"/>
      <c r="P66" s="673"/>
      <c r="Q66" s="673"/>
      <c r="R66" s="673"/>
      <c r="S66" s="673"/>
      <c r="T66" s="673"/>
      <c r="U66" s="673"/>
      <c r="V66" s="674"/>
      <c r="W66" s="673"/>
      <c r="X66" s="673"/>
      <c r="Y66" s="673"/>
      <c r="Z66" s="673"/>
      <c r="AA66" s="675"/>
      <c r="AB66" s="673"/>
      <c r="AC66" s="673"/>
      <c r="AD66" s="674"/>
      <c r="AE66" s="673"/>
      <c r="AF66" s="673"/>
      <c r="AG66" s="673"/>
      <c r="AH66" s="673"/>
      <c r="AI66" s="675"/>
      <c r="AJ66" s="673"/>
      <c r="AK66" s="673"/>
      <c r="AL66" s="674"/>
      <c r="AM66" s="673"/>
    </row>
    <row r="67" spans="7:39">
      <c r="G67" s="673"/>
      <c r="H67" s="673"/>
      <c r="I67" s="673"/>
      <c r="J67" s="673"/>
      <c r="K67" s="673"/>
      <c r="L67" s="673"/>
      <c r="M67" s="673"/>
      <c r="N67" s="674"/>
      <c r="O67" s="673"/>
      <c r="P67" s="673"/>
      <c r="Q67" s="673"/>
      <c r="R67" s="673"/>
      <c r="S67" s="673"/>
      <c r="T67" s="673"/>
      <c r="U67" s="673"/>
      <c r="V67" s="674"/>
      <c r="W67" s="673"/>
      <c r="X67" s="673"/>
      <c r="Y67" s="673"/>
      <c r="Z67" s="673"/>
      <c r="AA67" s="675"/>
      <c r="AB67" s="675"/>
      <c r="AC67" s="673"/>
      <c r="AD67" s="674"/>
      <c r="AE67" s="673"/>
      <c r="AF67" s="673"/>
      <c r="AG67" s="673"/>
      <c r="AH67" s="673"/>
      <c r="AI67" s="675"/>
      <c r="AJ67" s="675"/>
      <c r="AK67" s="673"/>
      <c r="AL67" s="674"/>
      <c r="AM67" s="673"/>
    </row>
    <row r="68" spans="7:39">
      <c r="G68" s="673"/>
      <c r="H68" s="673"/>
      <c r="I68" s="673"/>
      <c r="J68" s="673"/>
      <c r="K68" s="673"/>
      <c r="L68" s="673"/>
      <c r="M68" s="673"/>
      <c r="N68" s="674"/>
      <c r="O68" s="673"/>
      <c r="P68" s="673"/>
      <c r="Q68" s="673"/>
      <c r="R68" s="673"/>
      <c r="S68" s="673"/>
      <c r="T68" s="673"/>
      <c r="U68" s="673"/>
      <c r="V68" s="674"/>
      <c r="W68" s="673"/>
      <c r="X68" s="673"/>
      <c r="Y68" s="673"/>
      <c r="Z68" s="673"/>
      <c r="AA68" s="673"/>
      <c r="AB68" s="673"/>
      <c r="AC68" s="673"/>
      <c r="AD68" s="674"/>
      <c r="AE68" s="673"/>
      <c r="AF68" s="673"/>
      <c r="AG68" s="673"/>
      <c r="AH68" s="673"/>
      <c r="AI68" s="673"/>
      <c r="AJ68" s="673"/>
      <c r="AK68" s="673"/>
      <c r="AL68" s="674"/>
      <c r="AM68" s="673"/>
    </row>
    <row r="69" spans="7:39">
      <c r="G69" s="673"/>
      <c r="H69" s="673"/>
      <c r="I69" s="673"/>
      <c r="J69" s="673"/>
      <c r="K69" s="673"/>
      <c r="L69" s="673"/>
      <c r="M69" s="673"/>
      <c r="N69" s="674"/>
      <c r="O69" s="673"/>
      <c r="P69" s="673"/>
      <c r="Q69" s="673"/>
      <c r="R69" s="673"/>
      <c r="S69" s="673"/>
      <c r="T69" s="673"/>
      <c r="U69" s="673"/>
      <c r="V69" s="674"/>
      <c r="W69" s="673"/>
      <c r="X69" s="673"/>
      <c r="Y69" s="673"/>
      <c r="Z69" s="673"/>
      <c r="AA69" s="673"/>
      <c r="AB69" s="673"/>
      <c r="AC69" s="673"/>
      <c r="AD69" s="674"/>
      <c r="AE69" s="673"/>
      <c r="AF69" s="673"/>
      <c r="AG69" s="673"/>
      <c r="AH69" s="673"/>
      <c r="AI69" s="673"/>
      <c r="AJ69" s="673"/>
      <c r="AK69" s="673"/>
      <c r="AL69" s="674"/>
      <c r="AM69" s="673"/>
    </row>
    <row r="70" spans="7:39">
      <c r="G70" s="673"/>
      <c r="H70" s="673"/>
      <c r="I70" s="673"/>
      <c r="J70" s="673"/>
      <c r="K70" s="673"/>
      <c r="L70" s="673"/>
      <c r="M70" s="673"/>
      <c r="N70" s="674"/>
      <c r="O70" s="673"/>
      <c r="P70" s="673"/>
      <c r="Q70" s="673"/>
      <c r="R70" s="673"/>
      <c r="S70" s="673"/>
      <c r="T70" s="673"/>
      <c r="U70" s="673"/>
      <c r="V70" s="674"/>
      <c r="W70" s="673"/>
      <c r="X70" s="673"/>
      <c r="Y70" s="673"/>
      <c r="Z70" s="673"/>
      <c r="AA70" s="673"/>
      <c r="AB70" s="673"/>
      <c r="AC70" s="673"/>
      <c r="AD70" s="674"/>
      <c r="AE70" s="673"/>
      <c r="AF70" s="673"/>
      <c r="AG70" s="673"/>
      <c r="AH70" s="673"/>
      <c r="AI70" s="673"/>
      <c r="AJ70" s="673"/>
      <c r="AK70" s="673"/>
      <c r="AL70" s="674"/>
      <c r="AM70" s="673"/>
    </row>
    <row r="71" spans="7:39">
      <c r="G71" s="673"/>
      <c r="H71" s="673"/>
      <c r="I71" s="673"/>
      <c r="J71" s="673"/>
      <c r="K71" s="673"/>
      <c r="L71" s="673"/>
      <c r="M71" s="673"/>
      <c r="N71" s="674"/>
      <c r="O71" s="673"/>
      <c r="P71" s="673"/>
      <c r="Q71" s="673"/>
      <c r="R71" s="673"/>
      <c r="S71" s="673"/>
      <c r="T71" s="673"/>
      <c r="U71" s="673"/>
      <c r="V71" s="674"/>
      <c r="W71" s="673"/>
      <c r="X71" s="673"/>
      <c r="Y71" s="673"/>
      <c r="Z71" s="673"/>
      <c r="AA71" s="673"/>
      <c r="AB71" s="673"/>
      <c r="AC71" s="673"/>
      <c r="AD71" s="674"/>
      <c r="AE71" s="673"/>
      <c r="AF71" s="673"/>
      <c r="AG71" s="673"/>
      <c r="AH71" s="673"/>
      <c r="AI71" s="673"/>
      <c r="AJ71" s="673"/>
      <c r="AK71" s="673"/>
      <c r="AL71" s="674"/>
      <c r="AM71" s="673"/>
    </row>
    <row r="72" spans="7:39">
      <c r="G72" s="673"/>
      <c r="H72" s="673"/>
      <c r="I72" s="673"/>
      <c r="J72" s="673"/>
      <c r="K72" s="673"/>
      <c r="L72" s="673"/>
      <c r="M72" s="673"/>
      <c r="N72" s="674"/>
      <c r="O72" s="673"/>
      <c r="P72" s="673"/>
      <c r="Q72" s="673"/>
      <c r="R72" s="673"/>
      <c r="S72" s="673"/>
      <c r="T72" s="673"/>
      <c r="U72" s="673"/>
      <c r="V72" s="674"/>
      <c r="W72" s="673"/>
      <c r="X72" s="673"/>
      <c r="Y72" s="673"/>
      <c r="Z72" s="675"/>
      <c r="AA72" s="675"/>
      <c r="AB72" s="673"/>
      <c r="AC72" s="673"/>
      <c r="AD72" s="674"/>
      <c r="AE72" s="673"/>
      <c r="AF72" s="673"/>
      <c r="AG72" s="673"/>
      <c r="AH72" s="675"/>
      <c r="AI72" s="675"/>
      <c r="AJ72" s="673"/>
      <c r="AK72" s="673"/>
      <c r="AL72" s="674"/>
      <c r="AM72" s="673"/>
    </row>
    <row r="73" spans="7:39">
      <c r="G73" s="673"/>
      <c r="H73" s="673"/>
      <c r="I73" s="673"/>
      <c r="J73" s="673"/>
      <c r="K73" s="673"/>
      <c r="L73" s="673"/>
      <c r="M73" s="673"/>
      <c r="N73" s="674"/>
      <c r="O73" s="673"/>
      <c r="P73" s="673"/>
      <c r="Q73" s="673"/>
      <c r="R73" s="673"/>
      <c r="S73" s="673"/>
      <c r="T73" s="673"/>
      <c r="U73" s="673"/>
      <c r="V73" s="674"/>
      <c r="W73" s="673"/>
      <c r="X73" s="673"/>
      <c r="Y73" s="673"/>
      <c r="Z73" s="675"/>
      <c r="AA73" s="675"/>
      <c r="AB73" s="673"/>
      <c r="AC73" s="673"/>
      <c r="AD73" s="674"/>
      <c r="AE73" s="673"/>
      <c r="AF73" s="673"/>
      <c r="AG73" s="673"/>
      <c r="AH73" s="675"/>
      <c r="AI73" s="675"/>
      <c r="AJ73" s="673"/>
      <c r="AK73" s="673"/>
      <c r="AL73" s="674"/>
      <c r="AM73" s="673"/>
    </row>
    <row r="74" spans="7:39">
      <c r="G74" s="673"/>
      <c r="H74" s="673"/>
      <c r="I74" s="673"/>
      <c r="J74" s="673"/>
      <c r="K74" s="673"/>
      <c r="L74" s="673"/>
      <c r="M74" s="673"/>
      <c r="N74" s="674"/>
      <c r="O74" s="673"/>
      <c r="P74" s="673"/>
      <c r="Q74" s="673"/>
      <c r="R74" s="673"/>
      <c r="S74" s="673"/>
      <c r="T74" s="673"/>
      <c r="U74" s="673"/>
      <c r="V74" s="674"/>
      <c r="W74" s="673"/>
      <c r="X74" s="673"/>
      <c r="Y74" s="673"/>
      <c r="Z74" s="675"/>
      <c r="AA74" s="675"/>
      <c r="AB74" s="673"/>
      <c r="AC74" s="673"/>
      <c r="AD74" s="674"/>
      <c r="AE74" s="673"/>
      <c r="AF74" s="673"/>
      <c r="AG74" s="673"/>
      <c r="AH74" s="675"/>
      <c r="AI74" s="675"/>
      <c r="AJ74" s="673"/>
      <c r="AK74" s="673"/>
      <c r="AL74" s="674"/>
      <c r="AM74" s="673"/>
    </row>
    <row r="75" spans="7:39">
      <c r="G75" s="673"/>
      <c r="H75" s="673"/>
      <c r="I75" s="673"/>
      <c r="J75" s="673"/>
      <c r="K75" s="673"/>
      <c r="L75" s="673"/>
      <c r="M75" s="673"/>
      <c r="N75" s="674"/>
      <c r="O75" s="673"/>
      <c r="P75" s="673"/>
      <c r="Q75" s="673"/>
      <c r="R75" s="673"/>
      <c r="S75" s="673"/>
      <c r="T75" s="673"/>
      <c r="U75" s="673"/>
      <c r="V75" s="674"/>
      <c r="W75" s="673"/>
      <c r="X75" s="673"/>
      <c r="Y75" s="673"/>
      <c r="Z75" s="675"/>
      <c r="AA75" s="675"/>
      <c r="AB75" s="673"/>
      <c r="AC75" s="673"/>
      <c r="AD75" s="674"/>
      <c r="AE75" s="673"/>
      <c r="AF75" s="673"/>
      <c r="AG75" s="673"/>
      <c r="AH75" s="675"/>
      <c r="AI75" s="675"/>
      <c r="AJ75" s="673"/>
      <c r="AK75" s="673"/>
      <c r="AL75" s="674"/>
      <c r="AM75" s="673"/>
    </row>
    <row r="76" spans="7:39">
      <c r="G76" s="673"/>
      <c r="H76" s="673"/>
      <c r="I76" s="673"/>
      <c r="J76" s="673"/>
      <c r="K76" s="673"/>
      <c r="L76" s="673"/>
      <c r="M76" s="673"/>
      <c r="N76" s="674"/>
      <c r="O76" s="673"/>
      <c r="P76" s="673"/>
      <c r="Q76" s="673"/>
      <c r="R76" s="673"/>
      <c r="S76" s="673"/>
      <c r="T76" s="673"/>
      <c r="U76" s="673"/>
      <c r="V76" s="674"/>
      <c r="W76" s="673"/>
      <c r="X76" s="673"/>
      <c r="Y76" s="673"/>
      <c r="Z76" s="673"/>
      <c r="AA76" s="675"/>
      <c r="AB76" s="673"/>
      <c r="AC76" s="673"/>
      <c r="AD76" s="674"/>
      <c r="AE76" s="673"/>
      <c r="AF76" s="673"/>
      <c r="AG76" s="673"/>
      <c r="AH76" s="673"/>
      <c r="AI76" s="675"/>
      <c r="AJ76" s="673"/>
      <c r="AK76" s="673"/>
      <c r="AL76" s="674"/>
      <c r="AM76" s="673"/>
    </row>
    <row r="77" spans="7:39">
      <c r="G77" s="673"/>
      <c r="H77" s="673"/>
      <c r="I77" s="673"/>
      <c r="J77" s="673"/>
      <c r="K77" s="673"/>
      <c r="L77" s="673"/>
      <c r="M77" s="673"/>
      <c r="N77" s="674"/>
      <c r="O77" s="673"/>
      <c r="P77" s="673"/>
      <c r="Q77" s="673"/>
      <c r="R77" s="673"/>
      <c r="S77" s="673"/>
      <c r="T77" s="673"/>
      <c r="U77" s="673"/>
      <c r="V77" s="674"/>
      <c r="W77" s="673"/>
      <c r="X77" s="673"/>
      <c r="Y77" s="673"/>
      <c r="Z77" s="675"/>
      <c r="AA77" s="675"/>
      <c r="AB77" s="673"/>
      <c r="AC77" s="673"/>
      <c r="AD77" s="674"/>
      <c r="AE77" s="673"/>
      <c r="AF77" s="673"/>
      <c r="AG77" s="673"/>
      <c r="AH77" s="675"/>
      <c r="AI77" s="675"/>
      <c r="AJ77" s="673"/>
      <c r="AK77" s="673"/>
      <c r="AL77" s="674"/>
      <c r="AM77" s="673"/>
    </row>
    <row r="78" spans="7:39">
      <c r="G78" s="673"/>
      <c r="H78" s="673"/>
      <c r="I78" s="673"/>
      <c r="J78" s="673"/>
      <c r="K78" s="673"/>
      <c r="L78" s="673"/>
      <c r="M78" s="673"/>
      <c r="N78" s="674"/>
      <c r="O78" s="673"/>
      <c r="P78" s="673"/>
      <c r="Q78" s="673"/>
      <c r="R78" s="673"/>
      <c r="S78" s="673"/>
      <c r="T78" s="673"/>
      <c r="U78" s="673"/>
      <c r="V78" s="674"/>
      <c r="W78" s="673"/>
      <c r="X78" s="673"/>
      <c r="Y78" s="673"/>
      <c r="Z78" s="675"/>
      <c r="AA78" s="675"/>
      <c r="AB78" s="673"/>
      <c r="AC78" s="673"/>
      <c r="AD78" s="674"/>
      <c r="AE78" s="673"/>
      <c r="AF78" s="673"/>
      <c r="AG78" s="673"/>
      <c r="AH78" s="675"/>
      <c r="AI78" s="675"/>
      <c r="AJ78" s="673"/>
      <c r="AK78" s="673"/>
      <c r="AL78" s="674"/>
      <c r="AM78" s="673"/>
    </row>
    <row r="79" spans="7:39">
      <c r="G79" s="673"/>
      <c r="H79" s="673"/>
      <c r="I79" s="673"/>
      <c r="J79" s="673"/>
      <c r="K79" s="673"/>
      <c r="L79" s="673"/>
      <c r="M79" s="673"/>
      <c r="N79" s="674"/>
      <c r="O79" s="673"/>
      <c r="P79" s="673"/>
      <c r="Q79" s="673"/>
      <c r="R79" s="673"/>
      <c r="S79" s="673"/>
      <c r="T79" s="673"/>
      <c r="U79" s="673"/>
      <c r="V79" s="674"/>
      <c r="W79" s="673"/>
      <c r="X79" s="673"/>
      <c r="Y79" s="673"/>
      <c r="Z79" s="673"/>
      <c r="AA79" s="675"/>
      <c r="AB79" s="673"/>
      <c r="AC79" s="673"/>
      <c r="AD79" s="674"/>
      <c r="AE79" s="673"/>
      <c r="AF79" s="673"/>
      <c r="AG79" s="673"/>
      <c r="AH79" s="673"/>
      <c r="AI79" s="675"/>
      <c r="AJ79" s="673"/>
      <c r="AK79" s="673"/>
      <c r="AL79" s="674"/>
      <c r="AM79" s="673"/>
    </row>
    <row r="80" spans="7:39">
      <c r="G80" s="673"/>
      <c r="H80" s="673"/>
      <c r="I80" s="673"/>
      <c r="J80" s="673"/>
      <c r="K80" s="673"/>
      <c r="L80" s="673"/>
      <c r="M80" s="673"/>
      <c r="N80" s="674"/>
      <c r="O80" s="673"/>
      <c r="P80" s="673"/>
      <c r="Q80" s="673"/>
      <c r="R80" s="673"/>
      <c r="S80" s="673"/>
      <c r="T80" s="673"/>
      <c r="U80" s="673"/>
      <c r="V80" s="674"/>
      <c r="W80" s="673"/>
      <c r="X80" s="673"/>
      <c r="Y80" s="673"/>
      <c r="Z80" s="673"/>
      <c r="AA80" s="675"/>
      <c r="AB80" s="675"/>
      <c r="AC80" s="673"/>
      <c r="AD80" s="674"/>
      <c r="AE80" s="673"/>
      <c r="AF80" s="673"/>
      <c r="AG80" s="673"/>
      <c r="AH80" s="673"/>
      <c r="AI80" s="675"/>
      <c r="AJ80" s="675"/>
      <c r="AK80" s="673"/>
      <c r="AL80" s="674"/>
      <c r="AM80" s="673"/>
    </row>
    <row r="81" spans="7:39">
      <c r="G81" s="673"/>
      <c r="H81" s="673"/>
      <c r="I81" s="673"/>
      <c r="J81" s="673"/>
      <c r="K81" s="673"/>
      <c r="L81" s="673"/>
      <c r="M81" s="673"/>
      <c r="N81" s="674"/>
      <c r="O81" s="673"/>
      <c r="P81" s="673"/>
      <c r="Q81" s="673"/>
      <c r="R81" s="673"/>
      <c r="S81" s="673"/>
      <c r="T81" s="673"/>
      <c r="U81" s="673"/>
      <c r="V81" s="674"/>
      <c r="W81" s="673"/>
      <c r="X81" s="673"/>
      <c r="Y81" s="673"/>
      <c r="Z81" s="673"/>
      <c r="AA81" s="673"/>
      <c r="AB81" s="673"/>
      <c r="AC81" s="673"/>
      <c r="AD81" s="674"/>
      <c r="AE81" s="673"/>
      <c r="AF81" s="673"/>
      <c r="AG81" s="673"/>
      <c r="AH81" s="673"/>
      <c r="AI81" s="673"/>
      <c r="AJ81" s="673"/>
      <c r="AK81" s="673"/>
      <c r="AL81" s="674"/>
      <c r="AM81" s="673"/>
    </row>
    <row r="82" spans="7:39">
      <c r="G82" s="673"/>
      <c r="H82" s="673"/>
      <c r="I82" s="673"/>
      <c r="J82" s="673"/>
      <c r="K82" s="673"/>
      <c r="L82" s="673"/>
      <c r="M82" s="673"/>
      <c r="N82" s="674"/>
      <c r="O82" s="673"/>
      <c r="P82" s="673"/>
      <c r="Q82" s="673"/>
      <c r="R82" s="673"/>
      <c r="S82" s="673"/>
      <c r="T82" s="673"/>
      <c r="U82" s="673"/>
      <c r="V82" s="674"/>
      <c r="W82" s="673"/>
      <c r="X82" s="673"/>
      <c r="Y82" s="673"/>
      <c r="Z82" s="673"/>
      <c r="AA82" s="673"/>
      <c r="AB82" s="673"/>
      <c r="AC82" s="673"/>
      <c r="AD82" s="674"/>
      <c r="AE82" s="673"/>
      <c r="AF82" s="673"/>
      <c r="AG82" s="673"/>
      <c r="AH82" s="673"/>
      <c r="AI82" s="673"/>
      <c r="AJ82" s="673"/>
      <c r="AK82" s="673"/>
      <c r="AL82" s="674"/>
      <c r="AM82" s="673"/>
    </row>
    <row r="83" spans="7:39">
      <c r="G83" s="673"/>
      <c r="H83" s="673"/>
      <c r="I83" s="673"/>
      <c r="J83" s="673"/>
      <c r="K83" s="673"/>
      <c r="L83" s="673"/>
      <c r="M83" s="673"/>
      <c r="N83" s="674"/>
      <c r="O83" s="673"/>
      <c r="P83" s="673"/>
      <c r="Q83" s="673"/>
      <c r="R83" s="673"/>
      <c r="S83" s="673"/>
      <c r="T83" s="673"/>
      <c r="U83" s="673"/>
      <c r="V83" s="674"/>
      <c r="W83" s="673"/>
      <c r="X83" s="673"/>
      <c r="Y83" s="673"/>
      <c r="Z83" s="675"/>
      <c r="AA83" s="673"/>
      <c r="AB83" s="673"/>
      <c r="AC83" s="673"/>
      <c r="AD83" s="674"/>
      <c r="AE83" s="673"/>
      <c r="AF83" s="673"/>
      <c r="AG83" s="673"/>
      <c r="AH83" s="675"/>
      <c r="AI83" s="673"/>
      <c r="AJ83" s="673"/>
      <c r="AK83" s="673"/>
      <c r="AL83" s="674"/>
      <c r="AM83" s="673"/>
    </row>
    <row r="84" spans="7:39">
      <c r="G84" s="673"/>
      <c r="H84" s="673"/>
      <c r="I84" s="673"/>
      <c r="J84" s="673"/>
      <c r="K84" s="673"/>
      <c r="L84" s="673"/>
      <c r="M84" s="673"/>
      <c r="N84" s="674"/>
      <c r="O84" s="673"/>
      <c r="P84" s="673"/>
      <c r="Q84" s="673"/>
      <c r="R84" s="673"/>
      <c r="S84" s="673"/>
      <c r="T84" s="673"/>
      <c r="U84" s="673"/>
      <c r="V84" s="674"/>
      <c r="W84" s="673"/>
      <c r="X84" s="673"/>
      <c r="Y84" s="673"/>
      <c r="Z84" s="675"/>
      <c r="AA84" s="675"/>
      <c r="AB84" s="673"/>
      <c r="AC84" s="673"/>
      <c r="AD84" s="674"/>
      <c r="AE84" s="673"/>
      <c r="AF84" s="673"/>
      <c r="AG84" s="673"/>
      <c r="AH84" s="675"/>
      <c r="AI84" s="675"/>
      <c r="AJ84" s="673"/>
      <c r="AK84" s="673"/>
      <c r="AL84" s="674"/>
      <c r="AM84" s="673"/>
    </row>
    <row r="85" spans="7:39">
      <c r="G85" s="673"/>
      <c r="H85" s="673"/>
      <c r="I85" s="673"/>
      <c r="J85" s="673"/>
      <c r="K85" s="673"/>
      <c r="L85" s="673"/>
      <c r="M85" s="673"/>
      <c r="N85" s="674"/>
      <c r="O85" s="673"/>
      <c r="P85" s="673"/>
      <c r="Q85" s="673"/>
      <c r="R85" s="673"/>
      <c r="S85" s="673"/>
      <c r="T85" s="673"/>
      <c r="U85" s="673"/>
      <c r="V85" s="674"/>
      <c r="W85" s="673"/>
      <c r="X85" s="673"/>
      <c r="Y85" s="673"/>
      <c r="Z85" s="675"/>
      <c r="AA85" s="675"/>
      <c r="AB85" s="673"/>
      <c r="AC85" s="673"/>
      <c r="AD85" s="674"/>
      <c r="AE85" s="673"/>
      <c r="AF85" s="673"/>
      <c r="AG85" s="673"/>
      <c r="AH85" s="675"/>
      <c r="AI85" s="675"/>
      <c r="AJ85" s="673"/>
      <c r="AK85" s="673"/>
      <c r="AL85" s="674"/>
      <c r="AM85" s="673"/>
    </row>
    <row r="86" spans="7:39">
      <c r="G86" s="673"/>
      <c r="H86" s="673"/>
      <c r="I86" s="673"/>
      <c r="J86" s="673"/>
      <c r="K86" s="673"/>
      <c r="L86" s="673"/>
      <c r="M86" s="673"/>
      <c r="N86" s="674"/>
      <c r="O86" s="673"/>
      <c r="P86" s="673"/>
      <c r="Q86" s="673"/>
      <c r="R86" s="673"/>
      <c r="S86" s="673"/>
      <c r="T86" s="673"/>
      <c r="U86" s="673"/>
      <c r="V86" s="674"/>
      <c r="W86" s="673"/>
      <c r="X86" s="673"/>
      <c r="Y86" s="673"/>
      <c r="Z86" s="675"/>
      <c r="AA86" s="675"/>
      <c r="AB86" s="673"/>
      <c r="AC86" s="673"/>
      <c r="AD86" s="674"/>
      <c r="AE86" s="673"/>
      <c r="AF86" s="673"/>
      <c r="AG86" s="673"/>
      <c r="AH86" s="675"/>
      <c r="AI86" s="675"/>
      <c r="AJ86" s="673"/>
      <c r="AK86" s="673"/>
      <c r="AL86" s="674"/>
      <c r="AM86" s="673"/>
    </row>
    <row r="87" spans="7:39">
      <c r="G87" s="673"/>
      <c r="H87" s="673"/>
      <c r="I87" s="673"/>
      <c r="J87" s="673"/>
      <c r="K87" s="673"/>
      <c r="L87" s="673"/>
      <c r="M87" s="673"/>
      <c r="N87" s="674"/>
      <c r="O87" s="673"/>
      <c r="P87" s="673"/>
      <c r="Q87" s="673"/>
      <c r="R87" s="673"/>
      <c r="S87" s="673"/>
      <c r="T87" s="673"/>
      <c r="U87" s="673"/>
      <c r="V87" s="674"/>
      <c r="W87" s="673"/>
      <c r="X87" s="673"/>
      <c r="Y87" s="673"/>
      <c r="Z87" s="675"/>
      <c r="AA87" s="675"/>
      <c r="AB87" s="673"/>
      <c r="AC87" s="673"/>
      <c r="AD87" s="674"/>
      <c r="AE87" s="673"/>
      <c r="AF87" s="673"/>
      <c r="AG87" s="673"/>
      <c r="AH87" s="675"/>
      <c r="AI87" s="675"/>
      <c r="AJ87" s="673"/>
      <c r="AK87" s="673"/>
      <c r="AL87" s="674"/>
      <c r="AM87" s="673"/>
    </row>
    <row r="88" spans="7:39">
      <c r="G88" s="673"/>
      <c r="H88" s="673"/>
      <c r="I88" s="673"/>
      <c r="J88" s="673"/>
      <c r="K88" s="673"/>
      <c r="L88" s="673"/>
      <c r="M88" s="673"/>
      <c r="N88" s="674"/>
      <c r="O88" s="673"/>
      <c r="P88" s="673"/>
      <c r="Q88" s="673"/>
      <c r="R88" s="673"/>
      <c r="S88" s="673"/>
      <c r="T88" s="673"/>
      <c r="U88" s="673"/>
      <c r="V88" s="674"/>
      <c r="W88" s="673"/>
      <c r="X88" s="673"/>
      <c r="Y88" s="673"/>
      <c r="Z88" s="673"/>
      <c r="AA88" s="673"/>
      <c r="AB88" s="673"/>
      <c r="AC88" s="673"/>
      <c r="AD88" s="674"/>
      <c r="AE88" s="673"/>
      <c r="AF88" s="673"/>
      <c r="AG88" s="673"/>
      <c r="AH88" s="673"/>
      <c r="AI88" s="673"/>
      <c r="AJ88" s="673"/>
      <c r="AK88" s="673"/>
      <c r="AL88" s="674"/>
      <c r="AM88" s="673"/>
    </row>
    <row r="89" spans="7:39">
      <c r="G89" s="673"/>
      <c r="H89" s="673"/>
      <c r="I89" s="673"/>
      <c r="J89" s="673"/>
      <c r="K89" s="673"/>
      <c r="L89" s="673"/>
      <c r="M89" s="673"/>
      <c r="N89" s="674"/>
      <c r="O89" s="673"/>
      <c r="P89" s="673"/>
      <c r="Q89" s="673"/>
      <c r="R89" s="673"/>
      <c r="S89" s="673"/>
      <c r="T89" s="673"/>
      <c r="U89" s="673"/>
      <c r="V89" s="674"/>
      <c r="W89" s="673"/>
      <c r="X89" s="673"/>
      <c r="Y89" s="673"/>
      <c r="Z89" s="675"/>
      <c r="AA89" s="675"/>
      <c r="AB89" s="675"/>
      <c r="AC89" s="673"/>
      <c r="AD89" s="674"/>
      <c r="AE89" s="673"/>
      <c r="AF89" s="673"/>
      <c r="AG89" s="673"/>
      <c r="AH89" s="675"/>
      <c r="AI89" s="675"/>
      <c r="AJ89" s="675"/>
      <c r="AK89" s="673"/>
      <c r="AL89" s="674"/>
      <c r="AM89" s="673"/>
    </row>
    <row r="90" spans="7:39">
      <c r="G90" s="673"/>
      <c r="H90" s="673"/>
      <c r="I90" s="673"/>
      <c r="J90" s="673"/>
      <c r="K90" s="673"/>
      <c r="L90" s="673"/>
      <c r="M90" s="673"/>
      <c r="N90" s="674"/>
      <c r="O90" s="673"/>
      <c r="P90" s="673"/>
      <c r="Q90" s="673"/>
      <c r="R90" s="673"/>
      <c r="S90" s="673"/>
      <c r="T90" s="673"/>
      <c r="U90" s="673"/>
      <c r="V90" s="674"/>
      <c r="W90" s="673"/>
      <c r="X90" s="673"/>
      <c r="Y90" s="673"/>
      <c r="Z90" s="675"/>
      <c r="AA90" s="675"/>
      <c r="AB90" s="673"/>
      <c r="AC90" s="673"/>
      <c r="AD90" s="674"/>
      <c r="AE90" s="673"/>
      <c r="AF90" s="673"/>
      <c r="AG90" s="673"/>
      <c r="AH90" s="675"/>
      <c r="AI90" s="675"/>
      <c r="AJ90" s="673"/>
      <c r="AK90" s="673"/>
      <c r="AL90" s="674"/>
      <c r="AM90" s="673"/>
    </row>
    <row r="91" spans="7:39">
      <c r="Z91" s="671"/>
      <c r="AH91" s="671"/>
    </row>
    <row r="93" spans="7:39">
      <c r="X93" s="603"/>
      <c r="AF93" s="603"/>
    </row>
    <row r="94" spans="7:39">
      <c r="Z94" s="671"/>
      <c r="AA94" s="671"/>
      <c r="AH94" s="671"/>
      <c r="AI94" s="671"/>
    </row>
    <row r="95" spans="7:39">
      <c r="Z95" s="671"/>
      <c r="AA95" s="671"/>
      <c r="AH95" s="671"/>
      <c r="AI95" s="671"/>
    </row>
    <row r="96" spans="7:39">
      <c r="Z96" s="671"/>
      <c r="AA96" s="671"/>
      <c r="AH96" s="671"/>
      <c r="AI96" s="671"/>
    </row>
    <row r="97" spans="24:36">
      <c r="Z97" s="671"/>
      <c r="AA97" s="671"/>
      <c r="AH97" s="671"/>
      <c r="AI97" s="671"/>
    </row>
    <row r="100" spans="24:36">
      <c r="X100" s="603"/>
      <c r="Z100" s="671"/>
      <c r="AA100" s="671"/>
      <c r="AF100" s="603"/>
      <c r="AH100" s="671"/>
      <c r="AI100" s="671"/>
    </row>
    <row r="102" spans="24:36">
      <c r="Z102" s="671"/>
      <c r="AA102" s="671"/>
      <c r="AH102" s="671"/>
      <c r="AI102" s="671"/>
    </row>
    <row r="104" spans="24:36">
      <c r="Z104" s="671"/>
      <c r="AA104" s="671"/>
      <c r="AH104" s="671"/>
      <c r="AI104" s="671"/>
    </row>
    <row r="105" spans="24:36">
      <c r="Z105" s="671"/>
      <c r="AA105" s="671"/>
      <c r="AH105" s="671"/>
      <c r="AI105" s="671"/>
    </row>
    <row r="106" spans="24:36">
      <c r="Z106" s="671"/>
      <c r="AA106" s="671"/>
      <c r="AB106" s="672"/>
      <c r="AH106" s="671"/>
      <c r="AI106" s="671"/>
      <c r="AJ106" s="672"/>
    </row>
    <row r="108" spans="24:36">
      <c r="X108" s="670"/>
      <c r="Y108" s="670"/>
      <c r="Z108" s="670"/>
      <c r="AA108" s="670"/>
      <c r="AB108" s="672"/>
      <c r="AF108" s="670"/>
      <c r="AG108" s="670"/>
      <c r="AH108" s="670"/>
      <c r="AI108" s="670"/>
      <c r="AJ108" s="672"/>
    </row>
    <row r="109" spans="24:36">
      <c r="X109" s="670"/>
      <c r="Y109" s="670"/>
      <c r="Z109" s="670"/>
      <c r="AA109" s="670"/>
      <c r="AF109" s="670"/>
      <c r="AG109" s="670"/>
      <c r="AH109" s="670"/>
      <c r="AI109" s="670"/>
    </row>
    <row r="111" spans="24:36">
      <c r="AB111" s="672"/>
      <c r="AJ111" s="672"/>
    </row>
    <row r="112" spans="24:36">
      <c r="Z112" s="671"/>
      <c r="AA112" s="671"/>
      <c r="AH112" s="671"/>
      <c r="AI112" s="671"/>
    </row>
    <row r="115" spans="24:35">
      <c r="X115" s="670"/>
      <c r="Z115" s="671"/>
      <c r="AA115" s="671"/>
      <c r="AF115" s="670"/>
      <c r="AH115" s="671"/>
      <c r="AI115" s="671"/>
    </row>
    <row r="116" spans="24:35">
      <c r="Z116" s="671"/>
      <c r="AA116" s="671"/>
      <c r="AH116" s="671"/>
      <c r="AI116" s="671"/>
    </row>
    <row r="120" spans="24:35">
      <c r="X120" s="670"/>
      <c r="Y120" s="670"/>
      <c r="Z120" s="670"/>
      <c r="AA120" s="670"/>
      <c r="AF120" s="670"/>
      <c r="AG120" s="670"/>
      <c r="AH120" s="670"/>
      <c r="AI120" s="670"/>
    </row>
  </sheetData>
  <sheetProtection algorithmName="SHA-512" hashValue="dRHPAyWTSCTSk0XPWeSEYvPO04aCV/UMy/6rBuJ37o/rDv83qwfP6QFt6TUnwLqIaILC5Qtb9wDhxwpziPw90w==" saltValue="kkmC9YYj+K38vTd/OTpptQ==" spinCount="100000" sheet="1" formatCells="0" formatColumns="0" formatRows="0" insertColumns="0" insertRows="0" sort="0" autoFilter="0" pivotTables="0"/>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E1E32-3EAD-4FDD-B1B2-81986746A657}">
  <dimension ref="A1:AM120"/>
  <sheetViews>
    <sheetView zoomScaleNormal="100" workbookViewId="0">
      <selection sqref="A1:XFD1048576"/>
    </sheetView>
  </sheetViews>
  <sheetFormatPr defaultColWidth="9.109375" defaultRowHeight="15.6"/>
  <cols>
    <col min="1" max="1" width="3.5546875" style="2" customWidth="1"/>
    <col min="2" max="2" width="45.5546875" style="2" customWidth="1"/>
    <col min="3" max="3" width="21.88671875" style="583" customWidth="1"/>
    <col min="4" max="4" width="23.88671875" style="583" customWidth="1"/>
    <col min="5" max="5" width="12.109375" style="2" customWidth="1"/>
    <col min="6" max="6" width="1.5546875" style="3" customWidth="1"/>
    <col min="7" max="7" width="3.5546875" style="560" customWidth="1"/>
    <col min="8" max="12" width="17.5546875" style="560" customWidth="1"/>
    <col min="13" max="13" width="8.5546875" style="560" customWidth="1"/>
    <col min="14" max="14" width="1.5546875" style="561" customWidth="1"/>
    <col min="15" max="15" width="3.5546875" style="560" customWidth="1"/>
    <col min="16" max="20" width="17.44140625" style="560" customWidth="1"/>
    <col min="21" max="21" width="8.5546875" style="560" customWidth="1"/>
    <col min="22" max="22" width="1.5546875" style="561" customWidth="1"/>
    <col min="23" max="23" width="3.5546875" style="560" customWidth="1"/>
    <col min="24" max="28" width="18.33203125" style="560" customWidth="1"/>
    <col min="29" max="29" width="8.5546875" style="560" customWidth="1"/>
    <col min="30" max="30" width="1.5546875" style="561" customWidth="1"/>
    <col min="31" max="31" width="3.5546875" style="560" customWidth="1"/>
    <col min="32" max="36" width="17" style="560" customWidth="1"/>
    <col min="37" max="37" width="8.5546875" style="560" customWidth="1"/>
    <col min="38" max="38" width="1.5546875" style="561" customWidth="1"/>
    <col min="39" max="39" width="9.109375" style="560"/>
    <col min="40" max="16384" width="9.109375" style="4"/>
  </cols>
  <sheetData>
    <row r="1" spans="1:39">
      <c r="A1" s="1" t="s">
        <v>787</v>
      </c>
      <c r="G1" s="1" t="s">
        <v>787</v>
      </c>
      <c r="H1" s="687"/>
      <c r="I1" s="687"/>
      <c r="J1" s="687"/>
      <c r="K1" s="687"/>
      <c r="L1" s="687"/>
      <c r="M1" s="687"/>
      <c r="O1" s="1" t="s">
        <v>787</v>
      </c>
      <c r="P1" s="687"/>
      <c r="Q1" s="687"/>
      <c r="R1" s="687"/>
      <c r="S1" s="687"/>
      <c r="T1" s="687"/>
      <c r="U1" s="687"/>
      <c r="W1" s="1" t="s">
        <v>787</v>
      </c>
      <c r="X1" s="687"/>
      <c r="Y1" s="687"/>
      <c r="Z1" s="687"/>
      <c r="AA1" s="687"/>
      <c r="AB1" s="687"/>
      <c r="AC1" s="687"/>
      <c r="AE1" s="1" t="s">
        <v>787</v>
      </c>
      <c r="AF1" s="687"/>
      <c r="AG1" s="687"/>
      <c r="AH1" s="687"/>
      <c r="AI1" s="687"/>
      <c r="AJ1" s="687"/>
      <c r="AK1" s="687"/>
    </row>
    <row r="2" spans="1:39">
      <c r="A2" s="1" t="s">
        <v>732</v>
      </c>
      <c r="G2" s="1" t="s">
        <v>732</v>
      </c>
      <c r="H2" s="687"/>
      <c r="I2" s="687"/>
      <c r="J2" s="687"/>
      <c r="K2" s="687"/>
      <c r="L2" s="687"/>
      <c r="M2" s="687"/>
      <c r="O2" s="1" t="s">
        <v>732</v>
      </c>
      <c r="P2" s="687"/>
      <c r="Q2" s="687"/>
      <c r="R2" s="687"/>
      <c r="S2" s="687"/>
      <c r="T2" s="687"/>
      <c r="U2" s="687"/>
      <c r="W2" s="1" t="s">
        <v>732</v>
      </c>
      <c r="X2" s="687"/>
      <c r="Y2" s="687"/>
      <c r="Z2" s="687"/>
      <c r="AA2" s="687"/>
      <c r="AB2" s="687"/>
      <c r="AC2" s="687"/>
      <c r="AE2" s="1" t="s">
        <v>732</v>
      </c>
      <c r="AF2" s="687"/>
      <c r="AG2" s="687"/>
      <c r="AH2" s="687"/>
      <c r="AI2" s="687"/>
      <c r="AJ2" s="687"/>
      <c r="AK2" s="687"/>
    </row>
    <row r="3" spans="1:39">
      <c r="A3" s="1" t="s">
        <v>464</v>
      </c>
      <c r="G3" s="1" t="s">
        <v>464</v>
      </c>
      <c r="H3" s="687"/>
      <c r="I3" s="687"/>
      <c r="J3" s="687"/>
      <c r="K3" s="687"/>
      <c r="L3" s="687"/>
      <c r="M3" s="687"/>
      <c r="O3" s="1" t="s">
        <v>464</v>
      </c>
      <c r="P3" s="687"/>
      <c r="Q3" s="687"/>
      <c r="R3" s="687"/>
      <c r="S3" s="687"/>
      <c r="T3" s="687"/>
      <c r="U3" s="687"/>
      <c r="W3" s="1" t="s">
        <v>464</v>
      </c>
      <c r="X3" s="687"/>
      <c r="Y3" s="687"/>
      <c r="Z3" s="687"/>
      <c r="AA3" s="687"/>
      <c r="AB3" s="687"/>
      <c r="AC3" s="687"/>
      <c r="AE3" s="1" t="s">
        <v>464</v>
      </c>
      <c r="AF3" s="687"/>
      <c r="AG3" s="687"/>
      <c r="AH3" s="687"/>
      <c r="AI3" s="687"/>
      <c r="AJ3" s="687"/>
      <c r="AK3" s="687"/>
    </row>
    <row r="4" spans="1:39">
      <c r="G4" s="687"/>
      <c r="H4" s="687"/>
      <c r="I4" s="687"/>
      <c r="J4" s="687"/>
      <c r="K4" s="687"/>
      <c r="L4" s="687"/>
      <c r="M4" s="687"/>
      <c r="O4" s="687"/>
      <c r="P4" s="687"/>
      <c r="Q4" s="687"/>
      <c r="R4" s="687"/>
      <c r="S4" s="687"/>
      <c r="T4" s="687"/>
      <c r="U4" s="687"/>
      <c r="W4" s="687"/>
      <c r="X4" s="687"/>
      <c r="Y4" s="687"/>
      <c r="Z4" s="687"/>
      <c r="AA4" s="687"/>
      <c r="AB4" s="687"/>
      <c r="AC4" s="687"/>
      <c r="AE4" s="687"/>
      <c r="AF4" s="687"/>
      <c r="AG4" s="687"/>
      <c r="AH4" s="687"/>
      <c r="AI4" s="687"/>
      <c r="AJ4" s="687"/>
      <c r="AK4" s="687"/>
    </row>
    <row r="5" spans="1:39" ht="16.2">
      <c r="A5" s="6" t="s">
        <v>697</v>
      </c>
      <c r="G5" s="688" t="s">
        <v>696</v>
      </c>
      <c r="H5" s="687"/>
      <c r="I5" s="687"/>
      <c r="J5" s="687"/>
      <c r="K5" s="687"/>
      <c r="L5" s="687"/>
      <c r="M5" s="687"/>
      <c r="O5" s="688" t="s">
        <v>786</v>
      </c>
      <c r="P5" s="687"/>
      <c r="Q5" s="687"/>
      <c r="R5" s="687"/>
      <c r="S5" s="687"/>
      <c r="T5" s="687"/>
      <c r="U5" s="687"/>
      <c r="W5" s="688" t="s">
        <v>731</v>
      </c>
      <c r="X5" s="687"/>
      <c r="Y5" s="687"/>
      <c r="Z5" s="687"/>
      <c r="AA5" s="687"/>
      <c r="AB5" s="687"/>
      <c r="AC5" s="687"/>
      <c r="AE5" s="688" t="s">
        <v>785</v>
      </c>
      <c r="AF5" s="687"/>
      <c r="AG5" s="687"/>
      <c r="AH5" s="687"/>
      <c r="AI5" s="687"/>
      <c r="AJ5" s="687"/>
      <c r="AK5" s="687"/>
    </row>
    <row r="6" spans="1:39">
      <c r="G6" s="687"/>
      <c r="H6" s="687"/>
      <c r="I6" s="687"/>
      <c r="J6" s="687"/>
      <c r="K6" s="687"/>
      <c r="L6" s="687"/>
      <c r="M6" s="687"/>
      <c r="O6" s="687"/>
      <c r="P6" s="687"/>
      <c r="Q6" s="687"/>
      <c r="R6" s="687"/>
      <c r="S6" s="687"/>
      <c r="T6" s="687"/>
      <c r="U6" s="687"/>
      <c r="W6" s="687"/>
      <c r="X6" s="687"/>
      <c r="Y6" s="687"/>
      <c r="Z6" s="687"/>
      <c r="AA6" s="687"/>
      <c r="AB6" s="687"/>
      <c r="AC6" s="687"/>
      <c r="AE6" s="687"/>
      <c r="AF6" s="687"/>
      <c r="AG6" s="687"/>
      <c r="AH6" s="687"/>
      <c r="AI6" s="687"/>
      <c r="AJ6" s="687"/>
      <c r="AK6" s="687"/>
    </row>
    <row r="7" spans="1:39">
      <c r="B7" s="2" t="s">
        <v>784</v>
      </c>
      <c r="G7" s="687" t="s">
        <v>246</v>
      </c>
      <c r="H7" s="687" t="s">
        <v>783</v>
      </c>
      <c r="I7" s="687"/>
      <c r="J7" s="687"/>
      <c r="K7" s="687"/>
      <c r="L7" s="687"/>
      <c r="M7" s="687"/>
      <c r="O7" s="687" t="s">
        <v>6</v>
      </c>
      <c r="P7" s="687" t="s">
        <v>782</v>
      </c>
      <c r="Q7" s="687"/>
      <c r="R7" s="687"/>
      <c r="S7" s="687"/>
      <c r="T7" s="687"/>
      <c r="U7" s="687"/>
      <c r="W7" s="687" t="s">
        <v>256</v>
      </c>
      <c r="X7" s="687" t="s">
        <v>781</v>
      </c>
      <c r="Y7" s="687"/>
      <c r="Z7" s="687"/>
      <c r="AA7" s="687"/>
      <c r="AB7" s="687"/>
      <c r="AC7" s="687"/>
      <c r="AE7" s="687" t="s">
        <v>449</v>
      </c>
      <c r="AF7" s="687" t="s">
        <v>780</v>
      </c>
      <c r="AG7" s="687"/>
      <c r="AH7" s="687"/>
      <c r="AI7" s="687"/>
      <c r="AJ7" s="687"/>
      <c r="AK7" s="687"/>
    </row>
    <row r="8" spans="1:39">
      <c r="B8" s="2" t="s">
        <v>779</v>
      </c>
      <c r="G8" s="687"/>
      <c r="H8" s="687"/>
      <c r="I8" s="687"/>
      <c r="J8" s="687"/>
      <c r="K8" s="687"/>
      <c r="L8" s="687"/>
      <c r="M8" s="687"/>
      <c r="O8" s="687"/>
      <c r="P8" s="687"/>
      <c r="Q8" s="687"/>
      <c r="R8" s="687"/>
      <c r="S8" s="687"/>
      <c r="T8" s="687"/>
      <c r="U8" s="687"/>
      <c r="W8" s="687"/>
      <c r="X8" s="687" t="s">
        <v>778</v>
      </c>
      <c r="Y8" s="687"/>
      <c r="Z8" s="687"/>
      <c r="AA8" s="687"/>
      <c r="AB8" s="687"/>
      <c r="AC8" s="687"/>
      <c r="AE8" s="687"/>
      <c r="AF8" s="687" t="s">
        <v>777</v>
      </c>
      <c r="AG8" s="687"/>
      <c r="AH8" s="687"/>
      <c r="AI8" s="687"/>
      <c r="AJ8" s="687"/>
      <c r="AK8" s="687"/>
    </row>
    <row r="9" spans="1:39">
      <c r="G9" s="687"/>
      <c r="H9" s="687" t="s">
        <v>683</v>
      </c>
      <c r="I9" s="687"/>
      <c r="J9" s="687"/>
      <c r="K9" s="687"/>
      <c r="L9" s="687"/>
      <c r="M9" s="687"/>
      <c r="O9" s="687"/>
      <c r="P9" s="687" t="s">
        <v>683</v>
      </c>
      <c r="Q9" s="687"/>
      <c r="R9" s="687"/>
      <c r="S9" s="687"/>
      <c r="T9" s="687"/>
      <c r="U9" s="687"/>
      <c r="W9" s="687"/>
      <c r="X9" s="687" t="s">
        <v>776</v>
      </c>
      <c r="Y9" s="687"/>
      <c r="Z9" s="687"/>
      <c r="AA9" s="687"/>
      <c r="AB9" s="687"/>
      <c r="AC9" s="687"/>
      <c r="AE9" s="687"/>
      <c r="AF9" s="687"/>
      <c r="AG9" s="687"/>
      <c r="AH9" s="687"/>
      <c r="AI9" s="687"/>
      <c r="AJ9" s="687"/>
      <c r="AK9" s="687"/>
    </row>
    <row r="10" spans="1:39">
      <c r="B10" s="2" t="s">
        <v>775</v>
      </c>
      <c r="G10" s="687"/>
      <c r="H10" s="687"/>
      <c r="I10" s="687"/>
      <c r="J10" s="687"/>
      <c r="K10" s="687"/>
      <c r="L10" s="687"/>
      <c r="M10" s="687"/>
      <c r="O10" s="687"/>
      <c r="P10" s="687"/>
      <c r="Q10" s="687"/>
      <c r="R10" s="687"/>
      <c r="S10" s="687"/>
      <c r="T10" s="687"/>
      <c r="U10" s="687"/>
      <c r="W10" s="687"/>
      <c r="X10" s="687" t="s">
        <v>1660</v>
      </c>
      <c r="Y10" s="687"/>
      <c r="Z10" s="687"/>
      <c r="AA10" s="687"/>
      <c r="AB10" s="687"/>
      <c r="AC10" s="687"/>
      <c r="AE10" s="687"/>
      <c r="AF10" s="687" t="s">
        <v>683</v>
      </c>
      <c r="AG10" s="687"/>
      <c r="AH10" s="687"/>
      <c r="AI10" s="687"/>
      <c r="AJ10" s="687"/>
      <c r="AK10" s="687"/>
    </row>
    <row r="11" spans="1:39">
      <c r="G11" s="687"/>
      <c r="H11" s="687"/>
      <c r="I11" s="687"/>
      <c r="J11" s="687"/>
      <c r="K11" s="687"/>
      <c r="L11" s="687"/>
      <c r="M11" s="687"/>
      <c r="O11" s="687"/>
      <c r="P11" s="687"/>
      <c r="Q11" s="687"/>
      <c r="R11" s="687"/>
      <c r="S11" s="687"/>
      <c r="T11" s="687"/>
      <c r="U11" s="687"/>
      <c r="W11" s="687"/>
      <c r="X11" s="687"/>
      <c r="Y11" s="687"/>
      <c r="Z11" s="687"/>
      <c r="AA11" s="687"/>
      <c r="AB11" s="687"/>
      <c r="AC11" s="687"/>
      <c r="AE11" s="687"/>
      <c r="AF11" s="687"/>
      <c r="AG11" s="687"/>
      <c r="AH11" s="687"/>
      <c r="AI11" s="687"/>
      <c r="AJ11" s="687"/>
      <c r="AK11" s="687"/>
    </row>
    <row r="12" spans="1:39">
      <c r="B12" s="680"/>
      <c r="C12" s="679" t="s">
        <v>773</v>
      </c>
      <c r="D12" s="679" t="s">
        <v>772</v>
      </c>
      <c r="G12" s="687"/>
      <c r="H12" s="687"/>
      <c r="I12" s="687"/>
      <c r="J12" s="687"/>
      <c r="K12" s="687"/>
      <c r="L12" s="687"/>
      <c r="M12" s="687"/>
      <c r="O12" s="687"/>
      <c r="P12" s="687"/>
      <c r="Q12" s="687"/>
      <c r="R12" s="687"/>
      <c r="S12" s="687"/>
      <c r="T12" s="687"/>
      <c r="U12" s="687"/>
      <c r="W12" s="687"/>
      <c r="X12" s="687" t="s">
        <v>683</v>
      </c>
      <c r="Y12" s="687"/>
      <c r="Z12" s="687"/>
      <c r="AA12" s="687"/>
      <c r="AB12" s="687"/>
      <c r="AC12" s="687"/>
      <c r="AE12" s="687"/>
      <c r="AF12" s="687"/>
      <c r="AG12" s="687"/>
      <c r="AH12" s="687"/>
      <c r="AI12" s="687"/>
      <c r="AJ12" s="687"/>
      <c r="AK12" s="687"/>
    </row>
    <row r="13" spans="1:39">
      <c r="B13" s="680" t="s">
        <v>771</v>
      </c>
      <c r="C13" s="684">
        <v>5.2999999999999999E-2</v>
      </c>
      <c r="D13" s="684">
        <v>4.4999999999999998E-2</v>
      </c>
      <c r="G13" s="673"/>
      <c r="H13" s="673"/>
      <c r="I13" s="673"/>
      <c r="J13" s="676"/>
      <c r="K13" s="676"/>
      <c r="L13" s="673"/>
      <c r="M13" s="673"/>
      <c r="N13" s="674"/>
      <c r="O13" s="673"/>
      <c r="P13" s="673"/>
      <c r="Q13" s="673"/>
      <c r="R13" s="676"/>
      <c r="S13" s="676"/>
      <c r="T13" s="673"/>
      <c r="U13" s="673"/>
      <c r="V13" s="674"/>
      <c r="W13" s="673"/>
      <c r="X13" s="673"/>
      <c r="Y13" s="673"/>
      <c r="Z13" s="676"/>
      <c r="AA13" s="676"/>
      <c r="AB13" s="673"/>
      <c r="AC13" s="673"/>
      <c r="AD13" s="674"/>
      <c r="AE13" s="673"/>
      <c r="AF13" s="673"/>
      <c r="AG13" s="673"/>
      <c r="AH13" s="676"/>
      <c r="AI13" s="676"/>
      <c r="AJ13" s="673"/>
      <c r="AK13" s="673"/>
      <c r="AL13" s="674"/>
      <c r="AM13" s="673"/>
    </row>
    <row r="14" spans="1:39">
      <c r="B14" s="680" t="s">
        <v>770</v>
      </c>
      <c r="C14" s="684">
        <v>0.06</v>
      </c>
      <c r="D14" s="684">
        <v>0.06</v>
      </c>
      <c r="G14" s="673"/>
      <c r="H14" s="1122" t="s">
        <v>1627</v>
      </c>
      <c r="I14" s="673"/>
      <c r="J14" s="673"/>
      <c r="K14" s="673"/>
      <c r="L14" s="673"/>
      <c r="M14" s="673"/>
      <c r="N14" s="674"/>
      <c r="O14" s="673"/>
      <c r="P14" s="1122" t="s">
        <v>1588</v>
      </c>
      <c r="Q14" s="673"/>
      <c r="R14" s="673"/>
      <c r="S14" s="673"/>
      <c r="T14" s="673"/>
      <c r="U14" s="673"/>
      <c r="V14" s="674"/>
      <c r="W14" s="673"/>
      <c r="X14" s="673" t="s">
        <v>1659</v>
      </c>
      <c r="Y14" s="673"/>
      <c r="Z14" s="676"/>
      <c r="AA14" s="676"/>
      <c r="AB14" s="673"/>
      <c r="AC14" s="673"/>
      <c r="AD14" s="674"/>
      <c r="AE14" s="673"/>
      <c r="AF14" s="1122" t="s">
        <v>1618</v>
      </c>
      <c r="AG14" s="673"/>
      <c r="AH14" s="676"/>
      <c r="AI14" s="676"/>
      <c r="AJ14" s="673"/>
      <c r="AK14" s="673"/>
      <c r="AL14" s="674"/>
      <c r="AM14" s="673"/>
    </row>
    <row r="15" spans="1:39">
      <c r="B15" s="680" t="s">
        <v>769</v>
      </c>
      <c r="C15" s="679">
        <v>695000000</v>
      </c>
      <c r="D15" s="679">
        <v>815000000</v>
      </c>
      <c r="G15" s="673"/>
      <c r="H15" s="673" t="s">
        <v>1613</v>
      </c>
      <c r="I15" s="673"/>
      <c r="K15" s="1151">
        <f>C17</f>
        <v>23000000</v>
      </c>
      <c r="L15" s="673"/>
      <c r="M15" s="673"/>
      <c r="N15" s="674"/>
      <c r="O15" s="673"/>
      <c r="P15" s="673" t="s">
        <v>1658</v>
      </c>
      <c r="Q15" s="673"/>
      <c r="R15" s="675"/>
      <c r="S15" s="1151">
        <f>-(C21+C22)</f>
        <v>-158000000</v>
      </c>
      <c r="T15" s="673"/>
      <c r="U15" s="673"/>
      <c r="V15" s="674"/>
      <c r="W15" s="673"/>
      <c r="X15" s="673" t="s">
        <v>1657</v>
      </c>
      <c r="Y15" s="673"/>
      <c r="Z15" s="675"/>
      <c r="AA15" s="675"/>
      <c r="AB15" s="673"/>
      <c r="AC15" s="673"/>
      <c r="AD15" s="674"/>
      <c r="AE15" s="673"/>
      <c r="AF15" s="673" t="s">
        <v>1613</v>
      </c>
      <c r="AG15" s="673"/>
      <c r="AH15" s="675"/>
      <c r="AI15" s="1151">
        <f>C17*(1+C13)</f>
        <v>24219000</v>
      </c>
      <c r="AJ15" s="673"/>
      <c r="AK15" s="673"/>
      <c r="AL15" s="674"/>
      <c r="AM15" s="673"/>
    </row>
    <row r="16" spans="1:39">
      <c r="B16" s="680" t="s">
        <v>768</v>
      </c>
      <c r="C16" s="679">
        <v>805000000</v>
      </c>
      <c r="D16" s="679">
        <v>795000000</v>
      </c>
      <c r="G16" s="673"/>
      <c r="H16" s="673" t="s">
        <v>1041</v>
      </c>
      <c r="I16" s="673"/>
      <c r="K16" s="1151">
        <f>K25</f>
        <v>37391500</v>
      </c>
      <c r="L16" s="673"/>
      <c r="M16" s="673"/>
      <c r="N16" s="674"/>
      <c r="O16" s="673"/>
      <c r="P16" s="673" t="s">
        <v>1586</v>
      </c>
      <c r="Q16" s="673"/>
      <c r="R16" s="673"/>
      <c r="S16" s="1151">
        <f>K18</f>
        <v>3708333.3333333335</v>
      </c>
      <c r="T16" s="673"/>
      <c r="U16" s="673"/>
      <c r="V16" s="674"/>
      <c r="W16" s="673"/>
      <c r="X16" s="673"/>
      <c r="Y16" s="673"/>
      <c r="Z16" s="673"/>
      <c r="AA16" s="673"/>
      <c r="AB16" s="673"/>
      <c r="AC16" s="673"/>
      <c r="AD16" s="674"/>
      <c r="AE16" s="673"/>
      <c r="AF16" s="673" t="s">
        <v>1656</v>
      </c>
      <c r="AG16" s="673"/>
      <c r="AH16" s="673"/>
      <c r="AI16" s="1151">
        <f>(C15-C18/2)*C13</f>
        <v>36172500</v>
      </c>
      <c r="AJ16" s="673"/>
      <c r="AK16" s="673"/>
      <c r="AL16" s="674"/>
      <c r="AM16" s="673"/>
    </row>
    <row r="17" spans="1:39">
      <c r="B17" s="680" t="s">
        <v>767</v>
      </c>
      <c r="C17" s="679">
        <v>23000000</v>
      </c>
      <c r="D17" s="679"/>
      <c r="G17" s="673"/>
      <c r="H17" s="673" t="s">
        <v>1624</v>
      </c>
      <c r="I17" s="673"/>
      <c r="K17" s="1151">
        <f>-K35</f>
        <v>-48210000</v>
      </c>
      <c r="L17" s="673"/>
      <c r="M17" s="673"/>
      <c r="N17" s="674"/>
      <c r="O17" s="673"/>
      <c r="P17" s="673" t="s">
        <v>1585</v>
      </c>
      <c r="Q17" s="673"/>
      <c r="R17" s="675"/>
      <c r="S17" s="1151">
        <f>K19</f>
        <v>2750000</v>
      </c>
      <c r="T17" s="673"/>
      <c r="U17" s="673"/>
      <c r="V17" s="674"/>
      <c r="W17" s="673"/>
      <c r="X17" s="603" t="s">
        <v>1655</v>
      </c>
      <c r="Y17" s="673"/>
      <c r="Z17" s="675"/>
      <c r="AA17" s="675"/>
      <c r="AB17" s="673"/>
      <c r="AC17" s="673"/>
      <c r="AD17" s="674"/>
      <c r="AE17" s="673"/>
      <c r="AF17" s="673" t="s">
        <v>1654</v>
      </c>
      <c r="AG17" s="673"/>
      <c r="AH17" s="675"/>
      <c r="AI17" s="1151">
        <f>-((C16+(C19-C18)/2)*C13)</f>
        <v>-42585500</v>
      </c>
      <c r="AJ17" s="673"/>
      <c r="AK17" s="673"/>
      <c r="AL17" s="674"/>
      <c r="AM17" s="673"/>
    </row>
    <row r="18" spans="1:39" ht="16.2">
      <c r="B18" s="680" t="s">
        <v>766</v>
      </c>
      <c r="C18" s="679">
        <v>25000000</v>
      </c>
      <c r="D18" s="679"/>
      <c r="G18" s="673"/>
      <c r="H18" s="673" t="s">
        <v>1622</v>
      </c>
      <c r="I18" s="673"/>
      <c r="K18" s="1151">
        <f>K44</f>
        <v>3708333.3333333335</v>
      </c>
      <c r="L18" s="673"/>
      <c r="M18" s="673"/>
      <c r="N18" s="674"/>
      <c r="O18" s="673"/>
      <c r="P18" s="673" t="s">
        <v>1584</v>
      </c>
      <c r="Q18" s="673"/>
      <c r="R18" s="673"/>
      <c r="S18" s="1151">
        <f>-K28</f>
        <v>-84608500</v>
      </c>
      <c r="T18" s="673"/>
      <c r="U18" s="673"/>
      <c r="V18" s="674"/>
      <c r="W18" s="673"/>
      <c r="X18" s="560" t="s">
        <v>1653</v>
      </c>
      <c r="Y18" s="673"/>
      <c r="Z18" s="675"/>
      <c r="AA18" s="1151">
        <f>K15+K16</f>
        <v>60391500</v>
      </c>
      <c r="AB18" s="673"/>
      <c r="AC18" s="673"/>
      <c r="AD18" s="674"/>
      <c r="AE18" s="673"/>
      <c r="AF18" s="673" t="s">
        <v>1652</v>
      </c>
      <c r="AG18" s="673"/>
      <c r="AH18" s="675"/>
      <c r="AI18" s="1151">
        <f>C22</f>
        <v>33000000</v>
      </c>
      <c r="AJ18" s="1161" t="s">
        <v>1651</v>
      </c>
      <c r="AK18" s="673"/>
      <c r="AL18" s="674"/>
      <c r="AM18" s="673"/>
    </row>
    <row r="19" spans="1:39" ht="16.2">
      <c r="B19" s="680" t="s">
        <v>765</v>
      </c>
      <c r="C19" s="679">
        <v>22000000</v>
      </c>
      <c r="D19" s="679"/>
      <c r="G19" s="673"/>
      <c r="H19" s="1153" t="s">
        <v>1621</v>
      </c>
      <c r="I19" s="1153"/>
      <c r="J19" s="994"/>
      <c r="K19" s="1152">
        <f>K48</f>
        <v>2750000</v>
      </c>
      <c r="L19" s="673"/>
      <c r="M19" s="673"/>
      <c r="N19" s="674"/>
      <c r="O19" s="673"/>
      <c r="P19" s="1153" t="s">
        <v>1583</v>
      </c>
      <c r="Q19" s="1153"/>
      <c r="R19" s="1155"/>
      <c r="S19" s="1152">
        <f>K37</f>
        <v>-55210000</v>
      </c>
      <c r="T19" s="673"/>
      <c r="U19" s="673"/>
      <c r="V19" s="674"/>
      <c r="W19" s="673"/>
      <c r="X19" s="560" t="s">
        <v>1650</v>
      </c>
      <c r="Y19" s="673"/>
      <c r="Z19" s="675"/>
      <c r="AA19" s="1151">
        <f>C34</f>
        <v>233500000</v>
      </c>
      <c r="AB19" s="673"/>
      <c r="AC19" s="673"/>
      <c r="AD19" s="674"/>
      <c r="AE19" s="673"/>
      <c r="AF19" s="1153" t="s">
        <v>1620</v>
      </c>
      <c r="AG19" s="1153"/>
      <c r="AH19" s="1155"/>
      <c r="AI19" s="1152">
        <f>AA27</f>
        <v>33500000</v>
      </c>
      <c r="AJ19" s="1161" t="s">
        <v>1649</v>
      </c>
      <c r="AK19" s="673"/>
      <c r="AL19" s="674"/>
      <c r="AM19" s="673"/>
    </row>
    <row r="20" spans="1:39">
      <c r="B20" s="680" t="s">
        <v>764</v>
      </c>
      <c r="C20" s="685" t="s">
        <v>763</v>
      </c>
      <c r="D20" s="685"/>
      <c r="G20" s="673"/>
      <c r="H20" s="1158" t="s">
        <v>1618</v>
      </c>
      <c r="I20" s="1158"/>
      <c r="J20" s="1158"/>
      <c r="K20" s="1160">
        <f>SUM(K15:K19)</f>
        <v>18639833.333333336</v>
      </c>
      <c r="L20" s="673"/>
      <c r="M20" s="673"/>
      <c r="N20" s="674"/>
      <c r="O20" s="673"/>
      <c r="P20" s="1158" t="s">
        <v>1648</v>
      </c>
      <c r="Q20" s="1158"/>
      <c r="R20" s="1157"/>
      <c r="S20" s="1156">
        <f>SUM(S15:S19)</f>
        <v>-291360166.66666663</v>
      </c>
      <c r="T20" s="673"/>
      <c r="U20" s="673"/>
      <c r="V20" s="674"/>
      <c r="W20" s="673"/>
      <c r="X20" s="560" t="s">
        <v>1647</v>
      </c>
      <c r="Y20" s="673"/>
      <c r="Z20" s="673"/>
      <c r="AA20" s="673"/>
      <c r="AB20" s="673"/>
      <c r="AC20" s="673"/>
      <c r="AD20" s="674"/>
      <c r="AE20" s="673"/>
      <c r="AF20" s="1158" t="s">
        <v>1618</v>
      </c>
      <c r="AG20" s="1158"/>
      <c r="AH20" s="1158"/>
      <c r="AI20" s="1156">
        <f>SUM(AI15:AI19)</f>
        <v>84306000</v>
      </c>
      <c r="AJ20" s="673"/>
      <c r="AK20" s="673"/>
      <c r="AL20" s="674"/>
      <c r="AM20" s="673"/>
    </row>
    <row r="21" spans="1:39">
      <c r="B21" s="680" t="s">
        <v>762</v>
      </c>
      <c r="C21" s="679">
        <v>125000000</v>
      </c>
      <c r="D21" s="679"/>
      <c r="G21" s="673"/>
      <c r="H21" s="673"/>
      <c r="I21" s="673"/>
      <c r="J21" s="673"/>
      <c r="K21" s="673"/>
      <c r="L21" s="673"/>
      <c r="M21" s="673"/>
      <c r="N21" s="674"/>
      <c r="O21" s="673"/>
      <c r="P21" s="673"/>
      <c r="Q21" s="673"/>
      <c r="R21" s="675"/>
      <c r="S21" s="673"/>
      <c r="T21" s="673"/>
      <c r="U21" s="673"/>
      <c r="V21" s="674"/>
      <c r="W21" s="673"/>
      <c r="Y21" s="673"/>
      <c r="Z21" s="673"/>
      <c r="AA21" s="673"/>
      <c r="AB21" s="673"/>
      <c r="AC21" s="673"/>
      <c r="AD21" s="674"/>
      <c r="AE21" s="673"/>
      <c r="AG21" s="673"/>
      <c r="AH21" s="673"/>
      <c r="AI21" s="673"/>
      <c r="AJ21" s="673"/>
      <c r="AK21" s="673"/>
      <c r="AL21" s="674"/>
      <c r="AM21" s="673"/>
    </row>
    <row r="22" spans="1:39" ht="16.2">
      <c r="B22" s="680" t="s">
        <v>761</v>
      </c>
      <c r="C22" s="679">
        <v>33000000</v>
      </c>
      <c r="D22" s="679"/>
      <c r="G22" s="673"/>
      <c r="H22" s="1122" t="s">
        <v>1615</v>
      </c>
      <c r="I22" s="673"/>
      <c r="J22" s="673"/>
      <c r="K22" s="673"/>
      <c r="L22" s="673"/>
      <c r="M22" s="673"/>
      <c r="N22" s="674"/>
      <c r="O22" s="673"/>
      <c r="P22" s="1122" t="s">
        <v>1597</v>
      </c>
      <c r="Q22" s="673"/>
      <c r="R22" s="673"/>
      <c r="S22" s="676"/>
      <c r="T22" s="673"/>
      <c r="U22" s="673"/>
      <c r="V22" s="674"/>
      <c r="W22" s="673"/>
      <c r="X22" s="560" t="s">
        <v>1646</v>
      </c>
      <c r="Y22" s="673"/>
      <c r="Z22" s="673"/>
      <c r="AA22" s="673"/>
      <c r="AB22" s="675"/>
      <c r="AC22" s="673"/>
      <c r="AD22" s="674"/>
      <c r="AE22" s="673"/>
      <c r="AF22" s="673" t="s">
        <v>1645</v>
      </c>
      <c r="AG22" s="673"/>
      <c r="AH22" s="673"/>
      <c r="AI22" s="673"/>
      <c r="AJ22" s="675"/>
      <c r="AK22" s="673"/>
      <c r="AL22" s="674"/>
      <c r="AM22" s="673"/>
    </row>
    <row r="23" spans="1:39">
      <c r="B23" s="680" t="s">
        <v>760</v>
      </c>
      <c r="C23" s="684" t="s">
        <v>759</v>
      </c>
      <c r="D23" s="684"/>
      <c r="G23" s="673"/>
      <c r="H23" s="673" t="s">
        <v>1614</v>
      </c>
      <c r="I23" s="673"/>
      <c r="K23" s="1151">
        <f>C15</f>
        <v>695000000</v>
      </c>
      <c r="L23" s="673"/>
      <c r="M23" s="673"/>
      <c r="N23" s="674"/>
      <c r="O23" s="673"/>
      <c r="P23" s="673" t="s">
        <v>1592</v>
      </c>
      <c r="Q23" s="673"/>
      <c r="S23" s="1151">
        <f>C21</f>
        <v>125000000</v>
      </c>
      <c r="T23" s="673"/>
      <c r="U23" s="673"/>
      <c r="V23" s="674"/>
      <c r="W23" s="673"/>
      <c r="Y23" s="673"/>
      <c r="Z23" s="673"/>
      <c r="AA23" s="673"/>
      <c r="AB23" s="673"/>
      <c r="AC23" s="673"/>
      <c r="AD23" s="674"/>
      <c r="AE23" s="673"/>
      <c r="AF23" s="560" t="s">
        <v>1644</v>
      </c>
      <c r="AG23" s="673"/>
      <c r="AH23" s="673"/>
      <c r="AI23" s="673"/>
      <c r="AJ23" s="673"/>
      <c r="AK23" s="673"/>
      <c r="AL23" s="674"/>
      <c r="AM23" s="673"/>
    </row>
    <row r="24" spans="1:39">
      <c r="B24" s="680" t="s">
        <v>758</v>
      </c>
      <c r="C24" s="683">
        <v>12</v>
      </c>
      <c r="D24" s="683"/>
      <c r="G24" s="673"/>
      <c r="H24" s="673" t="s">
        <v>1613</v>
      </c>
      <c r="I24" s="673"/>
      <c r="K24" s="1151">
        <f>C17</f>
        <v>23000000</v>
      </c>
      <c r="L24" s="673"/>
      <c r="M24" s="673"/>
      <c r="N24" s="674"/>
      <c r="O24" s="673"/>
      <c r="P24" s="673" t="s">
        <v>1591</v>
      </c>
      <c r="Q24" s="673"/>
      <c r="R24" s="675"/>
      <c r="S24" s="1151">
        <f>-K18</f>
        <v>-3708333.3333333335</v>
      </c>
      <c r="T24" s="673"/>
      <c r="U24" s="673"/>
      <c r="V24" s="674"/>
      <c r="W24" s="673"/>
      <c r="X24" s="603" t="s">
        <v>1638</v>
      </c>
      <c r="Y24" s="673"/>
      <c r="Z24" s="676"/>
      <c r="AA24" s="675"/>
      <c r="AB24" s="673"/>
      <c r="AC24" s="673"/>
      <c r="AD24" s="674"/>
      <c r="AE24" s="673"/>
      <c r="AF24" s="560" t="s">
        <v>1643</v>
      </c>
      <c r="AG24" s="673"/>
      <c r="AH24" s="676"/>
      <c r="AI24" s="675"/>
      <c r="AJ24" s="673"/>
      <c r="AK24" s="673"/>
      <c r="AL24" s="674"/>
      <c r="AM24" s="673"/>
    </row>
    <row r="25" spans="1:39">
      <c r="B25" s="680" t="s">
        <v>757</v>
      </c>
      <c r="C25" s="683">
        <v>20</v>
      </c>
      <c r="D25" s="683"/>
      <c r="G25" s="673"/>
      <c r="H25" s="673" t="s">
        <v>1612</v>
      </c>
      <c r="I25" s="673"/>
      <c r="K25" s="1151">
        <f>(K23+K24)*C13+(K26)*C13/2</f>
        <v>37391500</v>
      </c>
      <c r="L25" s="673"/>
      <c r="M25" s="673"/>
      <c r="N25" s="674"/>
      <c r="O25" s="673"/>
      <c r="P25" s="673" t="s">
        <v>1596</v>
      </c>
      <c r="Q25" s="673"/>
      <c r="R25" s="675"/>
      <c r="S25" s="1151">
        <f>K28</f>
        <v>84608500</v>
      </c>
      <c r="T25" s="673"/>
      <c r="U25" s="673"/>
      <c r="V25" s="674"/>
      <c r="W25" s="673"/>
      <c r="X25" s="560" t="s">
        <v>1642</v>
      </c>
      <c r="Y25" s="673"/>
      <c r="Z25" s="673"/>
      <c r="AA25" s="1151">
        <f>C35</f>
        <v>200000000</v>
      </c>
      <c r="AB25" s="673"/>
      <c r="AC25" s="673"/>
      <c r="AD25" s="674"/>
      <c r="AE25" s="673"/>
      <c r="AF25" s="673"/>
      <c r="AG25" s="673"/>
      <c r="AH25" s="673"/>
      <c r="AI25" s="673"/>
      <c r="AJ25" s="673"/>
      <c r="AK25" s="673"/>
      <c r="AL25" s="674"/>
      <c r="AM25" s="673"/>
    </row>
    <row r="26" spans="1:39" ht="16.2">
      <c r="G26" s="673"/>
      <c r="H26" s="1153" t="s">
        <v>1604</v>
      </c>
      <c r="I26" s="1153"/>
      <c r="J26" s="994"/>
      <c r="K26" s="1152">
        <f>-C18</f>
        <v>-25000000</v>
      </c>
      <c r="L26" s="673"/>
      <c r="M26" s="673"/>
      <c r="N26" s="674"/>
      <c r="O26" s="673"/>
      <c r="P26" s="1153" t="s">
        <v>1595</v>
      </c>
      <c r="Q26" s="1153"/>
      <c r="R26" s="1155"/>
      <c r="S26" s="1152">
        <f>-K37</f>
        <v>55210000</v>
      </c>
      <c r="T26" s="673"/>
      <c r="U26" s="673"/>
      <c r="V26" s="674"/>
      <c r="W26" s="673"/>
      <c r="X26" s="994" t="s">
        <v>1641</v>
      </c>
      <c r="Y26" s="1153"/>
      <c r="Z26" s="1155"/>
      <c r="AA26" s="1152">
        <f>C34</f>
        <v>233500000</v>
      </c>
      <c r="AB26" s="673"/>
      <c r="AC26" s="673"/>
      <c r="AD26" s="674"/>
      <c r="AE26" s="673"/>
      <c r="AF26" s="673" t="s">
        <v>1640</v>
      </c>
      <c r="AG26" s="673"/>
      <c r="AH26" s="675"/>
      <c r="AI26" s="675"/>
      <c r="AJ26" s="673"/>
      <c r="AK26" s="673"/>
      <c r="AL26" s="674"/>
      <c r="AM26" s="673"/>
    </row>
    <row r="27" spans="1:39">
      <c r="B27" s="2" t="s">
        <v>756</v>
      </c>
      <c r="G27" s="673"/>
      <c r="H27" s="673" t="s">
        <v>1639</v>
      </c>
      <c r="I27" s="673"/>
      <c r="J27" s="675"/>
      <c r="K27" s="1151">
        <f>SUM(K23:K26)</f>
        <v>730391500</v>
      </c>
      <c r="L27" s="673"/>
      <c r="M27" s="673"/>
      <c r="N27" s="674"/>
      <c r="O27" s="673"/>
      <c r="P27" s="673" t="s">
        <v>1589</v>
      </c>
      <c r="Q27" s="673"/>
      <c r="R27" s="675"/>
      <c r="S27" s="1151">
        <f>SUM(S23:S26)</f>
        <v>261110166.66666669</v>
      </c>
      <c r="T27" s="673"/>
      <c r="U27" s="673"/>
      <c r="V27" s="674"/>
      <c r="W27" s="673"/>
      <c r="X27" s="560" t="s">
        <v>1638</v>
      </c>
      <c r="Y27" s="673"/>
      <c r="Z27" s="675"/>
      <c r="AA27" s="1151">
        <f>AA26-AA25</f>
        <v>33500000</v>
      </c>
      <c r="AB27" s="673"/>
      <c r="AC27" s="673"/>
      <c r="AD27" s="674"/>
      <c r="AE27" s="673"/>
      <c r="AF27" s="673"/>
      <c r="AG27" s="673"/>
      <c r="AH27" s="675"/>
      <c r="AI27" s="675"/>
      <c r="AJ27" s="673"/>
      <c r="AK27" s="673"/>
      <c r="AL27" s="674"/>
      <c r="AM27" s="673"/>
    </row>
    <row r="28" spans="1:39">
      <c r="G28" s="673"/>
      <c r="H28" s="1153" t="s">
        <v>1610</v>
      </c>
      <c r="I28" s="1153"/>
      <c r="J28" s="1155"/>
      <c r="K28" s="1152">
        <f>K29-K27</f>
        <v>84608500</v>
      </c>
      <c r="L28" s="673"/>
      <c r="M28" s="673"/>
      <c r="N28" s="674"/>
      <c r="O28" s="673"/>
      <c r="P28" s="673"/>
      <c r="Q28" s="673"/>
      <c r="R28" s="673"/>
      <c r="S28" s="673"/>
      <c r="T28" s="673"/>
      <c r="U28" s="673"/>
      <c r="V28" s="674"/>
      <c r="W28" s="673"/>
      <c r="Y28" s="673"/>
      <c r="Z28" s="675"/>
      <c r="AA28" s="675"/>
      <c r="AB28" s="673"/>
      <c r="AC28" s="673"/>
      <c r="AD28" s="674"/>
      <c r="AE28" s="673"/>
      <c r="AF28" s="673"/>
      <c r="AG28" s="673"/>
      <c r="AH28" s="675"/>
      <c r="AI28" s="675"/>
      <c r="AJ28" s="673"/>
      <c r="AK28" s="673"/>
      <c r="AL28" s="674"/>
      <c r="AM28" s="673"/>
    </row>
    <row r="29" spans="1:39">
      <c r="G29" s="673"/>
      <c r="H29" s="673" t="s">
        <v>1637</v>
      </c>
      <c r="I29" s="673"/>
      <c r="J29" s="673"/>
      <c r="K29" s="1151">
        <f>D15</f>
        <v>815000000</v>
      </c>
      <c r="L29" s="673"/>
      <c r="M29" s="673"/>
      <c r="N29" s="674"/>
      <c r="O29" s="673"/>
      <c r="P29" s="1122" t="s">
        <v>1593</v>
      </c>
      <c r="Q29" s="673"/>
      <c r="R29" s="675"/>
      <c r="S29" s="675"/>
      <c r="T29" s="673"/>
      <c r="U29" s="673"/>
      <c r="V29" s="674"/>
      <c r="W29" s="673"/>
      <c r="X29" s="603" t="s">
        <v>1636</v>
      </c>
      <c r="Y29" s="673"/>
      <c r="Z29" s="675"/>
      <c r="AA29" s="675"/>
      <c r="AB29" s="673"/>
      <c r="AC29" s="673"/>
      <c r="AD29" s="674"/>
      <c r="AE29" s="673"/>
      <c r="AF29" s="673"/>
      <c r="AG29" s="673"/>
      <c r="AH29" s="675"/>
      <c r="AI29" s="675"/>
      <c r="AJ29" s="673"/>
      <c r="AK29" s="673"/>
      <c r="AL29" s="674"/>
      <c r="AM29" s="673"/>
    </row>
    <row r="30" spans="1:39">
      <c r="A30" s="594" t="s">
        <v>730</v>
      </c>
      <c r="G30" s="673"/>
      <c r="H30" s="673"/>
      <c r="I30" s="673"/>
      <c r="J30" s="673"/>
      <c r="K30" s="673"/>
      <c r="L30" s="673"/>
      <c r="M30" s="673"/>
      <c r="N30" s="674"/>
      <c r="O30" s="673"/>
      <c r="P30" s="673" t="s">
        <v>1592</v>
      </c>
      <c r="Q30" s="673"/>
      <c r="R30" s="675"/>
      <c r="S30" s="1151">
        <f>C22</f>
        <v>33000000</v>
      </c>
      <c r="T30" s="673"/>
      <c r="U30" s="673"/>
      <c r="V30" s="674"/>
      <c r="W30" s="673"/>
      <c r="X30" s="560" t="s">
        <v>1635</v>
      </c>
      <c r="Y30" s="673"/>
      <c r="Z30" s="673"/>
      <c r="AA30" s="1030">
        <f>AA26</f>
        <v>233500000</v>
      </c>
      <c r="AB30" s="673"/>
      <c r="AC30" s="673"/>
      <c r="AD30" s="674"/>
      <c r="AE30" s="673"/>
      <c r="AF30" s="673"/>
      <c r="AG30" s="673"/>
      <c r="AH30" s="673"/>
      <c r="AI30" s="673"/>
      <c r="AJ30" s="673"/>
      <c r="AK30" s="673"/>
      <c r="AL30" s="674"/>
      <c r="AM30" s="673"/>
    </row>
    <row r="31" spans="1:39">
      <c r="B31" s="682" t="s">
        <v>755</v>
      </c>
      <c r="G31" s="673"/>
      <c r="H31" s="1122" t="s">
        <v>1606</v>
      </c>
      <c r="I31" s="673"/>
      <c r="J31" s="673"/>
      <c r="K31" s="673"/>
      <c r="L31" s="673"/>
      <c r="M31" s="673"/>
      <c r="N31" s="674"/>
      <c r="O31" s="673"/>
      <c r="P31" s="673" t="s">
        <v>1591</v>
      </c>
      <c r="Q31" s="673"/>
      <c r="R31" s="675"/>
      <c r="S31" s="1151">
        <f>-K19</f>
        <v>-2750000</v>
      </c>
      <c r="T31" s="673"/>
      <c r="U31" s="673"/>
      <c r="V31" s="674"/>
      <c r="W31" s="673"/>
      <c r="X31" s="560" t="s">
        <v>1634</v>
      </c>
      <c r="Y31" s="673"/>
      <c r="Z31" s="673"/>
      <c r="AA31" s="1030">
        <f>(D15+AA27)</f>
        <v>848500000</v>
      </c>
      <c r="AB31" s="673"/>
      <c r="AC31" s="673"/>
      <c r="AD31" s="674"/>
      <c r="AE31" s="673"/>
      <c r="AF31" s="673"/>
      <c r="AG31" s="673"/>
      <c r="AH31" s="673"/>
      <c r="AI31" s="673"/>
      <c r="AJ31" s="673"/>
      <c r="AK31" s="673"/>
      <c r="AL31" s="674"/>
      <c r="AM31" s="673"/>
    </row>
    <row r="32" spans="1:39">
      <c r="A32" s="594"/>
      <c r="B32" s="682" t="s">
        <v>754</v>
      </c>
      <c r="C32" s="681"/>
      <c r="D32" s="681"/>
      <c r="G32" s="673"/>
      <c r="H32" s="673" t="s">
        <v>1605</v>
      </c>
      <c r="I32" s="673"/>
      <c r="J32" s="673"/>
      <c r="K32" s="1151">
        <f>C16</f>
        <v>805000000</v>
      </c>
      <c r="L32" s="673"/>
      <c r="M32" s="673"/>
      <c r="N32" s="674"/>
      <c r="O32" s="673"/>
      <c r="P32" s="1153" t="s">
        <v>1590</v>
      </c>
      <c r="Q32" s="1153"/>
      <c r="R32" s="1155"/>
      <c r="S32" s="1152">
        <v>0</v>
      </c>
      <c r="T32" s="673"/>
      <c r="U32" s="673"/>
      <c r="V32" s="674"/>
      <c r="W32" s="673"/>
      <c r="X32" s="560" t="s">
        <v>1633</v>
      </c>
      <c r="Y32" s="673"/>
      <c r="Z32" s="676"/>
      <c r="AA32" s="1159">
        <f>AA30/AA31</f>
        <v>0.27519151443724221</v>
      </c>
      <c r="AB32" s="673"/>
      <c r="AC32" s="673"/>
      <c r="AD32" s="674"/>
      <c r="AE32" s="673"/>
      <c r="AF32" s="673"/>
      <c r="AG32" s="673"/>
      <c r="AH32" s="676"/>
      <c r="AI32" s="676"/>
      <c r="AJ32" s="673"/>
      <c r="AK32" s="673"/>
      <c r="AL32" s="674"/>
      <c r="AM32" s="673"/>
    </row>
    <row r="33" spans="2:39">
      <c r="B33" s="682"/>
      <c r="C33" s="681"/>
      <c r="D33" s="681"/>
      <c r="G33" s="673"/>
      <c r="H33" s="673" t="s">
        <v>113</v>
      </c>
      <c r="I33" s="673"/>
      <c r="J33" s="675"/>
      <c r="K33" s="1151">
        <f>C19</f>
        <v>22000000</v>
      </c>
      <c r="L33" s="673"/>
      <c r="M33" s="673"/>
      <c r="N33" s="674"/>
      <c r="O33" s="673"/>
      <c r="P33" s="673" t="s">
        <v>1589</v>
      </c>
      <c r="Q33" s="673"/>
      <c r="R33" s="675"/>
      <c r="S33" s="1151">
        <f>SUM(S30:S32)</f>
        <v>30250000</v>
      </c>
      <c r="T33" s="673"/>
      <c r="U33" s="673"/>
      <c r="V33" s="674"/>
      <c r="W33" s="673"/>
      <c r="Y33" s="673"/>
      <c r="Z33" s="675"/>
      <c r="AA33" s="673"/>
      <c r="AB33" s="673"/>
      <c r="AC33" s="673"/>
      <c r="AD33" s="674"/>
      <c r="AE33" s="673"/>
      <c r="AF33" s="673"/>
      <c r="AG33" s="673"/>
      <c r="AH33" s="675"/>
      <c r="AI33" s="673"/>
      <c r="AJ33" s="673"/>
      <c r="AK33" s="673"/>
      <c r="AL33" s="674"/>
      <c r="AM33" s="673"/>
    </row>
    <row r="34" spans="2:39">
      <c r="B34" s="680" t="s">
        <v>753</v>
      </c>
      <c r="C34" s="679">
        <v>233500000</v>
      </c>
      <c r="D34" s="681"/>
      <c r="G34" s="673"/>
      <c r="H34" s="673" t="s">
        <v>1604</v>
      </c>
      <c r="I34" s="673"/>
      <c r="J34" s="675"/>
      <c r="K34" s="1151">
        <f>-C18</f>
        <v>-25000000</v>
      </c>
      <c r="L34" s="673"/>
      <c r="M34" s="673"/>
      <c r="N34" s="674"/>
      <c r="O34" s="673"/>
      <c r="P34" s="673"/>
      <c r="Q34" s="673"/>
      <c r="R34" s="673"/>
      <c r="S34" s="675"/>
      <c r="T34" s="673"/>
      <c r="U34" s="673"/>
      <c r="V34" s="674"/>
      <c r="W34" s="673"/>
      <c r="X34" s="603" t="s">
        <v>1632</v>
      </c>
      <c r="Y34" s="673"/>
      <c r="Z34" s="675"/>
      <c r="AA34" s="675"/>
      <c r="AB34" s="673"/>
      <c r="AC34" s="673"/>
      <c r="AD34" s="674"/>
      <c r="AE34" s="673"/>
      <c r="AF34" s="673"/>
      <c r="AG34" s="673"/>
      <c r="AH34" s="675"/>
      <c r="AI34" s="675"/>
      <c r="AJ34" s="673"/>
      <c r="AK34" s="673"/>
      <c r="AL34" s="674"/>
      <c r="AM34" s="673"/>
    </row>
    <row r="35" spans="2:39">
      <c r="B35" s="680" t="s">
        <v>752</v>
      </c>
      <c r="C35" s="679">
        <v>200000000</v>
      </c>
      <c r="G35" s="673"/>
      <c r="H35" s="1153" t="s">
        <v>1144</v>
      </c>
      <c r="I35" s="1153"/>
      <c r="J35" s="1155"/>
      <c r="K35" s="1152">
        <f>K32*C14+(K33+K34)*C14/2</f>
        <v>48210000</v>
      </c>
      <c r="L35" s="673"/>
      <c r="M35" s="673"/>
      <c r="N35" s="674"/>
      <c r="O35" s="673"/>
      <c r="P35" s="670" t="s">
        <v>1579</v>
      </c>
      <c r="Q35" s="670"/>
      <c r="R35" s="1148"/>
      <c r="S35" s="1147">
        <f>(S27+S33)</f>
        <v>291360166.66666669</v>
      </c>
      <c r="T35" s="673"/>
      <c r="U35" s="673"/>
      <c r="V35" s="674"/>
      <c r="W35" s="673"/>
      <c r="X35" s="560" t="s">
        <v>1631</v>
      </c>
      <c r="Y35" s="673"/>
      <c r="Z35" s="675"/>
      <c r="AA35" s="1151">
        <f>S27</f>
        <v>261110166.66666669</v>
      </c>
      <c r="AB35" s="673"/>
      <c r="AC35" s="673"/>
      <c r="AD35" s="674"/>
      <c r="AE35" s="673"/>
      <c r="AF35" s="673"/>
      <c r="AG35" s="673"/>
      <c r="AH35" s="675"/>
      <c r="AI35" s="675"/>
      <c r="AJ35" s="673"/>
      <c r="AK35" s="673"/>
      <c r="AL35" s="674"/>
      <c r="AM35" s="673"/>
    </row>
    <row r="36" spans="2:39">
      <c r="G36" s="673"/>
      <c r="H36" s="673" t="s">
        <v>1603</v>
      </c>
      <c r="I36" s="673"/>
      <c r="J36" s="675"/>
      <c r="K36" s="1151">
        <f>SUM(K32:K35)</f>
        <v>850210000</v>
      </c>
      <c r="L36" s="673"/>
      <c r="M36" s="673"/>
      <c r="N36" s="674"/>
      <c r="O36" s="673"/>
      <c r="P36" s="670" t="s">
        <v>1578</v>
      </c>
      <c r="Q36" s="670"/>
      <c r="R36" s="670"/>
      <c r="S36" s="1147">
        <f>-S35-S20</f>
        <v>0</v>
      </c>
      <c r="T36" s="673"/>
      <c r="U36" s="673"/>
      <c r="V36" s="674"/>
      <c r="W36" s="673"/>
      <c r="X36" s="560" t="s">
        <v>1630</v>
      </c>
      <c r="Y36" s="673"/>
      <c r="Z36" s="673"/>
      <c r="AA36" s="1151">
        <f>AA27</f>
        <v>33500000</v>
      </c>
      <c r="AB36" s="673"/>
      <c r="AC36" s="673"/>
      <c r="AD36" s="674"/>
      <c r="AE36" s="673"/>
      <c r="AF36" s="673"/>
      <c r="AG36" s="673"/>
      <c r="AH36" s="673"/>
      <c r="AI36" s="675"/>
      <c r="AJ36" s="673"/>
      <c r="AK36" s="673"/>
      <c r="AL36" s="674"/>
      <c r="AM36" s="673"/>
    </row>
    <row r="37" spans="2:39">
      <c r="C37" s="678"/>
      <c r="D37" s="678"/>
      <c r="G37" s="673"/>
      <c r="H37" s="1153" t="s">
        <v>1602</v>
      </c>
      <c r="I37" s="1153"/>
      <c r="J37" s="1153"/>
      <c r="K37" s="1152">
        <f>K38-K36</f>
        <v>-55210000</v>
      </c>
      <c r="L37" s="673"/>
      <c r="M37" s="673"/>
      <c r="N37" s="674"/>
      <c r="O37" s="673"/>
      <c r="P37" s="673"/>
      <c r="Q37" s="673"/>
      <c r="R37" s="673"/>
      <c r="S37" s="675"/>
      <c r="T37" s="673"/>
      <c r="U37" s="673"/>
      <c r="V37" s="674"/>
      <c r="W37" s="673"/>
      <c r="X37" s="560" t="s">
        <v>1629</v>
      </c>
      <c r="Y37" s="673"/>
      <c r="Z37" s="673"/>
      <c r="AA37" s="1151">
        <f>AA32*(AA35+AA36)</f>
        <v>81074217.933608338</v>
      </c>
      <c r="AB37" s="673"/>
      <c r="AC37" s="673"/>
      <c r="AD37" s="674"/>
      <c r="AE37" s="673"/>
      <c r="AF37" s="673"/>
      <c r="AG37" s="673"/>
      <c r="AH37" s="673"/>
      <c r="AI37" s="675"/>
      <c r="AJ37" s="673"/>
      <c r="AK37" s="673"/>
      <c r="AL37" s="674"/>
      <c r="AM37" s="673"/>
    </row>
    <row r="38" spans="2:39">
      <c r="C38" s="678"/>
      <c r="D38" s="678"/>
      <c r="G38" s="673"/>
      <c r="H38" s="673" t="s">
        <v>1628</v>
      </c>
      <c r="I38" s="673"/>
      <c r="J38" s="675"/>
      <c r="K38" s="1151">
        <f>D16</f>
        <v>795000000</v>
      </c>
      <c r="L38" s="673"/>
      <c r="M38" s="673"/>
      <c r="N38" s="674"/>
      <c r="O38" s="673"/>
      <c r="P38" s="673"/>
      <c r="Q38" s="673"/>
      <c r="R38" s="673"/>
      <c r="S38" s="675"/>
      <c r="T38" s="673"/>
      <c r="U38" s="673"/>
      <c r="V38" s="674"/>
      <c r="W38" s="673"/>
      <c r="Y38" s="673"/>
      <c r="Z38" s="675"/>
      <c r="AA38" s="675"/>
      <c r="AB38" s="673"/>
      <c r="AC38" s="673"/>
      <c r="AD38" s="674"/>
      <c r="AE38" s="673"/>
      <c r="AF38" s="673"/>
      <c r="AG38" s="673"/>
      <c r="AH38" s="675"/>
      <c r="AI38" s="675"/>
      <c r="AJ38" s="673"/>
      <c r="AK38" s="673"/>
      <c r="AL38" s="674"/>
      <c r="AM38" s="673"/>
    </row>
    <row r="39" spans="2:39">
      <c r="G39" s="673"/>
      <c r="H39" s="673"/>
      <c r="I39" s="673"/>
      <c r="J39" s="675"/>
      <c r="K39" s="675"/>
      <c r="L39" s="673"/>
      <c r="M39" s="673"/>
      <c r="N39" s="674"/>
      <c r="O39" s="673"/>
      <c r="P39" s="673"/>
      <c r="Q39" s="673"/>
      <c r="R39" s="673"/>
      <c r="S39" s="675"/>
      <c r="T39" s="673"/>
      <c r="U39" s="673"/>
      <c r="V39" s="674"/>
      <c r="W39" s="673"/>
      <c r="X39" s="1122" t="s">
        <v>1627</v>
      </c>
      <c r="Y39" s="673"/>
      <c r="Z39" s="675"/>
      <c r="AA39" s="675"/>
      <c r="AB39" s="673"/>
      <c r="AC39" s="673"/>
      <c r="AD39" s="674"/>
      <c r="AE39" s="673"/>
      <c r="AF39" s="673"/>
      <c r="AG39" s="673"/>
      <c r="AH39" s="675"/>
      <c r="AI39" s="675"/>
      <c r="AJ39" s="673"/>
      <c r="AK39" s="673"/>
      <c r="AL39" s="674"/>
      <c r="AM39" s="673"/>
    </row>
    <row r="40" spans="2:39">
      <c r="G40" s="673"/>
      <c r="H40" s="1122" t="s">
        <v>1626</v>
      </c>
      <c r="I40" s="673"/>
      <c r="J40" s="673"/>
      <c r="K40" s="673"/>
      <c r="L40" s="673"/>
      <c r="M40" s="673"/>
      <c r="N40" s="674"/>
      <c r="O40" s="673"/>
      <c r="P40" s="673"/>
      <c r="Q40" s="673"/>
      <c r="R40" s="673"/>
      <c r="S40" s="675"/>
      <c r="T40" s="673"/>
      <c r="U40" s="673"/>
      <c r="V40" s="674"/>
      <c r="W40" s="673"/>
      <c r="X40" s="673" t="s">
        <v>1613</v>
      </c>
      <c r="Y40" s="673"/>
      <c r="Z40" s="673"/>
      <c r="AA40" s="1151">
        <f>K15</f>
        <v>23000000</v>
      </c>
      <c r="AB40" s="673"/>
      <c r="AC40" s="673"/>
      <c r="AD40" s="674"/>
      <c r="AE40" s="673"/>
      <c r="AF40" s="673"/>
      <c r="AG40" s="673"/>
      <c r="AH40" s="673"/>
      <c r="AI40" s="675"/>
      <c r="AJ40" s="673"/>
      <c r="AK40" s="673"/>
      <c r="AL40" s="674"/>
      <c r="AM40" s="673"/>
    </row>
    <row r="41" spans="2:39">
      <c r="G41" s="673"/>
      <c r="H41" s="673" t="s">
        <v>1625</v>
      </c>
      <c r="I41" s="673"/>
      <c r="J41" s="673"/>
      <c r="K41" s="1151">
        <f>C21</f>
        <v>125000000</v>
      </c>
      <c r="L41" s="673"/>
      <c r="M41" s="673"/>
      <c r="N41" s="674"/>
      <c r="O41" s="673"/>
      <c r="P41" s="673"/>
      <c r="Q41" s="673"/>
      <c r="R41" s="673"/>
      <c r="S41" s="673"/>
      <c r="T41" s="673"/>
      <c r="U41" s="673"/>
      <c r="V41" s="674"/>
      <c r="W41" s="673"/>
      <c r="X41" s="673" t="s">
        <v>1041</v>
      </c>
      <c r="Y41" s="673"/>
      <c r="Z41" s="677"/>
      <c r="AA41" s="1151">
        <f>K16</f>
        <v>37391500</v>
      </c>
      <c r="AB41" s="673"/>
      <c r="AC41" s="673"/>
      <c r="AD41" s="674"/>
      <c r="AE41" s="673"/>
      <c r="AF41" s="673"/>
      <c r="AG41" s="673"/>
      <c r="AH41" s="677"/>
      <c r="AI41" s="675"/>
      <c r="AJ41" s="673"/>
      <c r="AK41" s="673"/>
      <c r="AL41" s="674"/>
      <c r="AM41" s="673"/>
    </row>
    <row r="42" spans="2:39">
      <c r="G42" s="673"/>
      <c r="H42" s="673" t="s">
        <v>759</v>
      </c>
      <c r="I42" s="673"/>
      <c r="J42" s="673"/>
      <c r="K42" s="1151">
        <f>10%*(MAX(C15,C16))</f>
        <v>80500000</v>
      </c>
      <c r="L42" s="673"/>
      <c r="M42" s="673"/>
      <c r="N42" s="674"/>
      <c r="O42" s="673"/>
      <c r="P42" s="673"/>
      <c r="Q42" s="673"/>
      <c r="R42" s="675"/>
      <c r="S42" s="673"/>
      <c r="T42" s="673"/>
      <c r="U42" s="673"/>
      <c r="V42" s="674"/>
      <c r="W42" s="673"/>
      <c r="X42" s="673" t="s">
        <v>1624</v>
      </c>
      <c r="Y42" s="673"/>
      <c r="Z42" s="673"/>
      <c r="AA42" s="1151">
        <f>K17</f>
        <v>-48210000</v>
      </c>
      <c r="AB42" s="673"/>
      <c r="AC42" s="673"/>
      <c r="AD42" s="674"/>
      <c r="AE42" s="673"/>
      <c r="AF42" s="673"/>
      <c r="AG42" s="673"/>
      <c r="AH42" s="673"/>
      <c r="AI42" s="673"/>
      <c r="AJ42" s="673"/>
      <c r="AK42" s="673"/>
      <c r="AL42" s="674"/>
      <c r="AM42" s="673"/>
    </row>
    <row r="43" spans="2:39">
      <c r="G43" s="673"/>
      <c r="H43" s="673" t="s">
        <v>1623</v>
      </c>
      <c r="I43" s="673"/>
      <c r="J43" s="673"/>
      <c r="K43" s="1151">
        <f>MAX(0,ABS(K41)-K42)</f>
        <v>44500000</v>
      </c>
      <c r="L43" s="673"/>
      <c r="M43" s="673"/>
      <c r="N43" s="674"/>
      <c r="O43" s="673"/>
      <c r="P43" s="673"/>
      <c r="Q43" s="673"/>
      <c r="R43" s="673"/>
      <c r="S43" s="673"/>
      <c r="T43" s="673"/>
      <c r="U43" s="673"/>
      <c r="V43" s="674"/>
      <c r="W43" s="673"/>
      <c r="X43" s="673" t="s">
        <v>1622</v>
      </c>
      <c r="Y43" s="673"/>
      <c r="Z43" s="673"/>
      <c r="AA43" s="1151">
        <f>K18</f>
        <v>3708333.3333333335</v>
      </c>
      <c r="AB43" s="673"/>
      <c r="AC43" s="673"/>
      <c r="AD43" s="674"/>
      <c r="AE43" s="673"/>
      <c r="AF43" s="673"/>
      <c r="AG43" s="673"/>
      <c r="AH43" s="673"/>
      <c r="AI43" s="673"/>
      <c r="AJ43" s="673"/>
      <c r="AK43" s="673"/>
      <c r="AL43" s="674"/>
      <c r="AM43" s="673"/>
    </row>
    <row r="44" spans="2:39">
      <c r="G44" s="673"/>
      <c r="H44" s="673" t="s">
        <v>1616</v>
      </c>
      <c r="I44" s="673"/>
      <c r="J44" s="675"/>
      <c r="K44" s="1151">
        <f>K43/C24</f>
        <v>3708333.3333333335</v>
      </c>
      <c r="L44" s="673"/>
      <c r="M44" s="673"/>
      <c r="N44" s="674"/>
      <c r="O44" s="673"/>
      <c r="P44" s="673"/>
      <c r="Q44" s="673"/>
      <c r="R44" s="673"/>
      <c r="S44" s="673"/>
      <c r="T44" s="673"/>
      <c r="U44" s="673"/>
      <c r="V44" s="674"/>
      <c r="W44" s="673"/>
      <c r="X44" s="673" t="s">
        <v>1621</v>
      </c>
      <c r="Y44" s="673"/>
      <c r="Z44" s="673"/>
      <c r="AA44" s="1151">
        <f>K19</f>
        <v>2750000</v>
      </c>
      <c r="AB44" s="673"/>
      <c r="AC44" s="673"/>
      <c r="AD44" s="674"/>
      <c r="AE44" s="673"/>
      <c r="AF44" s="673"/>
      <c r="AG44" s="673"/>
      <c r="AH44" s="673"/>
      <c r="AI44" s="673"/>
      <c r="AJ44" s="673"/>
      <c r="AK44" s="673"/>
      <c r="AL44" s="674"/>
      <c r="AM44" s="673"/>
    </row>
    <row r="45" spans="2:39">
      <c r="G45" s="673"/>
      <c r="H45" s="673"/>
      <c r="I45" s="673"/>
      <c r="J45" s="675"/>
      <c r="K45" s="675"/>
      <c r="L45" s="673"/>
      <c r="M45" s="673"/>
      <c r="N45" s="674"/>
      <c r="O45" s="673"/>
      <c r="P45" s="673"/>
      <c r="Q45" s="673"/>
      <c r="R45" s="675"/>
      <c r="S45" s="675"/>
      <c r="T45" s="673"/>
      <c r="U45" s="673"/>
      <c r="V45" s="674"/>
      <c r="W45" s="673"/>
      <c r="X45" s="1153" t="s">
        <v>1620</v>
      </c>
      <c r="Y45" s="1153"/>
      <c r="Z45" s="1155"/>
      <c r="AA45" s="1152">
        <f>AA37</f>
        <v>81074217.933608338</v>
      </c>
      <c r="AB45" s="673"/>
      <c r="AC45" s="673"/>
      <c r="AD45" s="674"/>
      <c r="AE45" s="673"/>
      <c r="AF45" s="673"/>
      <c r="AG45" s="673"/>
      <c r="AH45" s="675"/>
      <c r="AI45" s="675"/>
      <c r="AJ45" s="673"/>
      <c r="AK45" s="673"/>
      <c r="AL45" s="674"/>
      <c r="AM45" s="673"/>
    </row>
    <row r="46" spans="2:39">
      <c r="G46" s="673"/>
      <c r="H46" s="1122" t="s">
        <v>1619</v>
      </c>
      <c r="I46" s="673"/>
      <c r="J46" s="673"/>
      <c r="K46" s="673"/>
      <c r="L46" s="673"/>
      <c r="M46" s="673"/>
      <c r="N46" s="674"/>
      <c r="O46" s="673"/>
      <c r="P46" s="673"/>
      <c r="Q46" s="673"/>
      <c r="R46" s="675"/>
      <c r="S46" s="675"/>
      <c r="T46" s="673"/>
      <c r="U46" s="673"/>
      <c r="V46" s="674"/>
      <c r="W46" s="673"/>
      <c r="X46" s="1158" t="s">
        <v>1618</v>
      </c>
      <c r="Y46" s="1158"/>
      <c r="Z46" s="1157"/>
      <c r="AA46" s="1156">
        <f>SUM(AA40:AA45)</f>
        <v>99714051.266941667</v>
      </c>
      <c r="AB46" s="673"/>
      <c r="AC46" s="673"/>
      <c r="AD46" s="674"/>
      <c r="AE46" s="673"/>
      <c r="AF46" s="673"/>
      <c r="AG46" s="673"/>
      <c r="AH46" s="675"/>
      <c r="AI46" s="675"/>
      <c r="AJ46" s="673"/>
      <c r="AK46" s="673"/>
      <c r="AL46" s="674"/>
      <c r="AM46" s="673"/>
    </row>
    <row r="47" spans="2:39">
      <c r="G47" s="673"/>
      <c r="H47" s="673" t="s">
        <v>1617</v>
      </c>
      <c r="I47" s="673"/>
      <c r="J47" s="673"/>
      <c r="K47" s="1151">
        <f>C22</f>
        <v>33000000</v>
      </c>
      <c r="L47" s="673"/>
      <c r="M47" s="673"/>
      <c r="N47" s="674"/>
      <c r="O47" s="673"/>
      <c r="P47" s="673"/>
      <c r="Q47" s="673"/>
      <c r="R47" s="673"/>
      <c r="S47" s="673"/>
      <c r="T47" s="673"/>
      <c r="U47" s="673"/>
      <c r="V47" s="674"/>
      <c r="W47" s="673"/>
      <c r="Y47" s="673"/>
      <c r="Z47" s="675"/>
      <c r="AA47" s="675"/>
      <c r="AB47" s="673"/>
      <c r="AC47" s="673"/>
      <c r="AD47" s="674"/>
      <c r="AE47" s="673"/>
      <c r="AF47" s="673"/>
      <c r="AG47" s="673"/>
      <c r="AH47" s="675"/>
      <c r="AI47" s="675"/>
      <c r="AJ47" s="673"/>
      <c r="AK47" s="673"/>
      <c r="AL47" s="674"/>
      <c r="AM47" s="673"/>
    </row>
    <row r="48" spans="2:39">
      <c r="G48" s="673"/>
      <c r="H48" s="673" t="s">
        <v>1616</v>
      </c>
      <c r="I48" s="673"/>
      <c r="J48" s="673"/>
      <c r="K48" s="1151">
        <f>K47/C24</f>
        <v>2750000</v>
      </c>
      <c r="L48" s="673"/>
      <c r="M48" s="673"/>
      <c r="N48" s="674"/>
      <c r="O48" s="673"/>
      <c r="P48" s="673"/>
      <c r="Q48" s="673"/>
      <c r="R48" s="673"/>
      <c r="S48" s="673"/>
      <c r="T48" s="673"/>
      <c r="U48" s="673"/>
      <c r="V48" s="674"/>
      <c r="W48" s="673"/>
      <c r="X48" s="603" t="s">
        <v>1615</v>
      </c>
      <c r="Y48" s="673"/>
      <c r="Z48" s="675"/>
      <c r="AA48" s="675"/>
      <c r="AB48" s="673"/>
      <c r="AC48" s="673"/>
      <c r="AD48" s="674"/>
      <c r="AE48" s="673"/>
      <c r="AF48" s="673"/>
      <c r="AG48" s="673"/>
      <c r="AH48" s="675"/>
      <c r="AI48" s="675"/>
      <c r="AJ48" s="673"/>
      <c r="AK48" s="673"/>
      <c r="AL48" s="674"/>
      <c r="AM48" s="673"/>
    </row>
    <row r="49" spans="7:39">
      <c r="G49" s="673"/>
      <c r="L49" s="673"/>
      <c r="M49" s="673"/>
      <c r="N49" s="674"/>
      <c r="O49" s="673"/>
      <c r="P49" s="673"/>
      <c r="Q49" s="673"/>
      <c r="R49" s="673"/>
      <c r="S49" s="673"/>
      <c r="T49" s="673"/>
      <c r="U49" s="673"/>
      <c r="V49" s="674"/>
      <c r="W49" s="673"/>
      <c r="X49" s="560" t="s">
        <v>1614</v>
      </c>
      <c r="Y49" s="673"/>
      <c r="Z49" s="673"/>
      <c r="AA49" s="1030">
        <f>K23</f>
        <v>695000000</v>
      </c>
      <c r="AB49" s="673"/>
      <c r="AC49" s="673"/>
      <c r="AD49" s="674"/>
      <c r="AE49" s="673"/>
      <c r="AF49" s="673"/>
      <c r="AG49" s="673"/>
      <c r="AH49" s="673"/>
      <c r="AI49" s="673"/>
      <c r="AJ49" s="673"/>
      <c r="AK49" s="673"/>
      <c r="AL49" s="674"/>
      <c r="AM49" s="673"/>
    </row>
    <row r="50" spans="7:39">
      <c r="G50" s="673"/>
      <c r="H50" s="673"/>
      <c r="I50" s="673"/>
      <c r="J50" s="673"/>
      <c r="K50" s="673"/>
      <c r="L50" s="673"/>
      <c r="M50" s="673"/>
      <c r="N50" s="674"/>
      <c r="O50" s="673"/>
      <c r="P50" s="673"/>
      <c r="Q50" s="673"/>
      <c r="R50" s="673"/>
      <c r="S50" s="673"/>
      <c r="T50" s="673"/>
      <c r="U50" s="673"/>
      <c r="V50" s="674"/>
      <c r="W50" s="673"/>
      <c r="X50" s="560" t="s">
        <v>1613</v>
      </c>
      <c r="Y50" s="673"/>
      <c r="Z50" s="675"/>
      <c r="AA50" s="1030">
        <f>K24</f>
        <v>23000000</v>
      </c>
      <c r="AB50" s="673"/>
      <c r="AC50" s="673"/>
      <c r="AD50" s="674"/>
      <c r="AE50" s="673"/>
      <c r="AF50" s="673"/>
      <c r="AG50" s="673"/>
      <c r="AH50" s="675"/>
      <c r="AI50" s="675"/>
      <c r="AJ50" s="673"/>
      <c r="AK50" s="673"/>
      <c r="AL50" s="674"/>
      <c r="AM50" s="673"/>
    </row>
    <row r="51" spans="7:39">
      <c r="G51" s="673"/>
      <c r="H51" s="673"/>
      <c r="I51" s="673"/>
      <c r="J51" s="673"/>
      <c r="K51" s="673"/>
      <c r="L51" s="673"/>
      <c r="M51" s="673"/>
      <c r="N51" s="674"/>
      <c r="O51" s="673"/>
      <c r="P51" s="673"/>
      <c r="Q51" s="673"/>
      <c r="R51" s="673"/>
      <c r="S51" s="673"/>
      <c r="T51" s="673"/>
      <c r="U51" s="673"/>
      <c r="V51" s="674"/>
      <c r="W51" s="673"/>
      <c r="X51" s="560" t="s">
        <v>1612</v>
      </c>
      <c r="Y51" s="673"/>
      <c r="Z51" s="675"/>
      <c r="AA51" s="1030">
        <f>K25</f>
        <v>37391500</v>
      </c>
      <c r="AB51" s="675"/>
      <c r="AC51" s="673"/>
      <c r="AD51" s="674"/>
      <c r="AE51" s="673"/>
      <c r="AF51" s="673"/>
      <c r="AG51" s="673"/>
      <c r="AH51" s="675"/>
      <c r="AI51" s="675"/>
      <c r="AJ51" s="675"/>
      <c r="AK51" s="673"/>
      <c r="AL51" s="674"/>
      <c r="AM51" s="673"/>
    </row>
    <row r="52" spans="7:39">
      <c r="G52" s="673"/>
      <c r="H52" s="673"/>
      <c r="I52" s="673"/>
      <c r="J52" s="673"/>
      <c r="K52" s="673"/>
      <c r="L52" s="673"/>
      <c r="M52" s="673"/>
      <c r="N52" s="674"/>
      <c r="O52" s="673"/>
      <c r="P52" s="673"/>
      <c r="Q52" s="673"/>
      <c r="R52" s="673"/>
      <c r="S52" s="673"/>
      <c r="T52" s="673"/>
      <c r="U52" s="673"/>
      <c r="V52" s="674"/>
      <c r="W52" s="673"/>
      <c r="X52" s="994" t="s">
        <v>1604</v>
      </c>
      <c r="Y52" s="1153"/>
      <c r="Z52" s="1153"/>
      <c r="AA52" s="1154">
        <f>K26</f>
        <v>-25000000</v>
      </c>
      <c r="AB52" s="675"/>
      <c r="AC52" s="673"/>
      <c r="AD52" s="674"/>
      <c r="AE52" s="673"/>
      <c r="AF52" s="673"/>
      <c r="AG52" s="673"/>
      <c r="AH52" s="673"/>
      <c r="AI52" s="673"/>
      <c r="AJ52" s="675"/>
      <c r="AK52" s="673"/>
      <c r="AL52" s="674"/>
      <c r="AM52" s="673"/>
    </row>
    <row r="53" spans="7:39">
      <c r="G53" s="673"/>
      <c r="H53" s="673"/>
      <c r="I53" s="673"/>
      <c r="J53" s="673"/>
      <c r="K53" s="673"/>
      <c r="L53" s="673"/>
      <c r="M53" s="673"/>
      <c r="N53" s="674"/>
      <c r="O53" s="673"/>
      <c r="P53" s="673"/>
      <c r="Q53" s="673"/>
      <c r="R53" s="673"/>
      <c r="S53" s="673"/>
      <c r="T53" s="673"/>
      <c r="U53" s="673"/>
      <c r="V53" s="674"/>
      <c r="W53" s="673"/>
      <c r="X53" s="560" t="s">
        <v>1611</v>
      </c>
      <c r="Y53" s="673"/>
      <c r="Z53" s="673"/>
      <c r="AA53" s="1030">
        <f>SUM(AA49:AA52)</f>
        <v>730391500</v>
      </c>
      <c r="AB53" s="673"/>
      <c r="AC53" s="673"/>
      <c r="AD53" s="674"/>
      <c r="AE53" s="673"/>
      <c r="AF53" s="673"/>
      <c r="AG53" s="673"/>
      <c r="AH53" s="673"/>
      <c r="AI53" s="673"/>
      <c r="AJ53" s="673"/>
      <c r="AK53" s="673"/>
      <c r="AL53" s="674"/>
      <c r="AM53" s="673"/>
    </row>
    <row r="54" spans="7:39">
      <c r="G54" s="673"/>
      <c r="H54" s="673"/>
      <c r="I54" s="673"/>
      <c r="J54" s="673"/>
      <c r="K54" s="673"/>
      <c r="L54" s="673"/>
      <c r="M54" s="673"/>
      <c r="N54" s="674"/>
      <c r="O54" s="673"/>
      <c r="P54" s="673"/>
      <c r="Q54" s="673"/>
      <c r="R54" s="673"/>
      <c r="S54" s="673"/>
      <c r="T54" s="673"/>
      <c r="U54" s="673"/>
      <c r="V54" s="674"/>
      <c r="W54" s="673"/>
      <c r="X54" s="994" t="s">
        <v>1610</v>
      </c>
      <c r="Y54" s="1153"/>
      <c r="Z54" s="1153"/>
      <c r="AA54" s="1154">
        <f>AA55-AA53</f>
        <v>84608500</v>
      </c>
      <c r="AB54" s="673"/>
      <c r="AC54" s="673"/>
      <c r="AD54" s="674"/>
      <c r="AE54" s="673"/>
      <c r="AF54" s="673"/>
      <c r="AG54" s="673"/>
      <c r="AH54" s="673"/>
      <c r="AI54" s="673"/>
      <c r="AJ54" s="673"/>
      <c r="AK54" s="673"/>
      <c r="AL54" s="674"/>
      <c r="AM54" s="673"/>
    </row>
    <row r="55" spans="7:39">
      <c r="G55" s="673"/>
      <c r="H55" s="673"/>
      <c r="I55" s="673"/>
      <c r="J55" s="673"/>
      <c r="K55" s="673"/>
      <c r="L55" s="673"/>
      <c r="M55" s="673"/>
      <c r="N55" s="674"/>
      <c r="O55" s="673"/>
      <c r="P55" s="673"/>
      <c r="Q55" s="673"/>
      <c r="R55" s="673"/>
      <c r="S55" s="673"/>
      <c r="T55" s="673"/>
      <c r="U55" s="673"/>
      <c r="V55" s="674"/>
      <c r="W55" s="673"/>
      <c r="X55" s="673" t="s">
        <v>1609</v>
      </c>
      <c r="Y55" s="673"/>
      <c r="Z55" s="673"/>
      <c r="AA55" s="1030">
        <f>D15</f>
        <v>815000000</v>
      </c>
      <c r="AB55" s="673"/>
      <c r="AC55" s="673"/>
      <c r="AD55" s="674"/>
      <c r="AE55" s="673"/>
      <c r="AF55" s="673"/>
      <c r="AG55" s="673"/>
      <c r="AH55" s="673"/>
      <c r="AI55" s="673"/>
      <c r="AJ55" s="673"/>
      <c r="AK55" s="673"/>
      <c r="AL55" s="674"/>
      <c r="AM55" s="673"/>
    </row>
    <row r="56" spans="7:39">
      <c r="G56" s="673"/>
      <c r="H56" s="673"/>
      <c r="I56" s="673"/>
      <c r="J56" s="673"/>
      <c r="K56" s="673"/>
      <c r="L56" s="673"/>
      <c r="M56" s="673"/>
      <c r="N56" s="674"/>
      <c r="O56" s="673"/>
      <c r="P56" s="673"/>
      <c r="Q56" s="673"/>
      <c r="R56" s="673"/>
      <c r="S56" s="673"/>
      <c r="T56" s="673"/>
      <c r="U56" s="673"/>
      <c r="V56" s="674"/>
      <c r="W56" s="673"/>
      <c r="X56" s="1153" t="s">
        <v>1608</v>
      </c>
      <c r="Y56" s="1153"/>
      <c r="Z56" s="1155"/>
      <c r="AA56" s="1152">
        <f>-AA25</f>
        <v>-200000000</v>
      </c>
      <c r="AB56" s="673"/>
      <c r="AC56" s="673"/>
      <c r="AD56" s="674"/>
      <c r="AE56" s="673"/>
      <c r="AF56" s="673"/>
      <c r="AG56" s="673"/>
      <c r="AH56" s="675"/>
      <c r="AI56" s="675"/>
      <c r="AJ56" s="673"/>
      <c r="AK56" s="673"/>
      <c r="AL56" s="674"/>
      <c r="AM56" s="673"/>
    </row>
    <row r="57" spans="7:39">
      <c r="G57" s="673"/>
      <c r="H57" s="673"/>
      <c r="I57" s="673"/>
      <c r="J57" s="673"/>
      <c r="K57" s="673"/>
      <c r="L57" s="673"/>
      <c r="M57" s="673"/>
      <c r="N57" s="674"/>
      <c r="O57" s="673"/>
      <c r="P57" s="673"/>
      <c r="Q57" s="673"/>
      <c r="R57" s="673"/>
      <c r="S57" s="673"/>
      <c r="T57" s="673"/>
      <c r="U57" s="673"/>
      <c r="V57" s="674"/>
      <c r="W57" s="673"/>
      <c r="X57" s="673" t="s">
        <v>1607</v>
      </c>
      <c r="Y57" s="673"/>
      <c r="Z57" s="676"/>
      <c r="AA57" s="1151">
        <f>SUM(AA55:AA56)</f>
        <v>615000000</v>
      </c>
      <c r="AB57" s="673"/>
      <c r="AC57" s="673"/>
      <c r="AD57" s="674"/>
      <c r="AE57" s="673"/>
      <c r="AF57" s="673"/>
      <c r="AG57" s="673"/>
      <c r="AH57" s="676"/>
      <c r="AI57" s="675"/>
      <c r="AJ57" s="673"/>
      <c r="AK57" s="673"/>
      <c r="AL57" s="674"/>
      <c r="AM57" s="673"/>
    </row>
    <row r="58" spans="7:39">
      <c r="G58" s="673"/>
      <c r="H58" s="673"/>
      <c r="I58" s="673"/>
      <c r="J58" s="673"/>
      <c r="K58" s="673"/>
      <c r="L58" s="673"/>
      <c r="M58" s="673"/>
      <c r="N58" s="674"/>
      <c r="O58" s="673"/>
      <c r="P58" s="673"/>
      <c r="Q58" s="673"/>
      <c r="R58" s="673"/>
      <c r="S58" s="673"/>
      <c r="T58" s="673"/>
      <c r="U58" s="673"/>
      <c r="V58" s="674"/>
      <c r="W58" s="673"/>
      <c r="X58" s="673"/>
      <c r="Y58" s="673"/>
      <c r="Z58" s="673"/>
      <c r="AA58" s="673"/>
      <c r="AB58" s="673"/>
      <c r="AC58" s="673"/>
      <c r="AD58" s="674"/>
      <c r="AE58" s="673"/>
      <c r="AF58" s="673"/>
      <c r="AG58" s="673"/>
      <c r="AH58" s="673"/>
      <c r="AI58" s="673"/>
      <c r="AJ58" s="673"/>
      <c r="AK58" s="673"/>
      <c r="AL58" s="674"/>
      <c r="AM58" s="673"/>
    </row>
    <row r="59" spans="7:39">
      <c r="G59" s="673"/>
      <c r="H59" s="673"/>
      <c r="I59" s="673"/>
      <c r="J59" s="673"/>
      <c r="K59" s="673"/>
      <c r="L59" s="673"/>
      <c r="M59" s="673"/>
      <c r="N59" s="674"/>
      <c r="O59" s="673"/>
      <c r="P59" s="673"/>
      <c r="Q59" s="673"/>
      <c r="R59" s="673"/>
      <c r="S59" s="673"/>
      <c r="T59" s="673"/>
      <c r="U59" s="673"/>
      <c r="V59" s="674"/>
      <c r="W59" s="673"/>
      <c r="X59" s="1122" t="s">
        <v>1606</v>
      </c>
      <c r="Y59" s="673"/>
      <c r="Z59" s="673"/>
      <c r="AA59" s="675"/>
      <c r="AB59" s="673"/>
      <c r="AC59" s="673"/>
      <c r="AD59" s="674"/>
      <c r="AE59" s="673"/>
      <c r="AF59" s="673"/>
      <c r="AG59" s="673"/>
      <c r="AH59" s="673"/>
      <c r="AI59" s="675"/>
      <c r="AJ59" s="673"/>
      <c r="AK59" s="673"/>
      <c r="AL59" s="674"/>
      <c r="AM59" s="673"/>
    </row>
    <row r="60" spans="7:39">
      <c r="G60" s="673"/>
      <c r="H60" s="673"/>
      <c r="I60" s="673"/>
      <c r="J60" s="673"/>
      <c r="K60" s="673"/>
      <c r="L60" s="673"/>
      <c r="M60" s="673"/>
      <c r="N60" s="674"/>
      <c r="O60" s="673"/>
      <c r="P60" s="673"/>
      <c r="Q60" s="673"/>
      <c r="R60" s="673"/>
      <c r="S60" s="673"/>
      <c r="T60" s="673"/>
      <c r="U60" s="673"/>
      <c r="V60" s="674"/>
      <c r="W60" s="673"/>
      <c r="X60" s="673" t="s">
        <v>1605</v>
      </c>
      <c r="Y60" s="673"/>
      <c r="Z60" s="673"/>
      <c r="AA60" s="1151">
        <f>K32</f>
        <v>805000000</v>
      </c>
      <c r="AB60" s="673"/>
      <c r="AC60" s="673"/>
      <c r="AD60" s="674"/>
      <c r="AE60" s="673"/>
      <c r="AF60" s="673"/>
      <c r="AG60" s="673"/>
      <c r="AH60" s="673"/>
      <c r="AI60" s="675"/>
      <c r="AJ60" s="673"/>
      <c r="AK60" s="673"/>
      <c r="AL60" s="674"/>
      <c r="AM60" s="673"/>
    </row>
    <row r="61" spans="7:39">
      <c r="G61" s="673"/>
      <c r="H61" s="673"/>
      <c r="I61" s="673"/>
      <c r="J61" s="673"/>
      <c r="K61" s="673"/>
      <c r="L61" s="673"/>
      <c r="M61" s="673"/>
      <c r="N61" s="674"/>
      <c r="O61" s="673"/>
      <c r="P61" s="673"/>
      <c r="Q61" s="673"/>
      <c r="R61" s="673"/>
      <c r="S61" s="673"/>
      <c r="T61" s="673"/>
      <c r="U61" s="673"/>
      <c r="V61" s="674"/>
      <c r="W61" s="673"/>
      <c r="X61" s="673" t="s">
        <v>113</v>
      </c>
      <c r="Y61" s="673"/>
      <c r="Z61" s="673"/>
      <c r="AA61" s="1151">
        <f>K33</f>
        <v>22000000</v>
      </c>
      <c r="AB61" s="673"/>
      <c r="AC61" s="673"/>
      <c r="AD61" s="674"/>
      <c r="AE61" s="673"/>
      <c r="AF61" s="673"/>
      <c r="AG61" s="673"/>
      <c r="AH61" s="673"/>
      <c r="AI61" s="675"/>
      <c r="AJ61" s="673"/>
      <c r="AK61" s="673"/>
      <c r="AL61" s="674"/>
      <c r="AM61" s="673"/>
    </row>
    <row r="62" spans="7:39">
      <c r="G62" s="673"/>
      <c r="H62" s="673"/>
      <c r="I62" s="673"/>
      <c r="J62" s="673"/>
      <c r="K62" s="673"/>
      <c r="L62" s="673"/>
      <c r="M62" s="673"/>
      <c r="N62" s="674"/>
      <c r="O62" s="673"/>
      <c r="P62" s="673"/>
      <c r="Q62" s="673"/>
      <c r="R62" s="673"/>
      <c r="S62" s="673"/>
      <c r="T62" s="673"/>
      <c r="U62" s="673"/>
      <c r="V62" s="674"/>
      <c r="W62" s="673"/>
      <c r="X62" s="673" t="s">
        <v>1604</v>
      </c>
      <c r="Y62" s="673"/>
      <c r="Z62" s="673"/>
      <c r="AA62" s="1151">
        <f>K34</f>
        <v>-25000000</v>
      </c>
      <c r="AB62" s="673"/>
      <c r="AC62" s="673"/>
      <c r="AD62" s="674"/>
      <c r="AE62" s="673"/>
      <c r="AF62" s="673"/>
      <c r="AG62" s="673"/>
      <c r="AH62" s="673"/>
      <c r="AI62" s="675"/>
      <c r="AJ62" s="673"/>
      <c r="AK62" s="673"/>
      <c r="AL62" s="674"/>
      <c r="AM62" s="673"/>
    </row>
    <row r="63" spans="7:39">
      <c r="G63" s="673"/>
      <c r="H63" s="673"/>
      <c r="I63" s="673"/>
      <c r="J63" s="673"/>
      <c r="K63" s="673"/>
      <c r="L63" s="673"/>
      <c r="M63" s="673"/>
      <c r="N63" s="674"/>
      <c r="O63" s="673"/>
      <c r="P63" s="673"/>
      <c r="Q63" s="673"/>
      <c r="R63" s="673"/>
      <c r="S63" s="673"/>
      <c r="T63" s="673"/>
      <c r="U63" s="673"/>
      <c r="V63" s="674"/>
      <c r="W63" s="673"/>
      <c r="X63" s="1153" t="s">
        <v>1144</v>
      </c>
      <c r="Y63" s="1153"/>
      <c r="Z63" s="1153"/>
      <c r="AA63" s="1152">
        <f>K35</f>
        <v>48210000</v>
      </c>
      <c r="AB63" s="673"/>
      <c r="AC63" s="673"/>
      <c r="AD63" s="674"/>
      <c r="AE63" s="673"/>
      <c r="AF63" s="673"/>
      <c r="AG63" s="673"/>
      <c r="AH63" s="673"/>
      <c r="AI63" s="675"/>
      <c r="AJ63" s="673"/>
      <c r="AK63" s="673"/>
      <c r="AL63" s="674"/>
      <c r="AM63" s="673"/>
    </row>
    <row r="64" spans="7:39">
      <c r="G64" s="673"/>
      <c r="H64" s="673"/>
      <c r="I64" s="673"/>
      <c r="J64" s="673"/>
      <c r="K64" s="673"/>
      <c r="L64" s="673"/>
      <c r="M64" s="673"/>
      <c r="N64" s="674"/>
      <c r="O64" s="673"/>
      <c r="P64" s="673"/>
      <c r="Q64" s="673"/>
      <c r="R64" s="673"/>
      <c r="S64" s="673"/>
      <c r="T64" s="673"/>
      <c r="U64" s="673"/>
      <c r="V64" s="674"/>
      <c r="W64" s="673"/>
      <c r="X64" s="673" t="s">
        <v>1603</v>
      </c>
      <c r="Y64" s="673"/>
      <c r="Z64" s="673"/>
      <c r="AA64" s="1030">
        <f>SUM(AA60:AA63)</f>
        <v>850210000</v>
      </c>
      <c r="AB64" s="673"/>
      <c r="AC64" s="673"/>
      <c r="AD64" s="674"/>
      <c r="AE64" s="673"/>
      <c r="AF64" s="673"/>
      <c r="AG64" s="673"/>
      <c r="AH64" s="673"/>
      <c r="AI64" s="675"/>
      <c r="AJ64" s="673"/>
      <c r="AK64" s="673"/>
      <c r="AL64" s="674"/>
      <c r="AM64" s="673"/>
    </row>
    <row r="65" spans="7:39">
      <c r="G65" s="673"/>
      <c r="H65" s="673"/>
      <c r="I65" s="673"/>
      <c r="J65" s="673"/>
      <c r="K65" s="673"/>
      <c r="L65" s="673"/>
      <c r="M65" s="673"/>
      <c r="N65" s="674"/>
      <c r="O65" s="673"/>
      <c r="P65" s="673"/>
      <c r="Q65" s="673"/>
      <c r="R65" s="673"/>
      <c r="S65" s="673"/>
      <c r="T65" s="673"/>
      <c r="U65" s="673"/>
      <c r="V65" s="674"/>
      <c r="W65" s="673"/>
      <c r="X65" s="1153" t="s">
        <v>1602</v>
      </c>
      <c r="Y65" s="1153"/>
      <c r="Z65" s="1153"/>
      <c r="AA65" s="1154">
        <f>AA66-AA64</f>
        <v>-55210000</v>
      </c>
      <c r="AB65" s="673"/>
      <c r="AC65" s="673"/>
      <c r="AD65" s="674"/>
      <c r="AE65" s="673"/>
      <c r="AF65" s="673"/>
      <c r="AG65" s="673"/>
      <c r="AH65" s="673"/>
      <c r="AI65" s="675"/>
      <c r="AJ65" s="673"/>
      <c r="AK65" s="673"/>
      <c r="AL65" s="674"/>
      <c r="AM65" s="673"/>
    </row>
    <row r="66" spans="7:39">
      <c r="G66" s="673"/>
      <c r="H66" s="673"/>
      <c r="I66" s="673"/>
      <c r="J66" s="673"/>
      <c r="K66" s="673"/>
      <c r="L66" s="673"/>
      <c r="M66" s="673"/>
      <c r="N66" s="674"/>
      <c r="O66" s="673"/>
      <c r="P66" s="673"/>
      <c r="Q66" s="673"/>
      <c r="R66" s="673"/>
      <c r="S66" s="673"/>
      <c r="T66" s="673"/>
      <c r="U66" s="673"/>
      <c r="V66" s="674"/>
      <c r="W66" s="673"/>
      <c r="X66" s="673" t="s">
        <v>1601</v>
      </c>
      <c r="Y66" s="673"/>
      <c r="Z66" s="673"/>
      <c r="AA66" s="1151">
        <f>D16</f>
        <v>795000000</v>
      </c>
      <c r="AB66" s="673"/>
      <c r="AC66" s="673"/>
      <c r="AD66" s="674"/>
      <c r="AE66" s="673"/>
      <c r="AF66" s="673"/>
      <c r="AG66" s="673"/>
      <c r="AH66" s="673"/>
      <c r="AI66" s="675"/>
      <c r="AJ66" s="673"/>
      <c r="AK66" s="673"/>
      <c r="AL66" s="674"/>
      <c r="AM66" s="673"/>
    </row>
    <row r="67" spans="7:39">
      <c r="G67" s="673"/>
      <c r="H67" s="673"/>
      <c r="I67" s="673"/>
      <c r="J67" s="673"/>
      <c r="K67" s="673"/>
      <c r="L67" s="673"/>
      <c r="M67" s="673"/>
      <c r="N67" s="674"/>
      <c r="O67" s="673"/>
      <c r="P67" s="673"/>
      <c r="Q67" s="673"/>
      <c r="R67" s="673"/>
      <c r="S67" s="673"/>
      <c r="T67" s="673"/>
      <c r="U67" s="673"/>
      <c r="V67" s="674"/>
      <c r="W67" s="673"/>
      <c r="X67" s="1153" t="s">
        <v>1600</v>
      </c>
      <c r="Y67" s="1153"/>
      <c r="Z67" s="1153"/>
      <c r="AA67" s="1152">
        <f>-AA26</f>
        <v>-233500000</v>
      </c>
      <c r="AB67" s="675"/>
      <c r="AC67" s="673"/>
      <c r="AD67" s="674"/>
      <c r="AE67" s="673"/>
      <c r="AF67" s="673"/>
      <c r="AG67" s="673"/>
      <c r="AH67" s="673"/>
      <c r="AI67" s="675"/>
      <c r="AJ67" s="675"/>
      <c r="AK67" s="673"/>
      <c r="AL67" s="674"/>
      <c r="AM67" s="673"/>
    </row>
    <row r="68" spans="7:39">
      <c r="G68" s="673"/>
      <c r="H68" s="673"/>
      <c r="I68" s="673"/>
      <c r="J68" s="673"/>
      <c r="K68" s="673"/>
      <c r="L68" s="673"/>
      <c r="M68" s="673"/>
      <c r="N68" s="674"/>
      <c r="O68" s="673"/>
      <c r="P68" s="673"/>
      <c r="Q68" s="673"/>
      <c r="R68" s="673"/>
      <c r="S68" s="673"/>
      <c r="T68" s="673"/>
      <c r="U68" s="673"/>
      <c r="V68" s="674"/>
      <c r="W68" s="673"/>
      <c r="X68" s="673" t="s">
        <v>1599</v>
      </c>
      <c r="Y68" s="673"/>
      <c r="Z68" s="673"/>
      <c r="AA68" s="1030">
        <f>SUM(AA66:AA67)</f>
        <v>561500000</v>
      </c>
      <c r="AB68" s="673"/>
      <c r="AC68" s="673"/>
      <c r="AD68" s="674"/>
      <c r="AE68" s="673"/>
      <c r="AF68" s="673"/>
      <c r="AG68" s="673"/>
      <c r="AH68" s="673"/>
      <c r="AI68" s="673"/>
      <c r="AJ68" s="673"/>
      <c r="AK68" s="673"/>
      <c r="AL68" s="674"/>
      <c r="AM68" s="673"/>
    </row>
    <row r="69" spans="7:39">
      <c r="G69" s="673"/>
      <c r="H69" s="673"/>
      <c r="I69" s="673"/>
      <c r="J69" s="673"/>
      <c r="K69" s="673"/>
      <c r="L69" s="673"/>
      <c r="M69" s="673"/>
      <c r="N69" s="674"/>
      <c r="O69" s="673"/>
      <c r="P69" s="673"/>
      <c r="Q69" s="673"/>
      <c r="R69" s="673"/>
      <c r="S69" s="673"/>
      <c r="T69" s="673"/>
      <c r="U69" s="673"/>
      <c r="V69" s="674"/>
      <c r="W69" s="673"/>
      <c r="X69" s="673"/>
      <c r="Y69" s="673"/>
      <c r="Z69" s="673"/>
      <c r="AA69" s="673"/>
      <c r="AB69" s="673"/>
      <c r="AC69" s="673"/>
      <c r="AD69" s="674"/>
      <c r="AE69" s="673"/>
      <c r="AF69" s="673"/>
      <c r="AG69" s="673"/>
      <c r="AH69" s="673"/>
      <c r="AI69" s="673"/>
      <c r="AJ69" s="673"/>
      <c r="AK69" s="673"/>
      <c r="AL69" s="674"/>
      <c r="AM69" s="673"/>
    </row>
    <row r="70" spans="7:39">
      <c r="G70" s="673"/>
      <c r="H70" s="673"/>
      <c r="I70" s="673"/>
      <c r="J70" s="673"/>
      <c r="K70" s="673"/>
      <c r="L70" s="673"/>
      <c r="M70" s="673"/>
      <c r="N70" s="674"/>
      <c r="O70" s="673"/>
      <c r="P70" s="673"/>
      <c r="Q70" s="673"/>
      <c r="R70" s="673"/>
      <c r="S70" s="673"/>
      <c r="T70" s="673"/>
      <c r="U70" s="673"/>
      <c r="V70" s="674"/>
      <c r="W70" s="673"/>
      <c r="X70" s="1150" t="s">
        <v>1598</v>
      </c>
      <c r="Y70" s="1150"/>
      <c r="Z70" s="1150"/>
      <c r="AA70" s="1149">
        <f>AA68-AA57</f>
        <v>-53500000</v>
      </c>
      <c r="AB70" s="673"/>
      <c r="AC70" s="673"/>
      <c r="AD70" s="674"/>
      <c r="AE70" s="673"/>
      <c r="AF70" s="673"/>
      <c r="AG70" s="673"/>
      <c r="AH70" s="673"/>
      <c r="AI70" s="673"/>
      <c r="AJ70" s="673"/>
      <c r="AK70" s="673"/>
      <c r="AL70" s="674"/>
      <c r="AM70" s="673"/>
    </row>
    <row r="71" spans="7:39">
      <c r="G71" s="673"/>
      <c r="H71" s="673"/>
      <c r="I71" s="673"/>
      <c r="J71" s="673"/>
      <c r="K71" s="673"/>
      <c r="L71" s="673"/>
      <c r="M71" s="673"/>
      <c r="N71" s="674"/>
      <c r="O71" s="673"/>
      <c r="P71" s="673"/>
      <c r="Q71" s="673"/>
      <c r="R71" s="673"/>
      <c r="S71" s="673"/>
      <c r="T71" s="673"/>
      <c r="U71" s="673"/>
      <c r="V71" s="674"/>
      <c r="W71" s="673"/>
      <c r="AB71" s="673"/>
      <c r="AC71" s="673"/>
      <c r="AD71" s="674"/>
      <c r="AE71" s="673"/>
      <c r="AF71" s="673"/>
      <c r="AG71" s="673"/>
      <c r="AH71" s="673"/>
      <c r="AI71" s="673"/>
      <c r="AJ71" s="673"/>
      <c r="AK71" s="673"/>
      <c r="AL71" s="674"/>
      <c r="AM71" s="673"/>
    </row>
    <row r="72" spans="7:39">
      <c r="G72" s="673"/>
      <c r="H72" s="673"/>
      <c r="I72" s="673"/>
      <c r="J72" s="673"/>
      <c r="K72" s="673"/>
      <c r="L72" s="673"/>
      <c r="M72" s="673"/>
      <c r="N72" s="674"/>
      <c r="O72" s="673"/>
      <c r="P72" s="673"/>
      <c r="Q72" s="673"/>
      <c r="R72" s="673"/>
      <c r="S72" s="673"/>
      <c r="T72" s="673"/>
      <c r="U72" s="673"/>
      <c r="V72" s="674"/>
      <c r="W72" s="673"/>
      <c r="X72" s="1122" t="s">
        <v>1597</v>
      </c>
      <c r="Y72" s="673"/>
      <c r="Z72" s="673"/>
      <c r="AA72" s="673"/>
      <c r="AB72" s="673"/>
      <c r="AC72" s="673"/>
      <c r="AD72" s="674"/>
      <c r="AE72" s="673"/>
      <c r="AF72" s="673"/>
      <c r="AG72" s="673"/>
      <c r="AH72" s="675"/>
      <c r="AI72" s="675"/>
      <c r="AJ72" s="673"/>
      <c r="AK72" s="673"/>
      <c r="AL72" s="674"/>
      <c r="AM72" s="673"/>
    </row>
    <row r="73" spans="7:39">
      <c r="G73" s="673"/>
      <c r="H73" s="673"/>
      <c r="I73" s="673"/>
      <c r="J73" s="673"/>
      <c r="K73" s="673"/>
      <c r="L73" s="673"/>
      <c r="M73" s="673"/>
      <c r="N73" s="674"/>
      <c r="O73" s="673"/>
      <c r="P73" s="673"/>
      <c r="Q73" s="673"/>
      <c r="R73" s="673"/>
      <c r="S73" s="673"/>
      <c r="T73" s="673"/>
      <c r="U73" s="673"/>
      <c r="V73" s="674"/>
      <c r="W73" s="673"/>
      <c r="X73" s="673" t="s">
        <v>1592</v>
      </c>
      <c r="Y73" s="673"/>
      <c r="Z73" s="673"/>
      <c r="AA73" s="1030">
        <f>S23</f>
        <v>125000000</v>
      </c>
      <c r="AB73" s="673"/>
      <c r="AC73" s="673"/>
      <c r="AD73" s="674"/>
      <c r="AE73" s="673"/>
      <c r="AF73" s="673"/>
      <c r="AG73" s="673"/>
      <c r="AH73" s="675"/>
      <c r="AI73" s="675"/>
      <c r="AJ73" s="673"/>
      <c r="AK73" s="673"/>
      <c r="AL73" s="674"/>
      <c r="AM73" s="673"/>
    </row>
    <row r="74" spans="7:39">
      <c r="G74" s="673"/>
      <c r="H74" s="673"/>
      <c r="I74" s="673"/>
      <c r="J74" s="673"/>
      <c r="K74" s="673"/>
      <c r="L74" s="673"/>
      <c r="M74" s="673"/>
      <c r="N74" s="674"/>
      <c r="O74" s="673"/>
      <c r="P74" s="673"/>
      <c r="Q74" s="673"/>
      <c r="R74" s="673"/>
      <c r="S74" s="673"/>
      <c r="T74" s="673"/>
      <c r="U74" s="673"/>
      <c r="V74" s="674"/>
      <c r="W74" s="673"/>
      <c r="X74" s="673" t="s">
        <v>1591</v>
      </c>
      <c r="Y74" s="673"/>
      <c r="Z74" s="675"/>
      <c r="AA74" s="1030">
        <f>S24</f>
        <v>-3708333.3333333335</v>
      </c>
      <c r="AB74" s="673"/>
      <c r="AC74" s="673"/>
      <c r="AD74" s="674"/>
      <c r="AE74" s="673"/>
      <c r="AF74" s="673"/>
      <c r="AG74" s="673"/>
      <c r="AH74" s="675"/>
      <c r="AI74" s="675"/>
      <c r="AJ74" s="673"/>
      <c r="AK74" s="673"/>
      <c r="AL74" s="674"/>
      <c r="AM74" s="673"/>
    </row>
    <row r="75" spans="7:39">
      <c r="G75" s="673"/>
      <c r="H75" s="673"/>
      <c r="I75" s="673"/>
      <c r="J75" s="673"/>
      <c r="K75" s="673"/>
      <c r="L75" s="673"/>
      <c r="M75" s="673"/>
      <c r="N75" s="674"/>
      <c r="O75" s="673"/>
      <c r="P75" s="673"/>
      <c r="Q75" s="673"/>
      <c r="R75" s="673"/>
      <c r="S75" s="673"/>
      <c r="T75" s="673"/>
      <c r="U75" s="673"/>
      <c r="V75" s="674"/>
      <c r="W75" s="673"/>
      <c r="X75" s="673" t="s">
        <v>1596</v>
      </c>
      <c r="Y75" s="673"/>
      <c r="Z75" s="675"/>
      <c r="AA75" s="1030">
        <f>AA54</f>
        <v>84608500</v>
      </c>
      <c r="AB75" s="673"/>
      <c r="AC75" s="673"/>
      <c r="AD75" s="674"/>
      <c r="AE75" s="673"/>
      <c r="AF75" s="673"/>
      <c r="AG75" s="673"/>
      <c r="AH75" s="675"/>
      <c r="AI75" s="675"/>
      <c r="AJ75" s="673"/>
      <c r="AK75" s="673"/>
      <c r="AL75" s="674"/>
      <c r="AM75" s="673"/>
    </row>
    <row r="76" spans="7:39">
      <c r="G76" s="673"/>
      <c r="H76" s="673"/>
      <c r="I76" s="673"/>
      <c r="J76" s="673"/>
      <c r="K76" s="673"/>
      <c r="L76" s="673"/>
      <c r="M76" s="673"/>
      <c r="N76" s="674"/>
      <c r="O76" s="673"/>
      <c r="P76" s="673"/>
      <c r="Q76" s="673"/>
      <c r="R76" s="673"/>
      <c r="S76" s="673"/>
      <c r="T76" s="673"/>
      <c r="U76" s="673"/>
      <c r="V76" s="674"/>
      <c r="W76" s="673"/>
      <c r="X76" s="673" t="s">
        <v>1595</v>
      </c>
      <c r="Y76" s="673"/>
      <c r="Z76" s="675"/>
      <c r="AA76" s="1030">
        <f>-AA65</f>
        <v>55210000</v>
      </c>
      <c r="AB76" s="673"/>
      <c r="AC76" s="673"/>
      <c r="AD76" s="674"/>
      <c r="AE76" s="673"/>
      <c r="AF76" s="673"/>
      <c r="AG76" s="673"/>
      <c r="AH76" s="673"/>
      <c r="AI76" s="675"/>
      <c r="AJ76" s="673"/>
      <c r="AK76" s="673"/>
      <c r="AL76" s="674"/>
      <c r="AM76" s="673"/>
    </row>
    <row r="77" spans="7:39">
      <c r="G77" s="673"/>
      <c r="H77" s="673"/>
      <c r="I77" s="673"/>
      <c r="J77" s="673"/>
      <c r="K77" s="673"/>
      <c r="L77" s="673"/>
      <c r="M77" s="673"/>
      <c r="N77" s="674"/>
      <c r="O77" s="673"/>
      <c r="P77" s="673"/>
      <c r="Q77" s="673"/>
      <c r="R77" s="673"/>
      <c r="S77" s="673"/>
      <c r="T77" s="673"/>
      <c r="U77" s="673"/>
      <c r="V77" s="674"/>
      <c r="W77" s="673"/>
      <c r="X77" s="673" t="s">
        <v>1594</v>
      </c>
      <c r="Y77" s="673"/>
      <c r="Z77" s="675"/>
      <c r="AA77" s="1151">
        <f>AA27</f>
        <v>33500000</v>
      </c>
      <c r="AB77" s="673"/>
      <c r="AC77" s="673"/>
      <c r="AD77" s="674"/>
      <c r="AE77" s="673"/>
      <c r="AF77" s="673"/>
      <c r="AG77" s="673"/>
      <c r="AH77" s="675"/>
      <c r="AI77" s="675"/>
      <c r="AJ77" s="673"/>
      <c r="AK77" s="673"/>
      <c r="AL77" s="674"/>
      <c r="AM77" s="673"/>
    </row>
    <row r="78" spans="7:39">
      <c r="G78" s="673"/>
      <c r="H78" s="673"/>
      <c r="I78" s="673"/>
      <c r="J78" s="673"/>
      <c r="K78" s="673"/>
      <c r="L78" s="673"/>
      <c r="M78" s="673"/>
      <c r="N78" s="674"/>
      <c r="O78" s="673"/>
      <c r="P78" s="673"/>
      <c r="Q78" s="673"/>
      <c r="R78" s="673"/>
      <c r="S78" s="673"/>
      <c r="T78" s="673"/>
      <c r="U78" s="673"/>
      <c r="V78" s="674"/>
      <c r="W78" s="673"/>
      <c r="X78" s="1153" t="s">
        <v>1581</v>
      </c>
      <c r="Y78" s="1153"/>
      <c r="Z78" s="1153"/>
      <c r="AA78" s="1152">
        <f>-AA37</f>
        <v>-81074217.933608338</v>
      </c>
      <c r="AB78" s="673"/>
      <c r="AC78" s="673"/>
      <c r="AD78" s="674"/>
      <c r="AE78" s="673"/>
      <c r="AF78" s="673"/>
      <c r="AG78" s="673"/>
      <c r="AH78" s="675"/>
      <c r="AI78" s="675"/>
      <c r="AJ78" s="673"/>
      <c r="AK78" s="673"/>
      <c r="AL78" s="674"/>
      <c r="AM78" s="673"/>
    </row>
    <row r="79" spans="7:39">
      <c r="G79" s="673"/>
      <c r="H79" s="673"/>
      <c r="I79" s="673"/>
      <c r="J79" s="673"/>
      <c r="K79" s="673"/>
      <c r="L79" s="673"/>
      <c r="M79" s="673"/>
      <c r="N79" s="674"/>
      <c r="O79" s="673"/>
      <c r="P79" s="673"/>
      <c r="Q79" s="673"/>
      <c r="R79" s="673"/>
      <c r="S79" s="673"/>
      <c r="T79" s="673"/>
      <c r="U79" s="673"/>
      <c r="V79" s="674"/>
      <c r="W79" s="673"/>
      <c r="X79" s="673" t="s">
        <v>1589</v>
      </c>
      <c r="Y79" s="673"/>
      <c r="Z79" s="675"/>
      <c r="AA79" s="1151">
        <f>SUM(AA73:AA78)</f>
        <v>213535948.73305833</v>
      </c>
      <c r="AB79" s="673"/>
      <c r="AC79" s="673"/>
      <c r="AD79" s="674"/>
      <c r="AE79" s="673"/>
      <c r="AF79" s="673"/>
      <c r="AG79" s="673"/>
      <c r="AH79" s="673"/>
      <c r="AI79" s="675"/>
      <c r="AJ79" s="673"/>
      <c r="AK79" s="673"/>
      <c r="AL79" s="674"/>
      <c r="AM79" s="673"/>
    </row>
    <row r="80" spans="7:39">
      <c r="G80" s="673"/>
      <c r="H80" s="673"/>
      <c r="I80" s="673"/>
      <c r="J80" s="673"/>
      <c r="K80" s="673"/>
      <c r="L80" s="673"/>
      <c r="M80" s="673"/>
      <c r="N80" s="674"/>
      <c r="O80" s="673"/>
      <c r="P80" s="673"/>
      <c r="Q80" s="673"/>
      <c r="R80" s="673"/>
      <c r="S80" s="673"/>
      <c r="T80" s="673"/>
      <c r="U80" s="673"/>
      <c r="V80" s="674"/>
      <c r="W80" s="673"/>
      <c r="X80" s="673"/>
      <c r="Y80" s="673"/>
      <c r="Z80" s="675"/>
      <c r="AA80" s="675"/>
      <c r="AB80" s="675"/>
      <c r="AC80" s="673"/>
      <c r="AD80" s="674"/>
      <c r="AE80" s="673"/>
      <c r="AF80" s="673"/>
      <c r="AG80" s="673"/>
      <c r="AH80" s="673"/>
      <c r="AI80" s="675"/>
      <c r="AJ80" s="675"/>
      <c r="AK80" s="673"/>
      <c r="AL80" s="674"/>
      <c r="AM80" s="673"/>
    </row>
    <row r="81" spans="7:39">
      <c r="G81" s="673"/>
      <c r="H81" s="673"/>
      <c r="I81" s="673"/>
      <c r="J81" s="673"/>
      <c r="K81" s="673"/>
      <c r="L81" s="673"/>
      <c r="M81" s="673"/>
      <c r="N81" s="674"/>
      <c r="O81" s="673"/>
      <c r="P81" s="673"/>
      <c r="Q81" s="673"/>
      <c r="R81" s="673"/>
      <c r="S81" s="673"/>
      <c r="T81" s="673"/>
      <c r="U81" s="673"/>
      <c r="V81" s="674"/>
      <c r="W81" s="673"/>
      <c r="X81" s="1122" t="s">
        <v>1593</v>
      </c>
      <c r="Y81" s="673"/>
      <c r="Z81" s="673"/>
      <c r="AA81" s="675"/>
      <c r="AB81" s="673"/>
      <c r="AC81" s="673"/>
      <c r="AD81" s="674"/>
      <c r="AE81" s="673"/>
      <c r="AF81" s="673"/>
      <c r="AG81" s="673"/>
      <c r="AH81" s="673"/>
      <c r="AI81" s="673"/>
      <c r="AJ81" s="673"/>
      <c r="AK81" s="673"/>
      <c r="AL81" s="674"/>
      <c r="AM81" s="673"/>
    </row>
    <row r="82" spans="7:39">
      <c r="G82" s="673"/>
      <c r="H82" s="673"/>
      <c r="I82" s="673"/>
      <c r="J82" s="673"/>
      <c r="K82" s="673"/>
      <c r="L82" s="673"/>
      <c r="M82" s="673"/>
      <c r="N82" s="674"/>
      <c r="O82" s="673"/>
      <c r="P82" s="673"/>
      <c r="Q82" s="673"/>
      <c r="R82" s="673"/>
      <c r="S82" s="673"/>
      <c r="T82" s="673"/>
      <c r="U82" s="673"/>
      <c r="V82" s="674"/>
      <c r="W82" s="673"/>
      <c r="X82" s="673" t="s">
        <v>1592</v>
      </c>
      <c r="Y82" s="673"/>
      <c r="Z82" s="673"/>
      <c r="AA82" s="1151">
        <f>S30</f>
        <v>33000000</v>
      </c>
      <c r="AB82" s="673"/>
      <c r="AC82" s="673"/>
      <c r="AD82" s="674"/>
      <c r="AE82" s="673"/>
      <c r="AF82" s="673"/>
      <c r="AG82" s="673"/>
      <c r="AH82" s="673"/>
      <c r="AI82" s="673"/>
      <c r="AJ82" s="673"/>
      <c r="AK82" s="673"/>
      <c r="AL82" s="674"/>
      <c r="AM82" s="673"/>
    </row>
    <row r="83" spans="7:39">
      <c r="G83" s="673"/>
      <c r="H83" s="673"/>
      <c r="I83" s="673"/>
      <c r="J83" s="673"/>
      <c r="K83" s="673"/>
      <c r="L83" s="673"/>
      <c r="M83" s="673"/>
      <c r="N83" s="674"/>
      <c r="O83" s="673"/>
      <c r="P83" s="673"/>
      <c r="Q83" s="673"/>
      <c r="R83" s="673"/>
      <c r="S83" s="673"/>
      <c r="T83" s="673"/>
      <c r="U83" s="673"/>
      <c r="V83" s="674"/>
      <c r="W83" s="673"/>
      <c r="X83" s="673" t="s">
        <v>1591</v>
      </c>
      <c r="Y83" s="673"/>
      <c r="Z83" s="673"/>
      <c r="AA83" s="1151">
        <f>S31</f>
        <v>-2750000</v>
      </c>
      <c r="AB83" s="673"/>
      <c r="AC83" s="673"/>
      <c r="AD83" s="674"/>
      <c r="AE83" s="673"/>
      <c r="AF83" s="673"/>
      <c r="AG83" s="673"/>
      <c r="AH83" s="675"/>
      <c r="AI83" s="673"/>
      <c r="AJ83" s="673"/>
      <c r="AK83" s="673"/>
      <c r="AL83" s="674"/>
      <c r="AM83" s="673"/>
    </row>
    <row r="84" spans="7:39">
      <c r="G84" s="673"/>
      <c r="H84" s="673"/>
      <c r="I84" s="673"/>
      <c r="J84" s="673"/>
      <c r="K84" s="673"/>
      <c r="L84" s="673"/>
      <c r="M84" s="673"/>
      <c r="N84" s="674"/>
      <c r="O84" s="673"/>
      <c r="P84" s="673"/>
      <c r="Q84" s="673"/>
      <c r="R84" s="673"/>
      <c r="S84" s="673"/>
      <c r="T84" s="673"/>
      <c r="U84" s="673"/>
      <c r="V84" s="674"/>
      <c r="W84" s="673"/>
      <c r="X84" s="1153" t="s">
        <v>1590</v>
      </c>
      <c r="Y84" s="1153"/>
      <c r="Z84" s="1153"/>
      <c r="AA84" s="1152">
        <f>S32</f>
        <v>0</v>
      </c>
      <c r="AB84" s="673"/>
      <c r="AC84" s="673"/>
      <c r="AD84" s="674"/>
      <c r="AE84" s="673"/>
      <c r="AF84" s="673"/>
      <c r="AG84" s="673"/>
      <c r="AH84" s="675"/>
      <c r="AI84" s="675"/>
      <c r="AJ84" s="673"/>
      <c r="AK84" s="673"/>
      <c r="AL84" s="674"/>
      <c r="AM84" s="673"/>
    </row>
    <row r="85" spans="7:39">
      <c r="G85" s="673"/>
      <c r="H85" s="673"/>
      <c r="I85" s="673"/>
      <c r="J85" s="673"/>
      <c r="K85" s="673"/>
      <c r="L85" s="673"/>
      <c r="M85" s="673"/>
      <c r="N85" s="674"/>
      <c r="O85" s="673"/>
      <c r="P85" s="673"/>
      <c r="Q85" s="673"/>
      <c r="R85" s="673"/>
      <c r="S85" s="673"/>
      <c r="T85" s="673"/>
      <c r="U85" s="673"/>
      <c r="V85" s="674"/>
      <c r="W85" s="673"/>
      <c r="X85" s="673" t="s">
        <v>1589</v>
      </c>
      <c r="Y85" s="673"/>
      <c r="Z85" s="675"/>
      <c r="AA85" s="1030">
        <f>SUM(AA82:AA84)</f>
        <v>30250000</v>
      </c>
      <c r="AB85" s="673"/>
      <c r="AC85" s="673"/>
      <c r="AD85" s="674"/>
      <c r="AE85" s="673"/>
      <c r="AF85" s="673"/>
      <c r="AG85" s="673"/>
      <c r="AH85" s="675"/>
      <c r="AI85" s="675"/>
      <c r="AJ85" s="673"/>
      <c r="AK85" s="673"/>
      <c r="AL85" s="674"/>
      <c r="AM85" s="673"/>
    </row>
    <row r="86" spans="7:39">
      <c r="G86" s="673"/>
      <c r="H86" s="673"/>
      <c r="I86" s="673"/>
      <c r="J86" s="673"/>
      <c r="K86" s="673"/>
      <c r="L86" s="673"/>
      <c r="M86" s="673"/>
      <c r="N86" s="674"/>
      <c r="O86" s="673"/>
      <c r="P86" s="673"/>
      <c r="Q86" s="673"/>
      <c r="R86" s="673"/>
      <c r="S86" s="673"/>
      <c r="T86" s="673"/>
      <c r="U86" s="673"/>
      <c r="V86" s="674"/>
      <c r="W86" s="673"/>
      <c r="X86" s="673"/>
      <c r="Y86" s="673"/>
      <c r="Z86" s="675"/>
      <c r="AA86" s="675"/>
      <c r="AB86" s="673"/>
      <c r="AC86" s="673"/>
      <c r="AD86" s="674"/>
      <c r="AE86" s="673"/>
      <c r="AF86" s="673"/>
      <c r="AG86" s="673"/>
      <c r="AH86" s="675"/>
      <c r="AI86" s="675"/>
      <c r="AJ86" s="673"/>
      <c r="AK86" s="673"/>
      <c r="AL86" s="674"/>
      <c r="AM86" s="673"/>
    </row>
    <row r="87" spans="7:39">
      <c r="G87" s="673"/>
      <c r="H87" s="673"/>
      <c r="I87" s="673"/>
      <c r="J87" s="673"/>
      <c r="K87" s="673"/>
      <c r="L87" s="673"/>
      <c r="M87" s="673"/>
      <c r="N87" s="674"/>
      <c r="O87" s="673"/>
      <c r="P87" s="673"/>
      <c r="Q87" s="673"/>
      <c r="R87" s="673"/>
      <c r="S87" s="673"/>
      <c r="T87" s="673"/>
      <c r="U87" s="673"/>
      <c r="V87" s="674"/>
      <c r="W87" s="673"/>
      <c r="X87" s="603" t="s">
        <v>1588</v>
      </c>
      <c r="Y87" s="673"/>
      <c r="Z87" s="675"/>
      <c r="AA87" s="675"/>
      <c r="AB87" s="673"/>
      <c r="AC87" s="673"/>
      <c r="AD87" s="674"/>
      <c r="AE87" s="673"/>
      <c r="AF87" s="673"/>
      <c r="AG87" s="673"/>
      <c r="AH87" s="675"/>
      <c r="AI87" s="675"/>
      <c r="AJ87" s="673"/>
      <c r="AK87" s="673"/>
      <c r="AL87" s="674"/>
      <c r="AM87" s="673"/>
    </row>
    <row r="88" spans="7:39">
      <c r="G88" s="673"/>
      <c r="H88" s="673"/>
      <c r="I88" s="673"/>
      <c r="J88" s="673"/>
      <c r="K88" s="673"/>
      <c r="L88" s="673"/>
      <c r="M88" s="673"/>
      <c r="N88" s="674"/>
      <c r="O88" s="673"/>
      <c r="P88" s="673"/>
      <c r="Q88" s="673"/>
      <c r="R88" s="673"/>
      <c r="S88" s="673"/>
      <c r="T88" s="673"/>
      <c r="U88" s="673"/>
      <c r="V88" s="674"/>
      <c r="W88" s="673"/>
      <c r="X88" s="673" t="s">
        <v>1587</v>
      </c>
      <c r="Y88" s="673"/>
      <c r="Z88" s="675"/>
      <c r="AA88" s="1151">
        <f>S15</f>
        <v>-158000000</v>
      </c>
      <c r="AB88" s="673"/>
      <c r="AC88" s="673"/>
      <c r="AD88" s="674"/>
      <c r="AE88" s="673"/>
      <c r="AF88" s="673"/>
      <c r="AG88" s="673"/>
      <c r="AH88" s="673"/>
      <c r="AI88" s="673"/>
      <c r="AJ88" s="673"/>
      <c r="AK88" s="673"/>
      <c r="AL88" s="674"/>
      <c r="AM88" s="673"/>
    </row>
    <row r="89" spans="7:39">
      <c r="G89" s="673"/>
      <c r="H89" s="673"/>
      <c r="I89" s="673"/>
      <c r="J89" s="673"/>
      <c r="K89" s="673"/>
      <c r="L89" s="673"/>
      <c r="M89" s="673"/>
      <c r="N89" s="674"/>
      <c r="O89" s="673"/>
      <c r="P89" s="673"/>
      <c r="Q89" s="673"/>
      <c r="R89" s="673"/>
      <c r="S89" s="673"/>
      <c r="T89" s="673"/>
      <c r="U89" s="673"/>
      <c r="V89" s="674"/>
      <c r="W89" s="673"/>
      <c r="X89" s="673" t="s">
        <v>1586</v>
      </c>
      <c r="Y89" s="673"/>
      <c r="Z89" s="675"/>
      <c r="AA89" s="1151">
        <f>-AA74</f>
        <v>3708333.3333333335</v>
      </c>
      <c r="AB89" s="675"/>
      <c r="AC89" s="673"/>
      <c r="AD89" s="674"/>
      <c r="AE89" s="673"/>
      <c r="AF89" s="673"/>
      <c r="AG89" s="673"/>
      <c r="AH89" s="675"/>
      <c r="AI89" s="675"/>
      <c r="AJ89" s="675"/>
      <c r="AK89" s="673"/>
      <c r="AL89" s="674"/>
      <c r="AM89" s="673"/>
    </row>
    <row r="90" spans="7:39">
      <c r="G90" s="673"/>
      <c r="H90" s="673"/>
      <c r="I90" s="673"/>
      <c r="J90" s="673"/>
      <c r="K90" s="673"/>
      <c r="L90" s="673"/>
      <c r="M90" s="673"/>
      <c r="N90" s="674"/>
      <c r="O90" s="673"/>
      <c r="P90" s="673"/>
      <c r="Q90" s="673"/>
      <c r="R90" s="673"/>
      <c r="S90" s="673"/>
      <c r="T90" s="673"/>
      <c r="U90" s="673"/>
      <c r="V90" s="674"/>
      <c r="W90" s="673"/>
      <c r="X90" s="673" t="s">
        <v>1585</v>
      </c>
      <c r="Y90" s="673"/>
      <c r="Z90" s="673"/>
      <c r="AA90" s="1030">
        <f>-AA83</f>
        <v>2750000</v>
      </c>
      <c r="AB90" s="673"/>
      <c r="AC90" s="673"/>
      <c r="AD90" s="674"/>
      <c r="AE90" s="673"/>
      <c r="AF90" s="673"/>
      <c r="AG90" s="673"/>
      <c r="AH90" s="675"/>
      <c r="AI90" s="675"/>
      <c r="AJ90" s="673"/>
      <c r="AK90" s="673"/>
      <c r="AL90" s="674"/>
      <c r="AM90" s="673"/>
    </row>
    <row r="91" spans="7:39">
      <c r="X91" s="673" t="s">
        <v>1584</v>
      </c>
      <c r="Y91" s="673"/>
      <c r="Z91" s="675"/>
      <c r="AA91" s="1151">
        <f>-AA54</f>
        <v>-84608500</v>
      </c>
      <c r="AH91" s="671"/>
    </row>
    <row r="92" spans="7:39">
      <c r="X92" s="673" t="s">
        <v>1583</v>
      </c>
      <c r="Y92" s="673"/>
      <c r="Z92" s="675"/>
      <c r="AA92" s="1151">
        <f>AA65</f>
        <v>-55210000</v>
      </c>
    </row>
    <row r="93" spans="7:39">
      <c r="X93" s="673" t="s">
        <v>1582</v>
      </c>
      <c r="Z93" s="671"/>
      <c r="AA93" s="981">
        <f>-AA27</f>
        <v>-33500000</v>
      </c>
      <c r="AF93" s="603"/>
    </row>
    <row r="94" spans="7:39">
      <c r="X94" s="994" t="s">
        <v>1581</v>
      </c>
      <c r="Y94" s="994"/>
      <c r="Z94" s="994"/>
      <c r="AA94" s="1022">
        <f>AA37</f>
        <v>81074217.933608338</v>
      </c>
      <c r="AH94" s="671"/>
      <c r="AI94" s="671"/>
    </row>
    <row r="95" spans="7:39">
      <c r="X95" s="1150" t="s">
        <v>1580</v>
      </c>
      <c r="Y95" s="1150"/>
      <c r="Z95" s="1150"/>
      <c r="AA95" s="1149">
        <f>SUM(AA88:AA94)</f>
        <v>-243785948.73305827</v>
      </c>
      <c r="AH95" s="671"/>
      <c r="AI95" s="671"/>
    </row>
    <row r="96" spans="7:39">
      <c r="Z96" s="671"/>
      <c r="AA96" s="671"/>
      <c r="AH96" s="671"/>
      <c r="AI96" s="671"/>
    </row>
    <row r="97" spans="24:36">
      <c r="X97" s="670" t="s">
        <v>1579</v>
      </c>
      <c r="Y97" s="670"/>
      <c r="Z97" s="1148"/>
      <c r="AA97" s="1147">
        <f>(AA79+AA85)</f>
        <v>243785948.73305833</v>
      </c>
      <c r="AH97" s="671"/>
      <c r="AI97" s="671"/>
    </row>
    <row r="98" spans="24:36">
      <c r="X98" s="670" t="s">
        <v>1578</v>
      </c>
      <c r="Y98" s="670"/>
      <c r="Z98" s="670"/>
      <c r="AA98" s="1147">
        <f>-AA97-AA95</f>
        <v>0</v>
      </c>
    </row>
    <row r="100" spans="24:36">
      <c r="AF100" s="603"/>
      <c r="AH100" s="671"/>
      <c r="AI100" s="671"/>
    </row>
    <row r="102" spans="24:36">
      <c r="AH102" s="671"/>
      <c r="AI102" s="671"/>
    </row>
    <row r="104" spans="24:36">
      <c r="AH104" s="671"/>
      <c r="AI104" s="671"/>
    </row>
    <row r="105" spans="24:36">
      <c r="AH105" s="671"/>
      <c r="AI105" s="671"/>
    </row>
    <row r="106" spans="24:36">
      <c r="AB106" s="672"/>
      <c r="AH106" s="671"/>
      <c r="AI106" s="671"/>
      <c r="AJ106" s="672"/>
    </row>
    <row r="108" spans="24:36">
      <c r="X108" s="670"/>
      <c r="Y108" s="670"/>
      <c r="Z108" s="670"/>
      <c r="AA108" s="670"/>
      <c r="AB108" s="672"/>
      <c r="AF108" s="670"/>
      <c r="AG108" s="670"/>
      <c r="AH108" s="670"/>
      <c r="AI108" s="670"/>
      <c r="AJ108" s="672"/>
    </row>
    <row r="109" spans="24:36">
      <c r="X109" s="670"/>
      <c r="Y109" s="670"/>
      <c r="Z109" s="670"/>
      <c r="AA109" s="670"/>
      <c r="AF109" s="670"/>
      <c r="AG109" s="670"/>
      <c r="AH109" s="670"/>
      <c r="AI109" s="670"/>
    </row>
    <row r="111" spans="24:36">
      <c r="AB111" s="672"/>
      <c r="AJ111" s="672"/>
    </row>
    <row r="112" spans="24:36">
      <c r="Z112" s="671"/>
      <c r="AA112" s="671"/>
      <c r="AH112" s="671"/>
      <c r="AI112" s="671"/>
    </row>
    <row r="115" spans="24:35">
      <c r="X115" s="670"/>
      <c r="Z115" s="671"/>
      <c r="AA115" s="671"/>
      <c r="AF115" s="670"/>
      <c r="AH115" s="671"/>
      <c r="AI115" s="671"/>
    </row>
    <row r="116" spans="24:35">
      <c r="Z116" s="671"/>
      <c r="AA116" s="671"/>
      <c r="AH116" s="671"/>
      <c r="AI116" s="671"/>
    </row>
    <row r="120" spans="24:35">
      <c r="X120" s="670"/>
      <c r="Y120" s="670"/>
      <c r="Z120" s="670"/>
      <c r="AA120" s="670"/>
      <c r="AF120" s="670"/>
      <c r="AG120" s="670"/>
      <c r="AH120" s="670"/>
      <c r="AI120" s="670"/>
    </row>
  </sheetData>
  <sheetProtection algorithmName="SHA-512" hashValue="dRHPAyWTSCTSk0XPWeSEYvPO04aCV/UMy/6rBuJ37o/rDv83qwfP6QFt6TUnwLqIaILC5Qtb9wDhxwpziPw90w==" saltValue="kkmC9YYj+K38vTd/OTpptQ==" spinCount="100000" sheet="1" formatCells="0" formatColumns="0" formatRows="0" insertColumns="0" insertRows="0" sort="0" autoFilter="0" pivotTables="0"/>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9EC23-5420-4E0D-A895-F2F600E645B7}">
  <dimension ref="A1:AE135"/>
  <sheetViews>
    <sheetView zoomScale="69" zoomScaleNormal="90" workbookViewId="0">
      <selection sqref="A1:XFD1048576"/>
    </sheetView>
  </sheetViews>
  <sheetFormatPr defaultColWidth="9.109375" defaultRowHeight="15.6"/>
  <cols>
    <col min="1" max="1" width="3.5546875" style="2" customWidth="1"/>
    <col min="2" max="2" width="51.5546875" style="2" customWidth="1"/>
    <col min="3" max="3" width="23.88671875" style="583" customWidth="1"/>
    <col min="4" max="4" width="25.5546875" style="583" customWidth="1"/>
    <col min="5" max="5" width="25.109375" style="2" customWidth="1"/>
    <col min="6" max="6" width="1.5546875" style="3" customWidth="1"/>
    <col min="7" max="7" width="3.5546875" style="560" customWidth="1"/>
    <col min="8" max="9" width="18.5546875" style="560" customWidth="1"/>
    <col min="10" max="11" width="25.88671875" style="560" customWidth="1"/>
    <col min="12" max="12" width="18.5546875" style="560" customWidth="1"/>
    <col min="13" max="13" width="8.5546875" style="560" customWidth="1"/>
    <col min="14" max="14" width="1.5546875" style="561" customWidth="1"/>
    <col min="15" max="16384" width="9.109375" style="560"/>
  </cols>
  <sheetData>
    <row r="1" spans="1:31" s="561" customFormat="1">
      <c r="A1" s="1" t="s">
        <v>787</v>
      </c>
      <c r="B1" s="2"/>
      <c r="C1" s="583"/>
      <c r="D1" s="583"/>
      <c r="E1" s="2"/>
      <c r="F1" s="3"/>
      <c r="G1" s="1169" t="s">
        <v>787</v>
      </c>
      <c r="H1" s="687"/>
      <c r="I1" s="687"/>
      <c r="J1" s="687"/>
      <c r="K1" s="687"/>
      <c r="L1" s="687"/>
      <c r="M1" s="687"/>
      <c r="O1" s="560"/>
      <c r="P1" s="560"/>
      <c r="Q1" s="560"/>
      <c r="R1" s="560"/>
      <c r="S1" s="560"/>
      <c r="T1" s="560"/>
      <c r="U1" s="560"/>
      <c r="V1" s="560"/>
      <c r="W1" s="560"/>
      <c r="X1" s="560"/>
      <c r="Y1" s="560"/>
      <c r="Z1" s="560"/>
      <c r="AA1" s="560"/>
      <c r="AB1" s="560"/>
      <c r="AC1" s="560"/>
      <c r="AD1" s="560"/>
      <c r="AE1" s="560"/>
    </row>
    <row r="2" spans="1:31" s="561" customFormat="1">
      <c r="A2" s="1" t="s">
        <v>732</v>
      </c>
      <c r="B2" s="2"/>
      <c r="C2" s="583"/>
      <c r="D2" s="583"/>
      <c r="E2" s="2"/>
      <c r="F2" s="3"/>
      <c r="G2" s="1169" t="s">
        <v>732</v>
      </c>
      <c r="H2" s="687"/>
      <c r="I2" s="687"/>
      <c r="J2" s="687"/>
      <c r="K2" s="687"/>
      <c r="L2" s="687"/>
      <c r="M2" s="687"/>
      <c r="O2" s="560"/>
      <c r="P2" s="560"/>
      <c r="Q2" s="560"/>
      <c r="R2" s="560"/>
      <c r="S2" s="560"/>
      <c r="T2" s="560"/>
      <c r="U2" s="560"/>
      <c r="V2" s="560"/>
      <c r="W2" s="560"/>
      <c r="X2" s="560"/>
      <c r="Y2" s="560"/>
      <c r="Z2" s="560"/>
      <c r="AA2" s="560"/>
      <c r="AB2" s="560"/>
      <c r="AC2" s="560"/>
      <c r="AD2" s="560"/>
      <c r="AE2" s="560"/>
    </row>
    <row r="3" spans="1:31" s="561" customFormat="1">
      <c r="A3" s="1" t="s">
        <v>259</v>
      </c>
      <c r="B3" s="2"/>
      <c r="C3" s="583"/>
      <c r="D3" s="583"/>
      <c r="E3" s="2"/>
      <c r="F3" s="3"/>
      <c r="G3" s="1169" t="s">
        <v>259</v>
      </c>
      <c r="H3" s="687"/>
      <c r="I3" s="687"/>
      <c r="J3" s="687"/>
      <c r="K3" s="687"/>
      <c r="L3" s="687"/>
      <c r="M3" s="687"/>
      <c r="O3" s="560"/>
      <c r="P3" s="560"/>
      <c r="Q3" s="560"/>
      <c r="R3" s="560"/>
      <c r="S3" s="560"/>
      <c r="T3" s="560"/>
      <c r="U3" s="560"/>
      <c r="V3" s="560"/>
      <c r="W3" s="560"/>
      <c r="X3" s="560"/>
      <c r="Y3" s="560"/>
      <c r="Z3" s="560"/>
      <c r="AA3" s="560"/>
      <c r="AB3" s="560"/>
      <c r="AC3" s="560"/>
      <c r="AD3" s="560"/>
      <c r="AE3" s="560"/>
    </row>
    <row r="4" spans="1:31" s="561" customFormat="1">
      <c r="A4" s="2"/>
      <c r="B4" s="2"/>
      <c r="C4" s="583"/>
      <c r="D4" s="583"/>
      <c r="E4" s="2"/>
      <c r="F4" s="3"/>
      <c r="G4" s="687"/>
      <c r="H4" s="687"/>
      <c r="I4" s="687"/>
      <c r="J4" s="687"/>
      <c r="K4" s="687"/>
      <c r="L4" s="687"/>
      <c r="M4" s="687"/>
      <c r="O4" s="560"/>
      <c r="P4" s="560"/>
      <c r="Q4" s="560"/>
      <c r="R4" s="560"/>
      <c r="S4" s="560"/>
      <c r="T4" s="560"/>
      <c r="U4" s="560"/>
      <c r="V4" s="560"/>
      <c r="W4" s="560"/>
      <c r="X4" s="560"/>
      <c r="Y4" s="560"/>
      <c r="Z4" s="560"/>
      <c r="AA4" s="560"/>
      <c r="AB4" s="560"/>
      <c r="AC4" s="560"/>
      <c r="AD4" s="560"/>
      <c r="AE4" s="560"/>
    </row>
    <row r="5" spans="1:31" s="561" customFormat="1" ht="16.2">
      <c r="A5" s="6" t="s">
        <v>697</v>
      </c>
      <c r="B5" s="2"/>
      <c r="C5" s="583"/>
      <c r="D5" s="583"/>
      <c r="E5" s="2"/>
      <c r="F5" s="3"/>
      <c r="G5" s="688" t="s">
        <v>696</v>
      </c>
      <c r="H5" s="687"/>
      <c r="I5" s="687"/>
      <c r="J5" s="687"/>
      <c r="K5" s="687"/>
      <c r="L5" s="687"/>
      <c r="M5" s="687"/>
      <c r="O5" s="560"/>
      <c r="P5" s="560"/>
      <c r="Q5" s="560"/>
      <c r="R5" s="560"/>
      <c r="S5" s="560"/>
      <c r="T5" s="560"/>
      <c r="U5" s="560"/>
      <c r="V5" s="560"/>
      <c r="W5" s="560"/>
      <c r="X5" s="560"/>
      <c r="Y5" s="560"/>
      <c r="Z5" s="560"/>
      <c r="AA5" s="560"/>
      <c r="AB5" s="560"/>
      <c r="AC5" s="560"/>
      <c r="AD5" s="560"/>
      <c r="AE5" s="560"/>
    </row>
    <row r="6" spans="1:31" s="561" customFormat="1">
      <c r="A6" s="2"/>
      <c r="B6" s="2"/>
      <c r="C6" s="583"/>
      <c r="D6" s="583"/>
      <c r="E6" s="2"/>
      <c r="F6" s="3"/>
      <c r="G6" s="687"/>
      <c r="H6" s="687"/>
      <c r="I6" s="687"/>
      <c r="J6" s="687"/>
      <c r="K6" s="687"/>
      <c r="L6" s="687"/>
      <c r="M6" s="687"/>
      <c r="O6" s="560"/>
      <c r="P6" s="560"/>
      <c r="Q6" s="560"/>
      <c r="R6" s="560"/>
      <c r="S6" s="560"/>
      <c r="T6" s="560"/>
      <c r="U6" s="560"/>
      <c r="V6" s="560"/>
      <c r="W6" s="560"/>
      <c r="X6" s="560"/>
      <c r="Y6" s="560"/>
      <c r="Z6" s="560"/>
      <c r="AA6" s="560"/>
      <c r="AB6" s="560"/>
      <c r="AC6" s="560"/>
      <c r="AD6" s="560"/>
      <c r="AE6" s="560"/>
    </row>
    <row r="7" spans="1:31" s="561" customFormat="1">
      <c r="A7" s="2"/>
      <c r="B7" s="2" t="s">
        <v>1678</v>
      </c>
      <c r="C7" s="583"/>
      <c r="D7" s="583"/>
      <c r="E7" s="2"/>
      <c r="F7" s="3"/>
      <c r="G7" s="687" t="s">
        <v>246</v>
      </c>
      <c r="H7" s="687" t="s">
        <v>1677</v>
      </c>
      <c r="I7" s="687"/>
      <c r="J7" s="687"/>
      <c r="K7" s="687"/>
      <c r="L7" s="687"/>
      <c r="M7" s="687"/>
      <c r="O7" s="560"/>
      <c r="P7" s="560"/>
      <c r="Q7" s="560"/>
      <c r="R7" s="560"/>
      <c r="S7" s="560"/>
      <c r="T7" s="560"/>
      <c r="U7" s="560"/>
      <c r="V7" s="560"/>
      <c r="W7" s="560"/>
      <c r="X7" s="560"/>
      <c r="Y7" s="560"/>
      <c r="Z7" s="560"/>
      <c r="AA7" s="560"/>
      <c r="AB7" s="560"/>
      <c r="AC7" s="560"/>
      <c r="AD7" s="560"/>
      <c r="AE7" s="560"/>
    </row>
    <row r="8" spans="1:31" s="561" customFormat="1">
      <c r="A8" s="2"/>
      <c r="B8" s="2"/>
      <c r="C8" s="583"/>
      <c r="D8" s="583"/>
      <c r="E8" s="2"/>
      <c r="F8" s="3"/>
      <c r="G8" s="687"/>
      <c r="H8" s="687" t="s">
        <v>1676</v>
      </c>
      <c r="I8" s="687"/>
      <c r="J8" s="687"/>
      <c r="K8" s="687"/>
      <c r="L8" s="687"/>
      <c r="M8" s="687"/>
      <c r="O8" s="560"/>
      <c r="P8" s="560"/>
      <c r="Q8" s="560"/>
      <c r="R8" s="560"/>
      <c r="S8" s="560"/>
      <c r="T8" s="560"/>
      <c r="U8" s="560"/>
      <c r="V8" s="560"/>
      <c r="W8" s="560"/>
      <c r="X8" s="560"/>
      <c r="Y8" s="560"/>
      <c r="Z8" s="560"/>
      <c r="AA8" s="560"/>
      <c r="AB8" s="560"/>
      <c r="AC8" s="560"/>
      <c r="AD8" s="560"/>
      <c r="AE8" s="560"/>
    </row>
    <row r="9" spans="1:31" s="561" customFormat="1">
      <c r="A9" s="2"/>
      <c r="B9" s="590" t="s">
        <v>51</v>
      </c>
      <c r="C9" s="1166">
        <v>0.06</v>
      </c>
      <c r="D9" s="587"/>
      <c r="E9" s="2"/>
      <c r="F9" s="3"/>
      <c r="G9" s="687"/>
      <c r="H9" s="687" t="s">
        <v>1675</v>
      </c>
      <c r="I9" s="687"/>
      <c r="J9" s="687"/>
      <c r="K9" s="687"/>
      <c r="L9" s="687"/>
      <c r="M9" s="687"/>
      <c r="O9" s="560"/>
      <c r="P9" s="560"/>
      <c r="Q9" s="560"/>
      <c r="R9" s="560"/>
      <c r="S9" s="560"/>
      <c r="T9" s="560"/>
      <c r="U9" s="560"/>
      <c r="V9" s="560"/>
      <c r="W9" s="560"/>
      <c r="X9" s="560"/>
      <c r="Y9" s="560"/>
      <c r="Z9" s="560"/>
      <c r="AA9" s="560"/>
      <c r="AB9" s="560"/>
      <c r="AC9" s="560"/>
      <c r="AD9" s="560"/>
      <c r="AE9" s="560"/>
    </row>
    <row r="10" spans="1:31" s="561" customFormat="1">
      <c r="A10" s="2"/>
      <c r="B10" s="590" t="s">
        <v>1674</v>
      </c>
      <c r="C10" s="1166">
        <v>5.5E-2</v>
      </c>
      <c r="D10" s="587"/>
      <c r="E10" s="2"/>
      <c r="F10" s="3"/>
      <c r="G10" s="687"/>
      <c r="H10" s="687"/>
      <c r="I10" s="687"/>
      <c r="J10" s="687"/>
      <c r="K10" s="687"/>
      <c r="L10" s="687"/>
      <c r="M10" s="687"/>
      <c r="O10" s="560"/>
      <c r="P10" s="560"/>
      <c r="Q10" s="560"/>
      <c r="R10" s="560"/>
      <c r="S10" s="560"/>
      <c r="T10" s="560"/>
      <c r="U10" s="560"/>
      <c r="V10" s="560"/>
      <c r="W10" s="560"/>
      <c r="X10" s="560"/>
      <c r="Y10" s="560"/>
      <c r="Z10" s="560"/>
      <c r="AA10" s="560"/>
      <c r="AB10" s="560"/>
      <c r="AC10" s="560"/>
      <c r="AD10" s="560"/>
      <c r="AE10" s="560"/>
    </row>
    <row r="11" spans="1:31" s="561" customFormat="1">
      <c r="A11" s="2"/>
      <c r="B11" s="590" t="s">
        <v>1673</v>
      </c>
      <c r="C11" s="1166">
        <v>0.03</v>
      </c>
      <c r="D11" s="587"/>
      <c r="E11" s="2"/>
      <c r="F11" s="3"/>
      <c r="G11" s="687"/>
      <c r="H11" s="687" t="s">
        <v>683</v>
      </c>
      <c r="I11" s="687"/>
      <c r="J11" s="687"/>
      <c r="K11" s="687"/>
      <c r="L11" s="687"/>
      <c r="M11" s="687"/>
      <c r="O11" s="560"/>
      <c r="P11" s="560"/>
      <c r="Q11" s="560"/>
      <c r="R11" s="560"/>
      <c r="S11" s="560"/>
      <c r="T11" s="560"/>
      <c r="U11" s="560"/>
      <c r="V11" s="560"/>
      <c r="W11" s="560"/>
      <c r="X11" s="560"/>
      <c r="Y11" s="560"/>
      <c r="Z11" s="560"/>
      <c r="AA11" s="560"/>
      <c r="AB11" s="560"/>
      <c r="AC11" s="560"/>
      <c r="AD11" s="560"/>
      <c r="AE11" s="560"/>
    </row>
    <row r="12" spans="1:31" s="561" customFormat="1">
      <c r="A12" s="2"/>
      <c r="B12" s="590" t="s">
        <v>1672</v>
      </c>
      <c r="C12" s="590">
        <v>12</v>
      </c>
      <c r="D12" s="586"/>
      <c r="E12" s="2"/>
      <c r="F12" s="3"/>
      <c r="G12" s="687"/>
      <c r="H12" s="687"/>
      <c r="I12" s="687"/>
      <c r="J12" s="687"/>
      <c r="K12" s="687"/>
      <c r="L12" s="687"/>
      <c r="M12" s="687"/>
      <c r="O12" s="560"/>
      <c r="P12" s="560"/>
      <c r="Q12" s="560"/>
      <c r="R12" s="560"/>
      <c r="S12" s="560"/>
      <c r="T12" s="560"/>
      <c r="U12" s="560"/>
      <c r="V12" s="560"/>
      <c r="W12" s="560"/>
      <c r="X12" s="560"/>
      <c r="Y12" s="560"/>
      <c r="Z12" s="560"/>
      <c r="AA12" s="560"/>
      <c r="AB12" s="560"/>
      <c r="AC12" s="560"/>
      <c r="AD12" s="560"/>
      <c r="AE12" s="560"/>
    </row>
    <row r="13" spans="1:31" s="561" customFormat="1">
      <c r="A13" s="2"/>
      <c r="B13" s="590" t="s">
        <v>1202</v>
      </c>
      <c r="C13" s="590">
        <v>20</v>
      </c>
      <c r="D13" s="586"/>
      <c r="E13" s="2"/>
      <c r="F13" s="3"/>
      <c r="G13" s="560"/>
      <c r="H13" s="560"/>
      <c r="I13" s="560"/>
      <c r="J13" s="560"/>
      <c r="K13" s="560"/>
      <c r="L13" s="560"/>
      <c r="M13" s="560"/>
      <c r="O13" s="560"/>
      <c r="P13" s="560"/>
      <c r="Q13" s="560"/>
      <c r="R13" s="560"/>
      <c r="S13" s="560"/>
      <c r="T13" s="560"/>
      <c r="U13" s="560"/>
      <c r="V13" s="560"/>
      <c r="W13" s="560"/>
      <c r="X13" s="560"/>
      <c r="Y13" s="560"/>
      <c r="Z13" s="560"/>
      <c r="AA13" s="560"/>
      <c r="AB13" s="560"/>
      <c r="AC13" s="560"/>
      <c r="AD13" s="560"/>
      <c r="AE13" s="560"/>
    </row>
    <row r="14" spans="1:31" s="561" customFormat="1">
      <c r="A14" s="2"/>
      <c r="B14" s="590" t="s">
        <v>1671</v>
      </c>
      <c r="C14" s="694">
        <v>25650000</v>
      </c>
      <c r="D14" s="1165"/>
      <c r="E14" s="2"/>
      <c r="F14" s="3"/>
      <c r="G14" s="560"/>
      <c r="H14" s="603"/>
      <c r="I14" s="560"/>
      <c r="J14" s="560"/>
      <c r="K14" s="560"/>
      <c r="L14" s="560"/>
      <c r="M14" s="560"/>
      <c r="O14" s="560"/>
      <c r="P14" s="560"/>
      <c r="Q14" s="560"/>
      <c r="R14" s="560"/>
      <c r="S14" s="560"/>
      <c r="T14" s="560"/>
      <c r="U14" s="560"/>
      <c r="V14" s="560"/>
      <c r="W14" s="560"/>
      <c r="X14" s="560"/>
      <c r="Y14" s="560"/>
      <c r="Z14" s="560"/>
      <c r="AA14" s="560"/>
      <c r="AB14" s="560"/>
      <c r="AC14" s="560"/>
      <c r="AD14" s="560"/>
      <c r="AE14" s="560"/>
    </row>
    <row r="15" spans="1:31" s="561" customFormat="1">
      <c r="A15" s="2"/>
      <c r="B15" s="590" t="s">
        <v>768</v>
      </c>
      <c r="C15" s="694">
        <v>26200000</v>
      </c>
      <c r="D15" s="1165"/>
      <c r="E15" s="2"/>
      <c r="F15" s="3"/>
      <c r="G15" s="560"/>
      <c r="H15" s="560"/>
      <c r="I15" s="560"/>
      <c r="J15" s="1163"/>
      <c r="K15" s="1163"/>
      <c r="L15" s="1162"/>
      <c r="M15" s="560"/>
      <c r="O15" s="560"/>
      <c r="P15" s="560"/>
      <c r="Q15" s="560"/>
      <c r="R15" s="560"/>
      <c r="S15" s="560"/>
      <c r="T15" s="560"/>
      <c r="U15" s="560"/>
      <c r="V15" s="560"/>
      <c r="W15" s="560"/>
      <c r="X15" s="560"/>
      <c r="Y15" s="560"/>
      <c r="Z15" s="560"/>
      <c r="AA15" s="560"/>
      <c r="AB15" s="560"/>
      <c r="AC15" s="560"/>
      <c r="AD15" s="560"/>
      <c r="AE15" s="560"/>
    </row>
    <row r="16" spans="1:31" s="561" customFormat="1">
      <c r="A16" s="2"/>
      <c r="B16" s="590" t="s">
        <v>1670</v>
      </c>
      <c r="C16" s="694">
        <v>670000</v>
      </c>
      <c r="D16" s="1165"/>
      <c r="E16" s="2"/>
      <c r="F16" s="3"/>
      <c r="G16" s="560"/>
      <c r="H16" s="560"/>
      <c r="I16" s="560"/>
      <c r="J16" s="981"/>
      <c r="K16" s="560"/>
      <c r="L16" s="560"/>
      <c r="M16" s="560"/>
      <c r="O16" s="560"/>
      <c r="P16" s="560"/>
      <c r="Q16" s="560"/>
      <c r="R16" s="560"/>
      <c r="S16" s="560"/>
      <c r="T16" s="560"/>
      <c r="U16" s="560"/>
      <c r="V16" s="560"/>
      <c r="W16" s="560"/>
      <c r="X16" s="560"/>
      <c r="Y16" s="560"/>
      <c r="Z16" s="560"/>
      <c r="AA16" s="560"/>
      <c r="AB16" s="560"/>
      <c r="AC16" s="560"/>
      <c r="AD16" s="560"/>
      <c r="AE16" s="560"/>
    </row>
    <row r="17" spans="1:31" s="561" customFormat="1">
      <c r="A17" s="2"/>
      <c r="B17" s="590" t="s">
        <v>1464</v>
      </c>
      <c r="C17" s="694">
        <v>1180000</v>
      </c>
      <c r="D17" s="1165"/>
      <c r="E17" s="2"/>
      <c r="F17" s="3"/>
      <c r="G17" s="560"/>
      <c r="H17" s="1024"/>
      <c r="I17" s="560"/>
      <c r="J17" s="1163"/>
      <c r="K17" s="1163"/>
      <c r="L17" s="1162"/>
      <c r="M17" s="560"/>
      <c r="O17" s="560"/>
      <c r="P17" s="560"/>
      <c r="Q17" s="560"/>
      <c r="R17" s="560"/>
      <c r="S17" s="560"/>
      <c r="T17" s="560"/>
      <c r="U17" s="560"/>
      <c r="V17" s="560"/>
      <c r="W17" s="560"/>
      <c r="X17" s="560"/>
      <c r="Y17" s="560"/>
      <c r="Z17" s="560"/>
      <c r="AA17" s="560"/>
      <c r="AB17" s="560"/>
      <c r="AC17" s="560"/>
      <c r="AD17" s="560"/>
      <c r="AE17" s="560"/>
    </row>
    <row r="18" spans="1:31" s="561" customFormat="1">
      <c r="A18" s="2"/>
      <c r="B18" s="590" t="s">
        <v>1463</v>
      </c>
      <c r="C18" s="694">
        <v>1540000</v>
      </c>
      <c r="D18" s="1165"/>
      <c r="E18" s="2"/>
      <c r="F18" s="3"/>
      <c r="G18" s="560"/>
      <c r="H18" s="560"/>
      <c r="I18" s="560"/>
      <c r="J18" s="1163"/>
      <c r="K18" s="1163"/>
      <c r="L18" s="1162"/>
      <c r="M18" s="560"/>
      <c r="O18" s="560"/>
      <c r="P18" s="560"/>
      <c r="Q18" s="560"/>
      <c r="R18" s="560"/>
      <c r="S18" s="560"/>
      <c r="T18" s="560"/>
      <c r="U18" s="560"/>
      <c r="V18" s="560"/>
      <c r="W18" s="560"/>
      <c r="X18" s="560"/>
      <c r="Y18" s="560"/>
      <c r="Z18" s="560"/>
      <c r="AA18" s="560"/>
      <c r="AB18" s="560"/>
      <c r="AC18" s="560"/>
      <c r="AD18" s="560"/>
      <c r="AE18" s="560"/>
    </row>
    <row r="19" spans="1:31" s="561" customFormat="1">
      <c r="A19" s="2"/>
      <c r="B19" s="590" t="s">
        <v>1669</v>
      </c>
      <c r="C19" s="694">
        <v>2200000</v>
      </c>
      <c r="D19" s="1165"/>
      <c r="E19" s="2"/>
      <c r="F19" s="3"/>
      <c r="G19" s="560"/>
      <c r="H19" s="560"/>
      <c r="I19" s="560"/>
      <c r="J19" s="1163"/>
      <c r="K19" s="1163"/>
      <c r="L19" s="1162"/>
      <c r="M19" s="560"/>
      <c r="O19" s="560"/>
      <c r="P19" s="560"/>
      <c r="Q19" s="560"/>
      <c r="R19" s="560"/>
      <c r="S19" s="560"/>
      <c r="T19" s="560"/>
      <c r="U19" s="560"/>
      <c r="V19" s="560"/>
      <c r="W19" s="560"/>
      <c r="X19" s="560"/>
      <c r="Y19" s="560"/>
      <c r="Z19" s="560"/>
      <c r="AA19" s="560"/>
      <c r="AB19" s="560"/>
      <c r="AC19" s="560"/>
      <c r="AD19" s="560"/>
      <c r="AE19" s="560"/>
    </row>
    <row r="20" spans="1:31" s="561" customFormat="1">
      <c r="A20" s="2"/>
      <c r="B20" s="590" t="s">
        <v>758</v>
      </c>
      <c r="C20" s="590">
        <v>14</v>
      </c>
      <c r="D20" s="586"/>
      <c r="E20" s="2"/>
      <c r="F20" s="3"/>
      <c r="G20" s="560"/>
      <c r="H20" s="560"/>
      <c r="I20" s="560"/>
      <c r="J20" s="981"/>
      <c r="K20" s="981"/>
      <c r="L20" s="1162"/>
      <c r="M20" s="560"/>
      <c r="O20" s="560"/>
      <c r="P20" s="560"/>
      <c r="Q20" s="560"/>
      <c r="R20" s="560"/>
      <c r="S20" s="560"/>
      <c r="T20" s="560"/>
      <c r="U20" s="560"/>
      <c r="V20" s="560"/>
      <c r="W20" s="560"/>
      <c r="X20" s="560"/>
      <c r="Y20" s="560"/>
      <c r="Z20" s="560"/>
      <c r="AA20" s="560"/>
      <c r="AB20" s="560"/>
      <c r="AC20" s="560"/>
      <c r="AD20" s="560"/>
      <c r="AE20" s="560"/>
    </row>
    <row r="21" spans="1:31" s="561" customFormat="1">
      <c r="A21" s="2"/>
      <c r="B21" s="2"/>
      <c r="C21" s="583"/>
      <c r="D21" s="583"/>
      <c r="E21" s="2"/>
      <c r="F21" s="3"/>
      <c r="G21" s="560"/>
      <c r="H21" s="560"/>
      <c r="I21" s="560"/>
      <c r="J21" s="560"/>
      <c r="K21" s="560"/>
      <c r="L21" s="560"/>
      <c r="M21" s="560"/>
      <c r="O21" s="560"/>
      <c r="P21" s="560"/>
      <c r="Q21" s="560"/>
      <c r="R21" s="560"/>
      <c r="S21" s="560"/>
      <c r="T21" s="560"/>
      <c r="U21" s="560"/>
      <c r="V21" s="560"/>
      <c r="W21" s="560"/>
      <c r="X21" s="560"/>
      <c r="Y21" s="560"/>
      <c r="Z21" s="560"/>
      <c r="AA21" s="560"/>
      <c r="AB21" s="560"/>
      <c r="AC21" s="560"/>
      <c r="AD21" s="560"/>
      <c r="AE21" s="560"/>
    </row>
    <row r="22" spans="1:31" s="561" customFormat="1" ht="16.2">
      <c r="A22" s="2"/>
      <c r="B22" s="585" t="s">
        <v>1668</v>
      </c>
      <c r="C22" s="583"/>
      <c r="D22" s="583"/>
      <c r="E22" s="2"/>
      <c r="F22" s="3"/>
      <c r="G22" s="560"/>
      <c r="H22" s="603"/>
      <c r="I22" s="560"/>
      <c r="J22" s="1167"/>
      <c r="K22" s="1167"/>
      <c r="L22" s="560"/>
      <c r="M22" s="560"/>
      <c r="O22" s="560"/>
      <c r="P22" s="560"/>
      <c r="Q22" s="560"/>
      <c r="R22" s="560"/>
      <c r="S22" s="560"/>
      <c r="T22" s="560"/>
      <c r="U22" s="560"/>
      <c r="V22" s="560"/>
      <c r="W22" s="560"/>
      <c r="X22" s="560"/>
      <c r="Y22" s="560"/>
      <c r="Z22" s="560"/>
      <c r="AA22" s="560"/>
      <c r="AB22" s="560"/>
      <c r="AC22" s="560"/>
      <c r="AD22" s="560"/>
      <c r="AE22" s="560"/>
    </row>
    <row r="23" spans="1:31" s="561" customFormat="1" ht="16.2">
      <c r="A23" s="2"/>
      <c r="B23" s="1168" t="s">
        <v>1667</v>
      </c>
      <c r="C23" s="583"/>
      <c r="D23" s="583"/>
      <c r="E23" s="2"/>
      <c r="F23" s="3"/>
      <c r="G23" s="560"/>
      <c r="H23" s="603"/>
      <c r="I23" s="560"/>
      <c r="J23" s="1167"/>
      <c r="K23" s="1167"/>
      <c r="L23" s="560"/>
      <c r="M23" s="560"/>
      <c r="O23" s="560"/>
      <c r="P23" s="560"/>
      <c r="Q23" s="560"/>
      <c r="R23" s="560"/>
      <c r="S23" s="560"/>
      <c r="T23" s="560"/>
      <c r="U23" s="560"/>
      <c r="V23" s="560"/>
      <c r="W23" s="560"/>
      <c r="X23" s="560"/>
      <c r="Y23" s="560"/>
      <c r="Z23" s="560"/>
      <c r="AA23" s="560"/>
      <c r="AB23" s="560"/>
      <c r="AC23" s="560"/>
      <c r="AD23" s="560"/>
      <c r="AE23" s="560"/>
    </row>
    <row r="24" spans="1:31" s="561" customFormat="1" ht="16.2">
      <c r="A24" s="2"/>
      <c r="B24" s="1168" t="s">
        <v>1666</v>
      </c>
      <c r="C24" s="583"/>
      <c r="D24" s="583"/>
      <c r="E24" s="2"/>
      <c r="F24" s="3"/>
      <c r="G24" s="560"/>
      <c r="H24" s="603"/>
      <c r="I24" s="560"/>
      <c r="J24" s="1167"/>
      <c r="K24" s="1167"/>
      <c r="L24" s="560"/>
      <c r="M24" s="560"/>
      <c r="O24" s="560"/>
      <c r="P24" s="560"/>
      <c r="Q24" s="560"/>
      <c r="R24" s="560"/>
      <c r="S24" s="560"/>
      <c r="T24" s="560"/>
      <c r="U24" s="560"/>
      <c r="V24" s="560"/>
      <c r="W24" s="560"/>
      <c r="X24" s="560"/>
      <c r="Y24" s="560"/>
      <c r="Z24" s="560"/>
      <c r="AA24" s="560"/>
      <c r="AB24" s="560"/>
      <c r="AC24" s="560"/>
      <c r="AD24" s="560"/>
      <c r="AE24" s="560"/>
    </row>
    <row r="25" spans="1:31" s="561" customFormat="1" ht="16.2">
      <c r="A25" s="2"/>
      <c r="B25" s="1168" t="s">
        <v>1665</v>
      </c>
      <c r="C25" s="583"/>
      <c r="D25" s="583"/>
      <c r="E25" s="2"/>
      <c r="F25" s="3"/>
      <c r="G25" s="560"/>
      <c r="H25" s="603"/>
      <c r="I25" s="560"/>
      <c r="J25" s="1167"/>
      <c r="K25" s="1167"/>
      <c r="L25" s="560"/>
      <c r="M25" s="560"/>
      <c r="O25" s="560"/>
      <c r="P25" s="560"/>
      <c r="Q25" s="560"/>
      <c r="R25" s="560"/>
      <c r="S25" s="560"/>
      <c r="T25" s="560"/>
      <c r="U25" s="560"/>
      <c r="V25" s="560"/>
      <c r="W25" s="560"/>
      <c r="X25" s="560"/>
      <c r="Y25" s="560"/>
      <c r="Z25" s="560"/>
      <c r="AA25" s="560"/>
      <c r="AB25" s="560"/>
      <c r="AC25" s="560"/>
      <c r="AD25" s="560"/>
      <c r="AE25" s="560"/>
    </row>
    <row r="26" spans="1:31" s="561" customFormat="1" ht="16.2">
      <c r="A26" s="2"/>
      <c r="B26" s="1168" t="s">
        <v>1664</v>
      </c>
      <c r="C26" s="583"/>
      <c r="D26" s="583"/>
      <c r="E26" s="2"/>
      <c r="F26" s="3"/>
      <c r="G26" s="560"/>
      <c r="H26" s="603"/>
      <c r="I26" s="560"/>
      <c r="J26" s="1167"/>
      <c r="K26" s="1167"/>
      <c r="L26" s="560"/>
      <c r="M26" s="560"/>
      <c r="O26" s="560"/>
      <c r="P26" s="560"/>
      <c r="Q26" s="560"/>
      <c r="R26" s="560"/>
      <c r="S26" s="560"/>
      <c r="T26" s="560"/>
      <c r="U26" s="560"/>
      <c r="V26" s="560"/>
      <c r="W26" s="560"/>
      <c r="X26" s="560"/>
      <c r="Y26" s="560"/>
      <c r="Z26" s="560"/>
      <c r="AA26" s="560"/>
      <c r="AB26" s="560"/>
      <c r="AC26" s="560"/>
      <c r="AD26" s="560"/>
      <c r="AE26" s="560"/>
    </row>
    <row r="27" spans="1:31" s="561" customFormat="1" ht="16.2">
      <c r="A27" s="2"/>
      <c r="B27" s="2"/>
      <c r="C27" s="583"/>
      <c r="D27" s="583"/>
      <c r="E27" s="2"/>
      <c r="F27" s="3"/>
      <c r="G27" s="560"/>
      <c r="H27" s="603"/>
      <c r="I27" s="560"/>
      <c r="J27" s="1167"/>
      <c r="K27" s="1167"/>
      <c r="L27" s="560"/>
      <c r="M27" s="560"/>
      <c r="O27" s="560"/>
      <c r="P27" s="560"/>
      <c r="Q27" s="560"/>
      <c r="R27" s="560"/>
      <c r="S27" s="560"/>
      <c r="T27" s="560"/>
      <c r="U27" s="560"/>
      <c r="V27" s="560"/>
      <c r="W27" s="560"/>
      <c r="X27" s="560"/>
      <c r="Y27" s="560"/>
      <c r="Z27" s="560"/>
      <c r="AA27" s="560"/>
      <c r="AB27" s="560"/>
      <c r="AC27" s="560"/>
      <c r="AD27" s="560"/>
      <c r="AE27" s="560"/>
    </row>
    <row r="28" spans="1:31" s="561" customFormat="1" ht="16.2">
      <c r="A28" s="2"/>
      <c r="B28" s="585" t="s">
        <v>1663</v>
      </c>
      <c r="C28" s="583"/>
      <c r="D28" s="583"/>
      <c r="E28" s="2"/>
      <c r="F28" s="3"/>
      <c r="G28" s="560"/>
      <c r="H28" s="603"/>
      <c r="I28" s="560"/>
      <c r="J28" s="1167"/>
      <c r="K28" s="1167"/>
      <c r="L28" s="560"/>
      <c r="M28" s="560"/>
      <c r="O28" s="560"/>
      <c r="P28" s="560"/>
      <c r="Q28" s="560"/>
      <c r="R28" s="560"/>
      <c r="S28" s="560"/>
      <c r="T28" s="560"/>
      <c r="U28" s="560"/>
      <c r="V28" s="560"/>
      <c r="W28" s="560"/>
      <c r="X28" s="560"/>
      <c r="Y28" s="560"/>
      <c r="Z28" s="560"/>
      <c r="AA28" s="560"/>
      <c r="AB28" s="560"/>
      <c r="AC28" s="560"/>
      <c r="AD28" s="560"/>
      <c r="AE28" s="560"/>
    </row>
    <row r="29" spans="1:31" s="561" customFormat="1" ht="16.2">
      <c r="A29" s="2"/>
      <c r="B29" s="585"/>
      <c r="C29" s="583"/>
      <c r="D29" s="583"/>
      <c r="E29" s="2"/>
      <c r="F29" s="3"/>
      <c r="G29" s="560"/>
      <c r="H29" s="603"/>
      <c r="I29" s="560"/>
      <c r="J29" s="1167"/>
      <c r="K29" s="1167"/>
      <c r="L29" s="560"/>
      <c r="M29" s="560"/>
      <c r="O29" s="560"/>
      <c r="P29" s="560"/>
      <c r="Q29" s="560"/>
      <c r="R29" s="560"/>
      <c r="S29" s="560"/>
      <c r="T29" s="560"/>
      <c r="U29" s="560"/>
      <c r="V29" s="560"/>
      <c r="W29" s="560"/>
      <c r="X29" s="560"/>
      <c r="Y29" s="560"/>
      <c r="Z29" s="560"/>
      <c r="AA29" s="560"/>
      <c r="AB29" s="560"/>
      <c r="AC29" s="560"/>
      <c r="AD29" s="560"/>
      <c r="AE29" s="560"/>
    </row>
    <row r="30" spans="1:31" s="561" customFormat="1" ht="16.2">
      <c r="A30" s="2"/>
      <c r="B30" s="585" t="s">
        <v>1662</v>
      </c>
      <c r="C30" s="583"/>
      <c r="D30" s="583"/>
      <c r="E30" s="2"/>
      <c r="F30" s="3"/>
      <c r="G30" s="560"/>
      <c r="H30" s="603"/>
      <c r="I30" s="560"/>
      <c r="J30" s="1167"/>
      <c r="K30" s="1167"/>
      <c r="L30" s="560"/>
      <c r="M30" s="560"/>
      <c r="O30" s="560"/>
      <c r="P30" s="560"/>
      <c r="Q30" s="560"/>
      <c r="R30" s="560"/>
      <c r="S30" s="560"/>
      <c r="T30" s="560"/>
      <c r="U30" s="560"/>
      <c r="V30" s="560"/>
      <c r="W30" s="560"/>
      <c r="X30" s="560"/>
      <c r="Y30" s="560"/>
      <c r="Z30" s="560"/>
      <c r="AA30" s="560"/>
      <c r="AB30" s="560"/>
      <c r="AC30" s="560"/>
      <c r="AD30" s="560"/>
      <c r="AE30" s="560"/>
    </row>
    <row r="31" spans="1:31" s="561" customFormat="1" ht="16.2">
      <c r="A31" s="2"/>
      <c r="B31" s="2"/>
      <c r="C31" s="583"/>
      <c r="D31" s="583"/>
      <c r="E31" s="2"/>
      <c r="F31" s="3"/>
      <c r="G31" s="560"/>
      <c r="H31" s="603"/>
      <c r="I31" s="560"/>
      <c r="J31" s="1167"/>
      <c r="K31" s="1167"/>
      <c r="L31" s="560"/>
      <c r="M31" s="560"/>
      <c r="O31" s="560"/>
      <c r="P31" s="560"/>
      <c r="Q31" s="560"/>
      <c r="R31" s="560"/>
      <c r="S31" s="560"/>
      <c r="T31" s="560"/>
      <c r="U31" s="560"/>
      <c r="V31" s="560"/>
      <c r="W31" s="560"/>
      <c r="X31" s="560"/>
      <c r="Y31" s="560"/>
      <c r="Z31" s="560"/>
      <c r="AA31" s="560"/>
      <c r="AB31" s="560"/>
      <c r="AC31" s="560"/>
      <c r="AD31" s="560"/>
      <c r="AE31" s="560"/>
    </row>
    <row r="32" spans="1:31" s="561" customFormat="1">
      <c r="A32" s="2"/>
      <c r="B32" s="590" t="s">
        <v>51</v>
      </c>
      <c r="C32" s="1166">
        <v>4.2999999999999997E-2</v>
      </c>
      <c r="D32" s="587"/>
      <c r="E32" s="2"/>
      <c r="F32" s="3"/>
      <c r="G32" s="560"/>
      <c r="H32" s="560"/>
      <c r="I32" s="560"/>
      <c r="J32" s="1163"/>
      <c r="K32" s="1163"/>
      <c r="L32" s="1162"/>
      <c r="M32" s="560"/>
      <c r="O32" s="560"/>
      <c r="P32" s="560"/>
      <c r="Q32" s="560"/>
      <c r="R32" s="560"/>
      <c r="S32" s="560"/>
      <c r="T32" s="560"/>
      <c r="U32" s="560"/>
      <c r="V32" s="560"/>
      <c r="W32" s="560"/>
      <c r="X32" s="560"/>
      <c r="Y32" s="560"/>
      <c r="Z32" s="560"/>
      <c r="AA32" s="560"/>
      <c r="AB32" s="560"/>
      <c r="AC32" s="560"/>
      <c r="AD32" s="560"/>
      <c r="AE32" s="560"/>
    </row>
    <row r="33" spans="1:31" s="561" customFormat="1">
      <c r="A33" s="2"/>
      <c r="B33" s="590" t="s">
        <v>1661</v>
      </c>
      <c r="C33" s="1166">
        <v>5.5E-2</v>
      </c>
      <c r="D33" s="587"/>
      <c r="E33" s="2"/>
      <c r="F33" s="3"/>
      <c r="G33" s="560"/>
      <c r="H33" s="560"/>
      <c r="I33" s="560"/>
      <c r="J33" s="1163"/>
      <c r="K33" s="1163"/>
      <c r="L33" s="560"/>
      <c r="M33" s="560"/>
      <c r="O33" s="560"/>
      <c r="P33" s="560"/>
      <c r="Q33" s="560"/>
      <c r="R33" s="560"/>
      <c r="S33" s="560"/>
      <c r="T33" s="560"/>
      <c r="U33" s="560"/>
      <c r="V33" s="560"/>
      <c r="W33" s="560"/>
      <c r="X33" s="560"/>
      <c r="Y33" s="560"/>
      <c r="Z33" s="560"/>
      <c r="AA33" s="560"/>
      <c r="AB33" s="560"/>
      <c r="AC33" s="560"/>
      <c r="AD33" s="560"/>
      <c r="AE33" s="560"/>
    </row>
    <row r="34" spans="1:31" s="561" customFormat="1">
      <c r="A34" s="594"/>
      <c r="B34" s="590" t="s">
        <v>768</v>
      </c>
      <c r="C34" s="694">
        <v>24300000</v>
      </c>
      <c r="D34" s="1165"/>
      <c r="E34" s="2"/>
      <c r="F34" s="3"/>
      <c r="G34" s="560"/>
      <c r="H34" s="560"/>
      <c r="I34" s="560"/>
      <c r="J34" s="560"/>
      <c r="K34" s="560"/>
      <c r="L34" s="560"/>
      <c r="M34" s="560"/>
      <c r="O34" s="560"/>
      <c r="P34" s="560"/>
      <c r="Q34" s="560"/>
      <c r="R34" s="560"/>
      <c r="S34" s="560"/>
      <c r="T34" s="560"/>
      <c r="U34" s="560"/>
      <c r="V34" s="560"/>
      <c r="W34" s="560"/>
      <c r="X34" s="560"/>
      <c r="Y34" s="560"/>
      <c r="Z34" s="560"/>
      <c r="AA34" s="560"/>
      <c r="AB34" s="560"/>
      <c r="AC34" s="560"/>
      <c r="AD34" s="560"/>
      <c r="AE34" s="560"/>
    </row>
    <row r="35" spans="1:31" s="561" customFormat="1">
      <c r="A35" s="2"/>
      <c r="B35" s="590" t="s">
        <v>758</v>
      </c>
      <c r="C35" s="590">
        <v>13</v>
      </c>
      <c r="D35" s="586"/>
      <c r="E35" s="2"/>
      <c r="F35" s="3"/>
      <c r="G35" s="560"/>
      <c r="H35" s="560"/>
      <c r="I35" s="560"/>
      <c r="J35" s="560"/>
      <c r="K35" s="560"/>
      <c r="L35" s="560"/>
      <c r="M35" s="560"/>
      <c r="O35" s="560"/>
      <c r="P35" s="560"/>
      <c r="Q35" s="560"/>
      <c r="R35" s="560"/>
      <c r="S35" s="560"/>
      <c r="T35" s="560"/>
      <c r="U35" s="560"/>
      <c r="V35" s="560"/>
      <c r="W35" s="560"/>
      <c r="X35" s="560"/>
      <c r="Y35" s="560"/>
      <c r="Z35" s="560"/>
      <c r="AA35" s="560"/>
      <c r="AB35" s="560"/>
      <c r="AC35" s="560"/>
      <c r="AD35" s="560"/>
      <c r="AE35" s="560"/>
    </row>
    <row r="36" spans="1:31" s="561" customFormat="1">
      <c r="A36" s="2"/>
      <c r="B36" s="2"/>
      <c r="C36" s="583"/>
      <c r="D36" s="583"/>
      <c r="E36" s="2"/>
      <c r="F36" s="3"/>
      <c r="G36" s="560"/>
      <c r="H36" s="603"/>
      <c r="I36" s="560"/>
      <c r="J36" s="560"/>
      <c r="K36" s="560"/>
      <c r="L36" s="560"/>
      <c r="M36" s="560"/>
      <c r="O36" s="560"/>
      <c r="P36" s="560"/>
      <c r="Q36" s="560"/>
      <c r="R36" s="560"/>
      <c r="S36" s="560"/>
      <c r="T36" s="560"/>
      <c r="U36" s="560"/>
      <c r="V36" s="560"/>
      <c r="W36" s="560"/>
      <c r="X36" s="560"/>
      <c r="Y36" s="560"/>
      <c r="Z36" s="560"/>
      <c r="AA36" s="560"/>
      <c r="AB36" s="560"/>
      <c r="AC36" s="560"/>
      <c r="AD36" s="560"/>
      <c r="AE36" s="560"/>
    </row>
    <row r="37" spans="1:31" s="561" customFormat="1">
      <c r="A37" s="2"/>
      <c r="B37" s="2"/>
      <c r="C37" s="583"/>
      <c r="D37" s="583"/>
      <c r="E37" s="2"/>
      <c r="F37" s="3"/>
      <c r="G37" s="560"/>
      <c r="H37" s="560"/>
      <c r="I37" s="560"/>
      <c r="J37" s="560"/>
      <c r="K37" s="560"/>
      <c r="L37" s="560"/>
      <c r="M37" s="560"/>
      <c r="O37" s="560"/>
      <c r="P37" s="560"/>
      <c r="Q37" s="560"/>
      <c r="R37" s="560"/>
      <c r="S37" s="560"/>
      <c r="T37" s="560"/>
      <c r="U37" s="560"/>
      <c r="V37" s="560"/>
      <c r="W37" s="560"/>
      <c r="X37" s="560"/>
      <c r="Y37" s="560"/>
      <c r="Z37" s="560"/>
      <c r="AA37" s="560"/>
      <c r="AB37" s="560"/>
      <c r="AC37" s="560"/>
      <c r="AD37" s="560"/>
      <c r="AE37" s="560"/>
    </row>
    <row r="38" spans="1:31" s="561" customFormat="1">
      <c r="A38" s="2"/>
      <c r="B38" s="2"/>
      <c r="C38" s="678"/>
      <c r="D38" s="678"/>
      <c r="E38" s="2"/>
      <c r="F38" s="3"/>
      <c r="G38" s="560"/>
      <c r="H38" s="560"/>
      <c r="I38" s="560"/>
      <c r="J38" s="1163"/>
      <c r="K38" s="1163"/>
      <c r="L38" s="560"/>
      <c r="M38" s="560"/>
      <c r="O38" s="560"/>
      <c r="P38" s="560"/>
      <c r="Q38" s="560"/>
      <c r="R38" s="560"/>
      <c r="S38" s="560"/>
      <c r="T38" s="560"/>
      <c r="U38" s="560"/>
      <c r="V38" s="560"/>
      <c r="W38" s="560"/>
      <c r="X38" s="560"/>
      <c r="Y38" s="560"/>
      <c r="Z38" s="560"/>
      <c r="AA38" s="560"/>
      <c r="AB38" s="560"/>
      <c r="AC38" s="560"/>
      <c r="AD38" s="560"/>
      <c r="AE38" s="560"/>
    </row>
    <row r="39" spans="1:31" s="561" customFormat="1">
      <c r="A39" s="2"/>
      <c r="B39" s="2"/>
      <c r="C39" s="678"/>
      <c r="D39" s="678"/>
      <c r="E39" s="2"/>
      <c r="F39" s="3"/>
      <c r="G39" s="560"/>
      <c r="H39" s="560"/>
      <c r="I39" s="560"/>
      <c r="J39" s="1163"/>
      <c r="K39" s="1163"/>
      <c r="L39" s="560"/>
      <c r="M39" s="560"/>
      <c r="O39" s="560"/>
      <c r="P39" s="560"/>
      <c r="Q39" s="560"/>
      <c r="R39" s="560"/>
      <c r="S39" s="560"/>
      <c r="T39" s="560"/>
      <c r="U39" s="560"/>
      <c r="V39" s="560"/>
      <c r="W39" s="560"/>
      <c r="X39" s="560"/>
      <c r="Y39" s="560"/>
      <c r="Z39" s="560"/>
      <c r="AA39" s="560"/>
      <c r="AB39" s="560"/>
      <c r="AC39" s="560"/>
      <c r="AD39" s="560"/>
      <c r="AE39" s="560"/>
    </row>
    <row r="40" spans="1:31" s="561" customFormat="1">
      <c r="A40" s="2"/>
      <c r="B40" s="2"/>
      <c r="C40" s="1164"/>
      <c r="D40" s="1164"/>
      <c r="E40" s="2"/>
      <c r="F40" s="3"/>
      <c r="G40" s="560"/>
      <c r="H40" s="560"/>
      <c r="I40" s="560"/>
      <c r="J40" s="1163"/>
      <c r="K40" s="1163"/>
      <c r="L40" s="560"/>
      <c r="M40" s="560"/>
      <c r="O40" s="560"/>
      <c r="P40" s="560"/>
      <c r="Q40" s="560"/>
      <c r="R40" s="560"/>
      <c r="S40" s="560"/>
      <c r="T40" s="560"/>
      <c r="U40" s="560"/>
      <c r="V40" s="560"/>
      <c r="W40" s="560"/>
      <c r="X40" s="560"/>
      <c r="Y40" s="560"/>
      <c r="Z40" s="560"/>
      <c r="AA40" s="560"/>
      <c r="AB40" s="560"/>
      <c r="AC40" s="560"/>
      <c r="AD40" s="560"/>
      <c r="AE40" s="560"/>
    </row>
    <row r="41" spans="1:31" s="561" customFormat="1">
      <c r="A41" s="2"/>
      <c r="B41" s="2"/>
      <c r="C41" s="583"/>
      <c r="D41" s="583"/>
      <c r="E41" s="2"/>
      <c r="F41" s="3"/>
      <c r="G41" s="560"/>
      <c r="H41" s="560"/>
      <c r="I41" s="560"/>
      <c r="J41" s="1163"/>
      <c r="K41" s="1163"/>
      <c r="L41" s="1162"/>
      <c r="M41" s="560"/>
      <c r="O41" s="560"/>
      <c r="P41" s="560"/>
      <c r="Q41" s="560"/>
      <c r="R41" s="560"/>
      <c r="S41" s="560"/>
      <c r="T41" s="560"/>
      <c r="U41" s="560"/>
      <c r="V41" s="560"/>
      <c r="W41" s="560"/>
      <c r="X41" s="560"/>
      <c r="Y41" s="560"/>
      <c r="Z41" s="560"/>
      <c r="AA41" s="560"/>
      <c r="AB41" s="560"/>
      <c r="AC41" s="560"/>
      <c r="AD41" s="560"/>
      <c r="AE41" s="560"/>
    </row>
    <row r="42" spans="1:31" s="561" customFormat="1">
      <c r="A42" s="2"/>
      <c r="B42" s="2"/>
      <c r="C42" s="583"/>
      <c r="D42" s="583"/>
      <c r="E42" s="2"/>
      <c r="F42" s="3"/>
      <c r="G42" s="560"/>
      <c r="H42" s="560"/>
      <c r="I42" s="560"/>
      <c r="J42" s="981"/>
      <c r="K42" s="981"/>
      <c r="L42" s="560"/>
      <c r="M42" s="560"/>
      <c r="O42" s="560"/>
      <c r="P42" s="560"/>
      <c r="Q42" s="560"/>
      <c r="R42" s="560"/>
      <c r="S42" s="560"/>
      <c r="T42" s="560"/>
      <c r="U42" s="560"/>
      <c r="V42" s="560"/>
      <c r="W42" s="560"/>
      <c r="X42" s="560"/>
      <c r="Y42" s="560"/>
      <c r="Z42" s="560"/>
      <c r="AA42" s="560"/>
      <c r="AB42" s="560"/>
      <c r="AC42" s="560"/>
      <c r="AD42" s="560"/>
      <c r="AE42" s="560"/>
    </row>
    <row r="43" spans="1:31" s="561" customFormat="1">
      <c r="A43" s="2"/>
      <c r="B43" s="2"/>
      <c r="C43" s="583"/>
      <c r="D43" s="583"/>
      <c r="E43" s="2"/>
      <c r="F43" s="3"/>
      <c r="G43" s="560"/>
      <c r="H43" s="560"/>
      <c r="I43" s="560"/>
      <c r="J43" s="1163"/>
      <c r="K43" s="1163"/>
      <c r="L43" s="1162"/>
      <c r="M43" s="560"/>
      <c r="O43" s="560"/>
      <c r="P43" s="560"/>
      <c r="Q43" s="560"/>
      <c r="R43" s="560"/>
      <c r="S43" s="560"/>
      <c r="T43" s="560"/>
      <c r="U43" s="560"/>
      <c r="V43" s="560"/>
      <c r="W43" s="560"/>
      <c r="X43" s="560"/>
      <c r="Y43" s="560"/>
      <c r="Z43" s="560"/>
      <c r="AA43" s="560"/>
      <c r="AB43" s="560"/>
      <c r="AC43" s="560"/>
      <c r="AD43" s="560"/>
      <c r="AE43" s="560"/>
    </row>
    <row r="44" spans="1:31" s="561" customFormat="1">
      <c r="A44" s="2"/>
      <c r="B44" s="2"/>
      <c r="C44" s="583"/>
      <c r="D44" s="583"/>
      <c r="E44" s="2"/>
      <c r="F44" s="3"/>
      <c r="G44" s="560"/>
      <c r="H44" s="560"/>
      <c r="I44" s="560"/>
      <c r="J44" s="1163"/>
      <c r="K44" s="1163"/>
      <c r="L44" s="560"/>
      <c r="M44" s="560"/>
      <c r="O44" s="560"/>
      <c r="P44" s="560"/>
      <c r="Q44" s="560"/>
      <c r="R44" s="560"/>
      <c r="S44" s="560"/>
      <c r="T44" s="560"/>
      <c r="U44" s="560"/>
      <c r="V44" s="560"/>
      <c r="W44" s="560"/>
      <c r="X44" s="560"/>
      <c r="Y44" s="560"/>
      <c r="Z44" s="560"/>
      <c r="AA44" s="560"/>
      <c r="AB44" s="560"/>
      <c r="AC44" s="560"/>
      <c r="AD44" s="560"/>
      <c r="AE44" s="560"/>
    </row>
    <row r="45" spans="1:31" s="561" customFormat="1">
      <c r="A45" s="2"/>
      <c r="B45" s="2"/>
      <c r="C45" s="583"/>
      <c r="D45" s="583"/>
      <c r="E45" s="2"/>
      <c r="F45" s="3"/>
      <c r="G45" s="560"/>
      <c r="H45" s="560"/>
      <c r="I45" s="560"/>
      <c r="J45" s="560"/>
      <c r="K45" s="560"/>
      <c r="L45" s="560"/>
      <c r="M45" s="560"/>
      <c r="O45" s="560"/>
      <c r="P45" s="560"/>
      <c r="Q45" s="560"/>
      <c r="R45" s="560"/>
      <c r="S45" s="560"/>
      <c r="T45" s="560"/>
      <c r="U45" s="560"/>
      <c r="V45" s="560"/>
      <c r="W45" s="560"/>
      <c r="X45" s="560"/>
      <c r="Y45" s="560"/>
      <c r="Z45" s="560"/>
      <c r="AA45" s="560"/>
      <c r="AB45" s="560"/>
      <c r="AC45" s="560"/>
      <c r="AD45" s="560"/>
      <c r="AE45" s="560"/>
    </row>
    <row r="46" spans="1:31" s="561" customFormat="1">
      <c r="A46" s="2"/>
      <c r="B46" s="2"/>
      <c r="C46" s="583"/>
      <c r="D46" s="583"/>
      <c r="E46" s="2"/>
      <c r="F46" s="3"/>
      <c r="G46" s="560"/>
      <c r="H46" s="560"/>
      <c r="I46" s="560"/>
      <c r="J46" s="560"/>
      <c r="K46" s="560"/>
      <c r="L46" s="560"/>
      <c r="M46" s="560"/>
      <c r="O46" s="560"/>
      <c r="P46" s="560"/>
      <c r="Q46" s="560"/>
      <c r="R46" s="560"/>
      <c r="S46" s="560"/>
      <c r="T46" s="560"/>
      <c r="U46" s="560"/>
      <c r="V46" s="560"/>
      <c r="W46" s="560"/>
      <c r="X46" s="560"/>
      <c r="Y46" s="560"/>
      <c r="Z46" s="560"/>
      <c r="AA46" s="560"/>
      <c r="AB46" s="560"/>
      <c r="AC46" s="560"/>
      <c r="AD46" s="560"/>
      <c r="AE46" s="560"/>
    </row>
    <row r="47" spans="1:31" s="561" customFormat="1">
      <c r="A47" s="2"/>
      <c r="B47" s="2"/>
      <c r="C47" s="583"/>
      <c r="D47" s="583"/>
      <c r="E47" s="2"/>
      <c r="F47" s="3"/>
      <c r="G47" s="560"/>
      <c r="H47" s="603"/>
      <c r="I47" s="560"/>
      <c r="J47" s="560"/>
      <c r="K47" s="560"/>
      <c r="L47" s="560"/>
      <c r="M47" s="560"/>
      <c r="O47" s="560"/>
      <c r="P47" s="560"/>
      <c r="Q47" s="560"/>
      <c r="R47" s="560"/>
      <c r="S47" s="560"/>
      <c r="T47" s="560"/>
      <c r="U47" s="560"/>
      <c r="V47" s="560"/>
      <c r="W47" s="560"/>
      <c r="X47" s="560"/>
      <c r="Y47" s="560"/>
      <c r="Z47" s="560"/>
      <c r="AA47" s="560"/>
      <c r="AB47" s="560"/>
      <c r="AC47" s="560"/>
      <c r="AD47" s="560"/>
      <c r="AE47" s="560"/>
    </row>
    <row r="48" spans="1:31" s="561" customFormat="1">
      <c r="A48" s="2"/>
      <c r="B48" s="2"/>
      <c r="C48" s="583"/>
      <c r="D48" s="583"/>
      <c r="E48" s="2"/>
      <c r="F48" s="3"/>
      <c r="G48" s="560"/>
      <c r="H48" s="560"/>
      <c r="I48" s="560"/>
      <c r="J48" s="560"/>
      <c r="K48" s="560"/>
      <c r="L48" s="560"/>
      <c r="M48" s="560"/>
      <c r="O48" s="560"/>
      <c r="P48" s="560"/>
      <c r="Q48" s="560"/>
      <c r="R48" s="560"/>
      <c r="S48" s="560"/>
      <c r="T48" s="560"/>
      <c r="U48" s="560"/>
      <c r="V48" s="560"/>
      <c r="W48" s="560"/>
      <c r="X48" s="560"/>
      <c r="Y48" s="560"/>
      <c r="Z48" s="560"/>
      <c r="AA48" s="560"/>
      <c r="AB48" s="560"/>
      <c r="AC48" s="560"/>
      <c r="AD48" s="560"/>
      <c r="AE48" s="560"/>
    </row>
    <row r="49" spans="1:31" s="561" customFormat="1">
      <c r="A49" s="2"/>
      <c r="B49" s="2"/>
      <c r="C49" s="583"/>
      <c r="D49" s="583"/>
      <c r="E49" s="2"/>
      <c r="F49" s="3"/>
      <c r="G49" s="560"/>
      <c r="H49" s="560"/>
      <c r="I49" s="560"/>
      <c r="J49" s="1163"/>
      <c r="K49" s="1163"/>
      <c r="L49" s="560"/>
      <c r="M49" s="560"/>
      <c r="O49" s="560"/>
      <c r="P49" s="560"/>
      <c r="Q49" s="560"/>
      <c r="R49" s="560"/>
      <c r="S49" s="560"/>
      <c r="T49" s="560"/>
      <c r="U49" s="560"/>
      <c r="V49" s="560"/>
      <c r="W49" s="560"/>
      <c r="X49" s="560"/>
      <c r="Y49" s="560"/>
      <c r="Z49" s="560"/>
      <c r="AA49" s="560"/>
      <c r="AB49" s="560"/>
      <c r="AC49" s="560"/>
      <c r="AD49" s="560"/>
      <c r="AE49" s="560"/>
    </row>
    <row r="50" spans="1:31" s="561" customFormat="1">
      <c r="A50" s="2"/>
      <c r="B50" s="2"/>
      <c r="C50" s="583"/>
      <c r="D50" s="583"/>
      <c r="E50" s="2"/>
      <c r="F50" s="3"/>
      <c r="G50" s="560"/>
      <c r="H50" s="560"/>
      <c r="I50" s="560"/>
      <c r="J50" s="1163"/>
      <c r="K50" s="1163"/>
      <c r="L50" s="560"/>
      <c r="M50" s="560"/>
      <c r="O50" s="560"/>
      <c r="P50" s="560"/>
      <c r="Q50" s="560"/>
      <c r="R50" s="560"/>
      <c r="S50" s="560"/>
      <c r="T50" s="560"/>
      <c r="U50" s="560"/>
      <c r="V50" s="560"/>
      <c r="W50" s="560"/>
      <c r="X50" s="560"/>
      <c r="Y50" s="560"/>
      <c r="Z50" s="560"/>
      <c r="AA50" s="560"/>
      <c r="AB50" s="560"/>
      <c r="AC50" s="560"/>
      <c r="AD50" s="560"/>
      <c r="AE50" s="560"/>
    </row>
    <row r="51" spans="1:31" s="561" customFormat="1">
      <c r="A51" s="2"/>
      <c r="B51" s="2"/>
      <c r="C51" s="583"/>
      <c r="D51" s="583"/>
      <c r="E51" s="2"/>
      <c r="F51" s="3"/>
      <c r="G51" s="560"/>
      <c r="H51" s="560"/>
      <c r="I51" s="560"/>
      <c r="J51" s="981"/>
      <c r="K51" s="560"/>
      <c r="L51" s="560"/>
      <c r="M51" s="560"/>
      <c r="O51" s="560"/>
      <c r="P51" s="560"/>
      <c r="Q51" s="560"/>
      <c r="R51" s="560"/>
      <c r="S51" s="560"/>
      <c r="T51" s="560"/>
      <c r="U51" s="560"/>
      <c r="V51" s="560"/>
      <c r="W51" s="560"/>
      <c r="X51" s="560"/>
      <c r="Y51" s="560"/>
      <c r="Z51" s="560"/>
      <c r="AA51" s="560"/>
      <c r="AB51" s="560"/>
      <c r="AC51" s="560"/>
      <c r="AD51" s="560"/>
      <c r="AE51" s="560"/>
    </row>
    <row r="52" spans="1:31" s="561" customFormat="1">
      <c r="A52" s="2"/>
      <c r="B52" s="2"/>
      <c r="C52" s="583"/>
      <c r="D52" s="583"/>
      <c r="E52" s="2"/>
      <c r="F52" s="3"/>
      <c r="G52" s="560"/>
      <c r="H52" s="560"/>
      <c r="I52" s="560"/>
      <c r="J52" s="981"/>
      <c r="K52" s="1162"/>
      <c r="L52" s="560"/>
      <c r="M52" s="560"/>
      <c r="O52" s="560"/>
      <c r="P52" s="560"/>
      <c r="Q52" s="560"/>
      <c r="R52" s="560"/>
      <c r="S52" s="560"/>
      <c r="T52" s="560"/>
      <c r="U52" s="560"/>
      <c r="V52" s="560"/>
      <c r="W52" s="560"/>
      <c r="X52" s="560"/>
      <c r="Y52" s="560"/>
      <c r="Z52" s="560"/>
      <c r="AA52" s="560"/>
      <c r="AB52" s="560"/>
      <c r="AC52" s="560"/>
      <c r="AD52" s="560"/>
      <c r="AE52" s="560"/>
    </row>
    <row r="53" spans="1:31" s="561" customFormat="1">
      <c r="A53" s="2"/>
      <c r="B53" s="2"/>
      <c r="C53" s="583"/>
      <c r="D53" s="583"/>
      <c r="E53" s="2"/>
      <c r="F53" s="3"/>
      <c r="G53" s="560"/>
      <c r="H53" s="560"/>
      <c r="I53" s="560"/>
      <c r="J53" s="560"/>
      <c r="K53" s="560"/>
      <c r="L53" s="560"/>
      <c r="M53" s="560"/>
      <c r="O53" s="560"/>
      <c r="P53" s="560"/>
      <c r="Q53" s="560"/>
      <c r="R53" s="560"/>
      <c r="S53" s="560"/>
      <c r="T53" s="560"/>
      <c r="U53" s="560"/>
      <c r="V53" s="560"/>
      <c r="W53" s="560"/>
      <c r="X53" s="560"/>
      <c r="Y53" s="560"/>
      <c r="Z53" s="560"/>
      <c r="AA53" s="560"/>
      <c r="AB53" s="560"/>
      <c r="AC53" s="560"/>
      <c r="AD53" s="560"/>
      <c r="AE53" s="560"/>
    </row>
    <row r="54" spans="1:31" s="561" customFormat="1">
      <c r="A54" s="2"/>
      <c r="B54" s="2"/>
      <c r="C54" s="583"/>
      <c r="D54" s="583"/>
      <c r="E54" s="2"/>
      <c r="F54" s="3"/>
      <c r="G54" s="560"/>
      <c r="H54" s="560"/>
      <c r="I54" s="560"/>
      <c r="J54" s="560"/>
      <c r="K54" s="560"/>
      <c r="L54" s="560"/>
      <c r="M54" s="560"/>
      <c r="O54" s="560"/>
      <c r="P54" s="560"/>
      <c r="Q54" s="560"/>
      <c r="R54" s="560"/>
      <c r="S54" s="560"/>
      <c r="T54" s="560"/>
      <c r="U54" s="560"/>
      <c r="V54" s="560"/>
      <c r="W54" s="560"/>
      <c r="X54" s="560"/>
      <c r="Y54" s="560"/>
      <c r="Z54" s="560"/>
      <c r="AA54" s="560"/>
      <c r="AB54" s="560"/>
      <c r="AC54" s="560"/>
      <c r="AD54" s="560"/>
      <c r="AE54" s="560"/>
    </row>
    <row r="55" spans="1:31" s="561" customFormat="1">
      <c r="A55" s="2"/>
      <c r="B55" s="2"/>
      <c r="C55" s="583"/>
      <c r="D55" s="583"/>
      <c r="E55" s="2"/>
      <c r="F55" s="3"/>
      <c r="G55" s="560"/>
      <c r="H55" s="603"/>
      <c r="I55" s="560"/>
      <c r="J55" s="981"/>
      <c r="K55" s="560"/>
      <c r="L55" s="560"/>
      <c r="M55" s="560"/>
      <c r="O55" s="560"/>
      <c r="P55" s="560"/>
      <c r="Q55" s="560"/>
      <c r="R55" s="560"/>
      <c r="S55" s="560"/>
      <c r="T55" s="560"/>
      <c r="U55" s="560"/>
      <c r="V55" s="560"/>
      <c r="W55" s="560"/>
      <c r="X55" s="560"/>
      <c r="Y55" s="560"/>
      <c r="Z55" s="560"/>
      <c r="AA55" s="560"/>
      <c r="AB55" s="560"/>
      <c r="AC55" s="560"/>
      <c r="AD55" s="560"/>
      <c r="AE55" s="560"/>
    </row>
    <row r="56" spans="1:31" s="561" customFormat="1">
      <c r="A56" s="2"/>
      <c r="B56" s="2"/>
      <c r="C56" s="583"/>
      <c r="D56" s="583"/>
      <c r="E56" s="2"/>
      <c r="F56" s="3"/>
      <c r="G56" s="560"/>
      <c r="H56" s="560"/>
      <c r="I56" s="560"/>
      <c r="J56" s="981"/>
      <c r="K56" s="560"/>
      <c r="L56" s="560"/>
      <c r="M56" s="560"/>
      <c r="O56" s="560"/>
      <c r="P56" s="560"/>
      <c r="Q56" s="560"/>
      <c r="R56" s="560"/>
      <c r="S56" s="560"/>
      <c r="T56" s="560"/>
      <c r="U56" s="560"/>
      <c r="V56" s="560"/>
      <c r="W56" s="560"/>
      <c r="X56" s="560"/>
      <c r="Y56" s="560"/>
      <c r="Z56" s="560"/>
      <c r="AA56" s="560"/>
      <c r="AB56" s="560"/>
      <c r="AC56" s="560"/>
      <c r="AD56" s="560"/>
      <c r="AE56" s="560"/>
    </row>
    <row r="57" spans="1:31" s="561" customFormat="1">
      <c r="A57" s="2"/>
      <c r="B57" s="2"/>
      <c r="C57" s="583"/>
      <c r="D57" s="583"/>
      <c r="E57" s="2"/>
      <c r="F57" s="3"/>
      <c r="G57" s="560"/>
      <c r="H57" s="560"/>
      <c r="I57" s="560"/>
      <c r="J57" s="981"/>
      <c r="K57" s="560"/>
      <c r="L57" s="560"/>
      <c r="M57" s="560"/>
      <c r="O57" s="560"/>
      <c r="P57" s="560"/>
      <c r="Q57" s="560"/>
      <c r="R57" s="560"/>
      <c r="S57" s="560"/>
      <c r="T57" s="560"/>
      <c r="U57" s="560"/>
      <c r="V57" s="560"/>
      <c r="W57" s="560"/>
      <c r="X57" s="560"/>
      <c r="Y57" s="560"/>
      <c r="Z57" s="560"/>
      <c r="AA57" s="560"/>
      <c r="AB57" s="560"/>
      <c r="AC57" s="560"/>
      <c r="AD57" s="560"/>
      <c r="AE57" s="560"/>
    </row>
    <row r="58" spans="1:31" s="561" customFormat="1">
      <c r="A58" s="2"/>
      <c r="B58" s="2"/>
      <c r="C58" s="583"/>
      <c r="D58" s="583"/>
      <c r="E58" s="2"/>
      <c r="F58" s="3"/>
      <c r="G58" s="560"/>
      <c r="H58" s="560"/>
      <c r="I58" s="560"/>
      <c r="J58" s="981"/>
      <c r="K58" s="1162"/>
      <c r="L58" s="560"/>
      <c r="M58" s="560"/>
      <c r="O58" s="560"/>
      <c r="P58" s="560"/>
      <c r="Q58" s="560"/>
      <c r="R58" s="560"/>
      <c r="S58" s="560"/>
      <c r="T58" s="560"/>
      <c r="U58" s="560"/>
      <c r="V58" s="560"/>
      <c r="W58" s="560"/>
      <c r="X58" s="560"/>
      <c r="Y58" s="560"/>
      <c r="Z58" s="560"/>
      <c r="AA58" s="560"/>
      <c r="AB58" s="560"/>
      <c r="AC58" s="560"/>
      <c r="AD58" s="560"/>
      <c r="AE58" s="560"/>
    </row>
    <row r="59" spans="1:31" s="561" customFormat="1">
      <c r="A59" s="2"/>
      <c r="B59" s="2"/>
      <c r="C59" s="583"/>
      <c r="D59" s="583"/>
      <c r="E59" s="2"/>
      <c r="F59" s="3"/>
      <c r="G59" s="560"/>
      <c r="H59" s="560"/>
      <c r="I59" s="560"/>
      <c r="J59" s="981"/>
      <c r="K59" s="560"/>
      <c r="L59" s="560"/>
      <c r="M59" s="560"/>
      <c r="O59" s="560"/>
      <c r="P59" s="560"/>
      <c r="Q59" s="560"/>
      <c r="R59" s="560"/>
      <c r="S59" s="560"/>
      <c r="T59" s="560"/>
      <c r="U59" s="560"/>
      <c r="V59" s="560"/>
      <c r="W59" s="560"/>
      <c r="X59" s="560"/>
      <c r="Y59" s="560"/>
      <c r="Z59" s="560"/>
      <c r="AA59" s="560"/>
      <c r="AB59" s="560"/>
      <c r="AC59" s="560"/>
      <c r="AD59" s="560"/>
      <c r="AE59" s="560"/>
    </row>
    <row r="60" spans="1:31" s="561" customFormat="1">
      <c r="A60" s="2"/>
      <c r="B60" s="2"/>
      <c r="C60" s="583"/>
      <c r="D60" s="583"/>
      <c r="E60" s="2"/>
      <c r="F60" s="3"/>
      <c r="G60" s="560"/>
      <c r="H60" s="560"/>
      <c r="I60" s="560"/>
      <c r="J60" s="560"/>
      <c r="K60" s="560"/>
      <c r="L60" s="560"/>
      <c r="M60" s="560"/>
      <c r="O60" s="560"/>
      <c r="P60" s="560"/>
      <c r="Q60" s="560"/>
      <c r="R60" s="560"/>
      <c r="S60" s="560"/>
      <c r="T60" s="560"/>
      <c r="U60" s="560"/>
      <c r="V60" s="560"/>
      <c r="W60" s="560"/>
      <c r="X60" s="560"/>
      <c r="Y60" s="560"/>
      <c r="Z60" s="560"/>
      <c r="AA60" s="560"/>
      <c r="AB60" s="560"/>
      <c r="AC60" s="560"/>
      <c r="AD60" s="560"/>
      <c r="AE60" s="560"/>
    </row>
    <row r="61" spans="1:31" s="561" customFormat="1">
      <c r="A61" s="2"/>
      <c r="B61" s="2"/>
      <c r="C61" s="583"/>
      <c r="D61" s="583"/>
      <c r="E61" s="2"/>
      <c r="F61" s="3"/>
      <c r="G61" s="560"/>
      <c r="H61" s="560"/>
      <c r="I61" s="560"/>
      <c r="J61" s="560"/>
      <c r="K61" s="560"/>
      <c r="L61" s="560"/>
      <c r="M61" s="560"/>
      <c r="O61" s="560"/>
      <c r="P61" s="560"/>
      <c r="Q61" s="560"/>
      <c r="R61" s="560"/>
      <c r="S61" s="560"/>
      <c r="T61" s="560"/>
      <c r="U61" s="560"/>
      <c r="V61" s="560"/>
      <c r="W61" s="560"/>
      <c r="X61" s="560"/>
      <c r="Y61" s="560"/>
      <c r="Z61" s="560"/>
      <c r="AA61" s="560"/>
      <c r="AB61" s="560"/>
      <c r="AC61" s="560"/>
      <c r="AD61" s="560"/>
      <c r="AE61" s="560"/>
    </row>
    <row r="62" spans="1:31" s="561" customFormat="1">
      <c r="A62" s="2"/>
      <c r="B62" s="2"/>
      <c r="C62" s="583"/>
      <c r="D62" s="583"/>
      <c r="E62" s="2"/>
      <c r="F62" s="3"/>
      <c r="G62" s="560"/>
      <c r="H62" s="560"/>
      <c r="I62" s="560"/>
      <c r="J62" s="560"/>
      <c r="K62" s="560"/>
      <c r="L62" s="560"/>
      <c r="M62" s="560"/>
      <c r="O62" s="560"/>
      <c r="P62" s="560"/>
      <c r="Q62" s="560"/>
      <c r="R62" s="560"/>
      <c r="S62" s="560"/>
      <c r="T62" s="560"/>
      <c r="U62" s="560"/>
      <c r="V62" s="560"/>
      <c r="W62" s="560"/>
      <c r="X62" s="560"/>
      <c r="Y62" s="560"/>
      <c r="Z62" s="560"/>
      <c r="AA62" s="560"/>
      <c r="AB62" s="560"/>
      <c r="AC62" s="560"/>
      <c r="AD62" s="560"/>
      <c r="AE62" s="560"/>
    </row>
    <row r="63" spans="1:31" s="561" customFormat="1">
      <c r="A63" s="2"/>
      <c r="B63" s="2"/>
      <c r="C63" s="583"/>
      <c r="D63" s="583"/>
      <c r="E63" s="2"/>
      <c r="F63" s="3"/>
      <c r="G63" s="560"/>
      <c r="H63" s="560"/>
      <c r="I63" s="560"/>
      <c r="J63" s="560"/>
      <c r="K63" s="560"/>
      <c r="L63" s="560"/>
      <c r="M63" s="560"/>
      <c r="O63" s="560"/>
      <c r="P63" s="560"/>
      <c r="Q63" s="560"/>
      <c r="R63" s="560"/>
      <c r="S63" s="560"/>
      <c r="T63" s="560"/>
      <c r="U63" s="560"/>
      <c r="V63" s="560"/>
      <c r="W63" s="560"/>
      <c r="X63" s="560"/>
      <c r="Y63" s="560"/>
      <c r="Z63" s="560"/>
      <c r="AA63" s="560"/>
      <c r="AB63" s="560"/>
      <c r="AC63" s="560"/>
      <c r="AD63" s="560"/>
      <c r="AE63" s="560"/>
    </row>
    <row r="64" spans="1:31" s="561" customFormat="1">
      <c r="A64" s="2"/>
      <c r="B64" s="2"/>
      <c r="C64" s="583"/>
      <c r="D64" s="583"/>
      <c r="E64" s="2"/>
      <c r="F64" s="3"/>
      <c r="G64" s="560"/>
      <c r="H64" s="560"/>
      <c r="I64" s="560"/>
      <c r="J64" s="560"/>
      <c r="K64" s="560"/>
      <c r="L64" s="560"/>
      <c r="M64" s="560"/>
      <c r="O64" s="560"/>
      <c r="P64" s="560"/>
      <c r="Q64" s="560"/>
      <c r="R64" s="560"/>
      <c r="S64" s="560"/>
      <c r="T64" s="560"/>
      <c r="U64" s="560"/>
      <c r="V64" s="560"/>
      <c r="W64" s="560"/>
      <c r="X64" s="560"/>
      <c r="Y64" s="560"/>
      <c r="Z64" s="560"/>
      <c r="AA64" s="560"/>
      <c r="AB64" s="560"/>
      <c r="AC64" s="560"/>
      <c r="AD64" s="560"/>
      <c r="AE64" s="560"/>
    </row>
    <row r="65" spans="1:31" s="561" customFormat="1">
      <c r="A65" s="2"/>
      <c r="B65" s="2"/>
      <c r="C65" s="583"/>
      <c r="D65" s="583"/>
      <c r="E65" s="2"/>
      <c r="F65" s="3"/>
      <c r="G65" s="560"/>
      <c r="H65" s="560"/>
      <c r="I65" s="560"/>
      <c r="J65" s="560"/>
      <c r="K65" s="560"/>
      <c r="L65" s="560"/>
      <c r="M65" s="560"/>
      <c r="O65" s="560"/>
      <c r="P65" s="560"/>
      <c r="Q65" s="560"/>
      <c r="R65" s="560"/>
      <c r="S65" s="560"/>
      <c r="T65" s="560"/>
      <c r="U65" s="560"/>
      <c r="V65" s="560"/>
      <c r="W65" s="560"/>
      <c r="X65" s="560"/>
      <c r="Y65" s="560"/>
      <c r="Z65" s="560"/>
      <c r="AA65" s="560"/>
      <c r="AB65" s="560"/>
      <c r="AC65" s="560"/>
      <c r="AD65" s="560"/>
      <c r="AE65" s="560"/>
    </row>
    <row r="66" spans="1:31" s="561" customFormat="1">
      <c r="A66" s="2"/>
      <c r="B66" s="2"/>
      <c r="C66" s="583"/>
      <c r="D66" s="583"/>
      <c r="E66" s="2"/>
      <c r="F66" s="3"/>
      <c r="G66" s="560"/>
      <c r="H66" s="560"/>
      <c r="I66" s="560"/>
      <c r="J66" s="560"/>
      <c r="K66" s="560"/>
      <c r="L66" s="560"/>
      <c r="M66" s="560"/>
      <c r="O66" s="560"/>
      <c r="P66" s="560"/>
      <c r="Q66" s="560"/>
      <c r="R66" s="560"/>
      <c r="S66" s="560"/>
      <c r="T66" s="560"/>
      <c r="U66" s="560"/>
      <c r="V66" s="560"/>
      <c r="W66" s="560"/>
      <c r="X66" s="560"/>
      <c r="Y66" s="560"/>
      <c r="Z66" s="560"/>
      <c r="AA66" s="560"/>
      <c r="AB66" s="560"/>
      <c r="AC66" s="560"/>
      <c r="AD66" s="560"/>
      <c r="AE66" s="560"/>
    </row>
    <row r="67" spans="1:31" s="561" customFormat="1">
      <c r="A67" s="2"/>
      <c r="B67" s="2"/>
      <c r="C67" s="583"/>
      <c r="D67" s="583"/>
      <c r="E67" s="2"/>
      <c r="F67" s="3"/>
      <c r="G67" s="560"/>
      <c r="H67" s="560"/>
      <c r="I67" s="560"/>
      <c r="J67" s="560"/>
      <c r="K67" s="560"/>
      <c r="L67" s="560"/>
      <c r="M67" s="560"/>
      <c r="O67" s="560"/>
      <c r="P67" s="560"/>
      <c r="Q67" s="560"/>
      <c r="R67" s="560"/>
      <c r="S67" s="560"/>
      <c r="T67" s="560"/>
      <c r="U67" s="560"/>
      <c r="V67" s="560"/>
      <c r="W67" s="560"/>
      <c r="X67" s="560"/>
      <c r="Y67" s="560"/>
      <c r="Z67" s="560"/>
      <c r="AA67" s="560"/>
      <c r="AB67" s="560"/>
      <c r="AC67" s="560"/>
      <c r="AD67" s="560"/>
      <c r="AE67" s="560"/>
    </row>
    <row r="68" spans="1:31" s="561" customFormat="1">
      <c r="A68" s="2"/>
      <c r="B68" s="2"/>
      <c r="C68" s="583"/>
      <c r="D68" s="583"/>
      <c r="E68" s="2"/>
      <c r="F68" s="3"/>
      <c r="G68" s="560"/>
      <c r="H68" s="560"/>
      <c r="I68" s="560"/>
      <c r="J68" s="560"/>
      <c r="K68" s="560"/>
      <c r="L68" s="560"/>
      <c r="M68" s="560"/>
      <c r="O68" s="560"/>
      <c r="P68" s="560"/>
      <c r="Q68" s="560"/>
      <c r="R68" s="560"/>
      <c r="S68" s="560"/>
      <c r="T68" s="560"/>
      <c r="U68" s="560"/>
      <c r="V68" s="560"/>
      <c r="W68" s="560"/>
      <c r="X68" s="560"/>
      <c r="Y68" s="560"/>
      <c r="Z68" s="560"/>
      <c r="AA68" s="560"/>
      <c r="AB68" s="560"/>
      <c r="AC68" s="560"/>
      <c r="AD68" s="560"/>
      <c r="AE68" s="560"/>
    </row>
    <row r="69" spans="1:31" s="561" customFormat="1">
      <c r="A69" s="2"/>
      <c r="B69" s="2"/>
      <c r="C69" s="583"/>
      <c r="D69" s="583"/>
      <c r="E69" s="2"/>
      <c r="F69" s="3"/>
      <c r="G69" s="560"/>
      <c r="H69" s="560"/>
      <c r="I69" s="560"/>
      <c r="J69" s="560"/>
      <c r="K69" s="560"/>
      <c r="L69" s="560"/>
      <c r="M69" s="560"/>
      <c r="O69" s="560"/>
      <c r="P69" s="560"/>
      <c r="Q69" s="560"/>
      <c r="R69" s="560"/>
      <c r="S69" s="560"/>
      <c r="T69" s="560"/>
      <c r="U69" s="560"/>
      <c r="V69" s="560"/>
      <c r="W69" s="560"/>
      <c r="X69" s="560"/>
      <c r="Y69" s="560"/>
      <c r="Z69" s="560"/>
      <c r="AA69" s="560"/>
      <c r="AB69" s="560"/>
      <c r="AC69" s="560"/>
      <c r="AD69" s="560"/>
      <c r="AE69" s="560"/>
    </row>
    <row r="70" spans="1:31" s="561" customFormat="1">
      <c r="A70" s="2"/>
      <c r="B70" s="2"/>
      <c r="C70" s="583"/>
      <c r="D70" s="583"/>
      <c r="E70" s="2"/>
      <c r="F70" s="3"/>
      <c r="G70" s="560"/>
      <c r="H70" s="560"/>
      <c r="I70" s="560"/>
      <c r="J70" s="560"/>
      <c r="K70" s="560"/>
      <c r="L70" s="560"/>
      <c r="M70" s="560"/>
      <c r="O70" s="560"/>
      <c r="P70" s="560"/>
      <c r="Q70" s="560"/>
      <c r="R70" s="560"/>
      <c r="S70" s="560"/>
      <c r="T70" s="560"/>
      <c r="U70" s="560"/>
      <c r="V70" s="560"/>
      <c r="W70" s="560"/>
      <c r="X70" s="560"/>
      <c r="Y70" s="560"/>
      <c r="Z70" s="560"/>
      <c r="AA70" s="560"/>
      <c r="AB70" s="560"/>
      <c r="AC70" s="560"/>
      <c r="AD70" s="560"/>
      <c r="AE70" s="560"/>
    </row>
    <row r="71" spans="1:31" s="561" customFormat="1">
      <c r="A71" s="2"/>
      <c r="B71" s="2"/>
      <c r="C71" s="583"/>
      <c r="D71" s="583"/>
      <c r="E71" s="2"/>
      <c r="F71" s="3"/>
      <c r="G71" s="560"/>
      <c r="H71" s="560"/>
      <c r="I71" s="560"/>
      <c r="J71" s="560"/>
      <c r="K71" s="560"/>
      <c r="L71" s="560"/>
      <c r="M71" s="560"/>
      <c r="O71" s="560"/>
      <c r="P71" s="560"/>
      <c r="Q71" s="560"/>
      <c r="R71" s="560"/>
      <c r="S71" s="560"/>
      <c r="T71" s="560"/>
      <c r="U71" s="560"/>
      <c r="V71" s="560"/>
      <c r="W71" s="560"/>
      <c r="X71" s="560"/>
      <c r="Y71" s="560"/>
      <c r="Z71" s="560"/>
      <c r="AA71" s="560"/>
      <c r="AB71" s="560"/>
      <c r="AC71" s="560"/>
      <c r="AD71" s="560"/>
      <c r="AE71" s="560"/>
    </row>
    <row r="72" spans="1:31" s="561" customFormat="1">
      <c r="A72" s="2"/>
      <c r="B72" s="2"/>
      <c r="C72" s="583"/>
      <c r="D72" s="583"/>
      <c r="E72" s="2"/>
      <c r="F72" s="3"/>
      <c r="G72" s="560"/>
      <c r="H72" s="560"/>
      <c r="I72" s="560"/>
      <c r="J72" s="560"/>
      <c r="K72" s="560"/>
      <c r="L72" s="560"/>
      <c r="M72" s="560"/>
      <c r="O72" s="560"/>
      <c r="P72" s="560"/>
      <c r="Q72" s="560"/>
      <c r="R72" s="560"/>
      <c r="S72" s="560"/>
      <c r="T72" s="560"/>
      <c r="U72" s="560"/>
      <c r="V72" s="560"/>
      <c r="W72" s="560"/>
      <c r="X72" s="560"/>
      <c r="Y72" s="560"/>
      <c r="Z72" s="560"/>
      <c r="AA72" s="560"/>
      <c r="AB72" s="560"/>
      <c r="AC72" s="560"/>
      <c r="AD72" s="560"/>
      <c r="AE72" s="560"/>
    </row>
    <row r="73" spans="1:31" s="561" customFormat="1">
      <c r="A73" s="2"/>
      <c r="B73" s="2"/>
      <c r="C73" s="583"/>
      <c r="D73" s="583"/>
      <c r="E73" s="2"/>
      <c r="F73" s="3"/>
      <c r="G73" s="560"/>
      <c r="H73" s="560"/>
      <c r="I73" s="560"/>
      <c r="J73" s="560"/>
      <c r="K73" s="560"/>
      <c r="L73" s="560"/>
      <c r="M73" s="560"/>
      <c r="O73" s="560"/>
      <c r="P73" s="560"/>
      <c r="Q73" s="560"/>
      <c r="R73" s="560"/>
      <c r="S73" s="560"/>
      <c r="T73" s="560"/>
      <c r="U73" s="560"/>
      <c r="V73" s="560"/>
      <c r="W73" s="560"/>
      <c r="X73" s="560"/>
      <c r="Y73" s="560"/>
      <c r="Z73" s="560"/>
      <c r="AA73" s="560"/>
      <c r="AB73" s="560"/>
      <c r="AC73" s="560"/>
      <c r="AD73" s="560"/>
      <c r="AE73" s="560"/>
    </row>
    <row r="74" spans="1:31" s="561" customFormat="1">
      <c r="A74" s="2"/>
      <c r="B74" s="2"/>
      <c r="C74" s="583"/>
      <c r="D74" s="583"/>
      <c r="E74" s="2"/>
      <c r="F74" s="3"/>
      <c r="G74" s="560"/>
      <c r="H74" s="560"/>
      <c r="I74" s="560"/>
      <c r="J74" s="560"/>
      <c r="K74" s="560"/>
      <c r="L74" s="560"/>
      <c r="M74" s="560"/>
      <c r="O74" s="560"/>
      <c r="P74" s="560"/>
      <c r="Q74" s="560"/>
      <c r="R74" s="560"/>
      <c r="S74" s="560"/>
      <c r="T74" s="560"/>
      <c r="U74" s="560"/>
      <c r="V74" s="560"/>
      <c r="W74" s="560"/>
      <c r="X74" s="560"/>
      <c r="Y74" s="560"/>
      <c r="Z74" s="560"/>
      <c r="AA74" s="560"/>
      <c r="AB74" s="560"/>
      <c r="AC74" s="560"/>
      <c r="AD74" s="560"/>
      <c r="AE74" s="560"/>
    </row>
    <row r="75" spans="1:31" s="561" customFormat="1">
      <c r="A75" s="2"/>
      <c r="B75" s="2"/>
      <c r="C75" s="583"/>
      <c r="D75" s="583"/>
      <c r="E75" s="2"/>
      <c r="F75" s="3"/>
      <c r="G75" s="560"/>
      <c r="H75" s="560"/>
      <c r="I75" s="560"/>
      <c r="J75" s="560"/>
      <c r="K75" s="560"/>
      <c r="L75" s="560"/>
      <c r="M75" s="560"/>
      <c r="O75" s="560"/>
      <c r="P75" s="560"/>
      <c r="Q75" s="560"/>
      <c r="R75" s="560"/>
      <c r="S75" s="560"/>
      <c r="T75" s="560"/>
      <c r="U75" s="560"/>
      <c r="V75" s="560"/>
      <c r="W75" s="560"/>
      <c r="X75" s="560"/>
      <c r="Y75" s="560"/>
      <c r="Z75" s="560"/>
      <c r="AA75" s="560"/>
      <c r="AB75" s="560"/>
      <c r="AC75" s="560"/>
      <c r="AD75" s="560"/>
      <c r="AE75" s="560"/>
    </row>
    <row r="76" spans="1:31" s="561" customFormat="1">
      <c r="A76" s="2"/>
      <c r="B76" s="2"/>
      <c r="C76" s="583"/>
      <c r="D76" s="583"/>
      <c r="E76" s="2"/>
      <c r="F76" s="3"/>
      <c r="G76" s="560"/>
      <c r="H76" s="560"/>
      <c r="I76" s="560"/>
      <c r="J76" s="560"/>
      <c r="K76" s="560"/>
      <c r="L76" s="560"/>
      <c r="M76" s="560"/>
      <c r="O76" s="560"/>
      <c r="P76" s="560"/>
      <c r="Q76" s="560"/>
      <c r="R76" s="560"/>
      <c r="S76" s="560"/>
      <c r="T76" s="560"/>
      <c r="U76" s="560"/>
      <c r="V76" s="560"/>
      <c r="W76" s="560"/>
      <c r="X76" s="560"/>
      <c r="Y76" s="560"/>
      <c r="Z76" s="560"/>
      <c r="AA76" s="560"/>
      <c r="AB76" s="560"/>
      <c r="AC76" s="560"/>
      <c r="AD76" s="560"/>
      <c r="AE76" s="560"/>
    </row>
    <row r="77" spans="1:31" s="561" customFormat="1">
      <c r="A77" s="2"/>
      <c r="B77" s="2"/>
      <c r="C77" s="583"/>
      <c r="D77" s="583"/>
      <c r="E77" s="2"/>
      <c r="F77" s="3"/>
      <c r="G77" s="560"/>
      <c r="H77" s="560"/>
      <c r="I77" s="560"/>
      <c r="J77" s="560"/>
      <c r="K77" s="560"/>
      <c r="L77" s="560"/>
      <c r="M77" s="560"/>
      <c r="O77" s="560"/>
      <c r="P77" s="560"/>
      <c r="Q77" s="560"/>
      <c r="R77" s="560"/>
      <c r="S77" s="560"/>
      <c r="T77" s="560"/>
      <c r="U77" s="560"/>
      <c r="V77" s="560"/>
      <c r="W77" s="560"/>
      <c r="X77" s="560"/>
      <c r="Y77" s="560"/>
      <c r="Z77" s="560"/>
      <c r="AA77" s="560"/>
      <c r="AB77" s="560"/>
      <c r="AC77" s="560"/>
      <c r="AD77" s="560"/>
      <c r="AE77" s="560"/>
    </row>
    <row r="78" spans="1:31" s="561" customFormat="1">
      <c r="A78" s="2"/>
      <c r="B78" s="2"/>
      <c r="C78" s="583"/>
      <c r="D78" s="583"/>
      <c r="E78" s="2"/>
      <c r="F78" s="3"/>
      <c r="G78" s="560"/>
      <c r="H78" s="560"/>
      <c r="I78" s="560"/>
      <c r="J78" s="560"/>
      <c r="K78" s="560"/>
      <c r="L78" s="560"/>
      <c r="M78" s="560"/>
      <c r="O78" s="560"/>
      <c r="P78" s="560"/>
      <c r="Q78" s="560"/>
      <c r="R78" s="560"/>
      <c r="S78" s="560"/>
      <c r="T78" s="560"/>
      <c r="U78" s="560"/>
      <c r="V78" s="560"/>
      <c r="W78" s="560"/>
      <c r="X78" s="560"/>
      <c r="Y78" s="560"/>
      <c r="Z78" s="560"/>
      <c r="AA78" s="560"/>
      <c r="AB78" s="560"/>
      <c r="AC78" s="560"/>
      <c r="AD78" s="560"/>
      <c r="AE78" s="560"/>
    </row>
    <row r="79" spans="1:31" s="561" customFormat="1">
      <c r="A79" s="2"/>
      <c r="B79" s="2"/>
      <c r="C79" s="583"/>
      <c r="D79" s="583"/>
      <c r="E79" s="2"/>
      <c r="F79" s="3"/>
      <c r="G79" s="560"/>
      <c r="H79" s="560"/>
      <c r="I79" s="560"/>
      <c r="J79" s="560"/>
      <c r="K79" s="560"/>
      <c r="L79" s="560"/>
      <c r="M79" s="560"/>
      <c r="O79" s="560"/>
      <c r="P79" s="560"/>
      <c r="Q79" s="560"/>
      <c r="R79" s="560"/>
      <c r="S79" s="560"/>
      <c r="T79" s="560"/>
      <c r="U79" s="560"/>
      <c r="V79" s="560"/>
      <c r="W79" s="560"/>
      <c r="X79" s="560"/>
      <c r="Y79" s="560"/>
      <c r="Z79" s="560"/>
      <c r="AA79" s="560"/>
      <c r="AB79" s="560"/>
      <c r="AC79" s="560"/>
      <c r="AD79" s="560"/>
      <c r="AE79" s="560"/>
    </row>
    <row r="80" spans="1:31" s="561" customFormat="1">
      <c r="A80" s="2"/>
      <c r="B80" s="2"/>
      <c r="C80" s="583"/>
      <c r="D80" s="583"/>
      <c r="E80" s="2"/>
      <c r="F80" s="3"/>
      <c r="G80" s="560"/>
      <c r="H80" s="560"/>
      <c r="I80" s="560"/>
      <c r="J80" s="560"/>
      <c r="K80" s="560"/>
      <c r="L80" s="560"/>
      <c r="M80" s="560"/>
      <c r="O80" s="560"/>
      <c r="P80" s="560"/>
      <c r="Q80" s="560"/>
      <c r="R80" s="560"/>
      <c r="S80" s="560"/>
      <c r="T80" s="560"/>
      <c r="U80" s="560"/>
      <c r="V80" s="560"/>
      <c r="W80" s="560"/>
      <c r="X80" s="560"/>
      <c r="Y80" s="560"/>
      <c r="Z80" s="560"/>
      <c r="AA80" s="560"/>
      <c r="AB80" s="560"/>
      <c r="AC80" s="560"/>
      <c r="AD80" s="560"/>
      <c r="AE80" s="560"/>
    </row>
    <row r="81" spans="1:31" s="561" customFormat="1">
      <c r="A81" s="2"/>
      <c r="B81" s="2"/>
      <c r="C81" s="583"/>
      <c r="D81" s="583"/>
      <c r="E81" s="2"/>
      <c r="F81" s="3"/>
      <c r="G81" s="560"/>
      <c r="H81" s="560"/>
      <c r="I81" s="560"/>
      <c r="J81" s="560"/>
      <c r="K81" s="560"/>
      <c r="L81" s="560"/>
      <c r="M81" s="560"/>
      <c r="O81" s="560"/>
      <c r="P81" s="560"/>
      <c r="Q81" s="560"/>
      <c r="R81" s="560"/>
      <c r="S81" s="560"/>
      <c r="T81" s="560"/>
      <c r="U81" s="560"/>
      <c r="V81" s="560"/>
      <c r="W81" s="560"/>
      <c r="X81" s="560"/>
      <c r="Y81" s="560"/>
      <c r="Z81" s="560"/>
      <c r="AA81" s="560"/>
      <c r="AB81" s="560"/>
      <c r="AC81" s="560"/>
      <c r="AD81" s="560"/>
      <c r="AE81" s="560"/>
    </row>
    <row r="82" spans="1:31" s="561" customFormat="1">
      <c r="A82" s="2"/>
      <c r="B82" s="2"/>
      <c r="C82" s="583"/>
      <c r="D82" s="583"/>
      <c r="E82" s="2"/>
      <c r="F82" s="3"/>
      <c r="G82" s="560"/>
      <c r="H82" s="560"/>
      <c r="I82" s="560"/>
      <c r="J82" s="560"/>
      <c r="K82" s="560"/>
      <c r="L82" s="560"/>
      <c r="M82" s="560"/>
      <c r="O82" s="560"/>
      <c r="P82" s="560"/>
      <c r="Q82" s="560"/>
      <c r="R82" s="560"/>
      <c r="S82" s="560"/>
      <c r="T82" s="560"/>
      <c r="U82" s="560"/>
      <c r="V82" s="560"/>
      <c r="W82" s="560"/>
      <c r="X82" s="560"/>
      <c r="Y82" s="560"/>
      <c r="Z82" s="560"/>
      <c r="AA82" s="560"/>
      <c r="AB82" s="560"/>
      <c r="AC82" s="560"/>
      <c r="AD82" s="560"/>
      <c r="AE82" s="560"/>
    </row>
    <row r="83" spans="1:31" s="561" customFormat="1">
      <c r="A83" s="2"/>
      <c r="B83" s="2"/>
      <c r="C83" s="583"/>
      <c r="D83" s="583"/>
      <c r="E83" s="2"/>
      <c r="F83" s="3"/>
      <c r="G83" s="560"/>
      <c r="H83" s="560"/>
      <c r="I83" s="560"/>
      <c r="J83" s="560"/>
      <c r="K83" s="560"/>
      <c r="L83" s="560"/>
      <c r="M83" s="560"/>
      <c r="O83" s="560"/>
      <c r="P83" s="560"/>
      <c r="Q83" s="560"/>
      <c r="R83" s="560"/>
      <c r="S83" s="560"/>
      <c r="T83" s="560"/>
      <c r="U83" s="560"/>
      <c r="V83" s="560"/>
      <c r="W83" s="560"/>
      <c r="X83" s="560"/>
      <c r="Y83" s="560"/>
      <c r="Z83" s="560"/>
      <c r="AA83" s="560"/>
      <c r="AB83" s="560"/>
      <c r="AC83" s="560"/>
      <c r="AD83" s="560"/>
      <c r="AE83" s="560"/>
    </row>
    <row r="84" spans="1:31" s="561" customFormat="1">
      <c r="A84" s="2"/>
      <c r="B84" s="2"/>
      <c r="C84" s="583"/>
      <c r="D84" s="583"/>
      <c r="E84" s="2"/>
      <c r="F84" s="3"/>
      <c r="G84" s="560"/>
      <c r="H84" s="560"/>
      <c r="I84" s="560"/>
      <c r="J84" s="560"/>
      <c r="K84" s="560"/>
      <c r="L84" s="560"/>
      <c r="M84" s="560"/>
      <c r="O84" s="560"/>
      <c r="P84" s="560"/>
      <c r="Q84" s="560"/>
      <c r="R84" s="560"/>
      <c r="S84" s="560"/>
      <c r="T84" s="560"/>
      <c r="U84" s="560"/>
      <c r="V84" s="560"/>
      <c r="W84" s="560"/>
      <c r="X84" s="560"/>
      <c r="Y84" s="560"/>
      <c r="Z84" s="560"/>
      <c r="AA84" s="560"/>
      <c r="AB84" s="560"/>
      <c r="AC84" s="560"/>
      <c r="AD84" s="560"/>
      <c r="AE84" s="560"/>
    </row>
    <row r="85" spans="1:31" s="561" customFormat="1">
      <c r="A85" s="2"/>
      <c r="B85" s="2"/>
      <c r="C85" s="583"/>
      <c r="D85" s="583"/>
      <c r="E85" s="2"/>
      <c r="F85" s="3"/>
      <c r="G85" s="560"/>
      <c r="H85" s="560"/>
      <c r="I85" s="560"/>
      <c r="J85" s="560"/>
      <c r="K85" s="560"/>
      <c r="L85" s="560"/>
      <c r="M85" s="560"/>
      <c r="O85" s="560"/>
      <c r="P85" s="560"/>
      <c r="Q85" s="560"/>
      <c r="R85" s="560"/>
      <c r="S85" s="560"/>
      <c r="T85" s="560"/>
      <c r="U85" s="560"/>
      <c r="V85" s="560"/>
      <c r="W85" s="560"/>
      <c r="X85" s="560"/>
      <c r="Y85" s="560"/>
      <c r="Z85" s="560"/>
      <c r="AA85" s="560"/>
      <c r="AB85" s="560"/>
      <c r="AC85" s="560"/>
      <c r="AD85" s="560"/>
      <c r="AE85" s="560"/>
    </row>
    <row r="86" spans="1:31" s="561" customFormat="1">
      <c r="A86" s="2"/>
      <c r="B86" s="2"/>
      <c r="C86" s="583"/>
      <c r="D86" s="583"/>
      <c r="E86" s="2"/>
      <c r="F86" s="3"/>
      <c r="G86" s="560"/>
      <c r="H86" s="560"/>
      <c r="I86" s="560"/>
      <c r="J86" s="560"/>
      <c r="K86" s="560"/>
      <c r="L86" s="560"/>
      <c r="M86" s="560"/>
      <c r="O86" s="560"/>
      <c r="P86" s="560"/>
      <c r="Q86" s="560"/>
      <c r="R86" s="560"/>
      <c r="S86" s="560"/>
      <c r="T86" s="560"/>
      <c r="U86" s="560"/>
      <c r="V86" s="560"/>
      <c r="W86" s="560"/>
      <c r="X86" s="560"/>
      <c r="Y86" s="560"/>
      <c r="Z86" s="560"/>
      <c r="AA86" s="560"/>
      <c r="AB86" s="560"/>
      <c r="AC86" s="560"/>
      <c r="AD86" s="560"/>
      <c r="AE86" s="560"/>
    </row>
    <row r="87" spans="1:31" s="561" customFormat="1">
      <c r="A87" s="2"/>
      <c r="B87" s="2"/>
      <c r="C87" s="583"/>
      <c r="D87" s="583"/>
      <c r="E87" s="2"/>
      <c r="F87" s="3"/>
      <c r="G87" s="560"/>
      <c r="H87" s="560"/>
      <c r="I87" s="560"/>
      <c r="J87" s="560"/>
      <c r="K87" s="560"/>
      <c r="L87" s="560"/>
      <c r="M87" s="560"/>
      <c r="O87" s="560"/>
      <c r="P87" s="560"/>
      <c r="Q87" s="560"/>
      <c r="R87" s="560"/>
      <c r="S87" s="560"/>
      <c r="T87" s="560"/>
      <c r="U87" s="560"/>
      <c r="V87" s="560"/>
      <c r="W87" s="560"/>
      <c r="X87" s="560"/>
      <c r="Y87" s="560"/>
      <c r="Z87" s="560"/>
      <c r="AA87" s="560"/>
      <c r="AB87" s="560"/>
      <c r="AC87" s="560"/>
      <c r="AD87" s="560"/>
      <c r="AE87" s="560"/>
    </row>
    <row r="88" spans="1:31" s="561" customFormat="1">
      <c r="A88" s="2"/>
      <c r="B88" s="2"/>
      <c r="C88" s="583"/>
      <c r="D88" s="583"/>
      <c r="E88" s="2"/>
      <c r="F88" s="3"/>
      <c r="G88" s="560"/>
      <c r="H88" s="560"/>
      <c r="I88" s="560"/>
      <c r="J88" s="560"/>
      <c r="K88" s="560"/>
      <c r="L88" s="560"/>
      <c r="M88" s="560"/>
      <c r="O88" s="560"/>
      <c r="P88" s="560"/>
      <c r="Q88" s="560"/>
      <c r="R88" s="560"/>
      <c r="S88" s="560"/>
      <c r="T88" s="560"/>
      <c r="U88" s="560"/>
      <c r="V88" s="560"/>
      <c r="W88" s="560"/>
      <c r="X88" s="560"/>
      <c r="Y88" s="560"/>
      <c r="Z88" s="560"/>
      <c r="AA88" s="560"/>
      <c r="AB88" s="560"/>
      <c r="AC88" s="560"/>
      <c r="AD88" s="560"/>
      <c r="AE88" s="560"/>
    </row>
    <row r="89" spans="1:31" s="561" customFormat="1">
      <c r="A89" s="2"/>
      <c r="B89" s="2"/>
      <c r="C89" s="583"/>
      <c r="D89" s="583"/>
      <c r="E89" s="2"/>
      <c r="F89" s="3"/>
      <c r="G89" s="560"/>
      <c r="H89" s="560"/>
      <c r="I89" s="560"/>
      <c r="J89" s="560"/>
      <c r="K89" s="560"/>
      <c r="L89" s="560"/>
      <c r="M89" s="560"/>
      <c r="O89" s="560"/>
      <c r="P89" s="560"/>
      <c r="Q89" s="560"/>
      <c r="R89" s="560"/>
      <c r="S89" s="560"/>
      <c r="T89" s="560"/>
      <c r="U89" s="560"/>
      <c r="V89" s="560"/>
      <c r="W89" s="560"/>
      <c r="X89" s="560"/>
      <c r="Y89" s="560"/>
      <c r="Z89" s="560"/>
      <c r="AA89" s="560"/>
      <c r="AB89" s="560"/>
      <c r="AC89" s="560"/>
      <c r="AD89" s="560"/>
      <c r="AE89" s="560"/>
    </row>
    <row r="90" spans="1:31" s="561" customFormat="1">
      <c r="A90" s="2"/>
      <c r="B90" s="2"/>
      <c r="C90" s="583"/>
      <c r="D90" s="583"/>
      <c r="E90" s="2"/>
      <c r="F90" s="3"/>
      <c r="G90" s="560"/>
      <c r="H90" s="560"/>
      <c r="I90" s="560"/>
      <c r="J90" s="560"/>
      <c r="K90" s="560"/>
      <c r="L90" s="560"/>
      <c r="M90" s="560"/>
      <c r="O90" s="560"/>
      <c r="P90" s="560"/>
      <c r="Q90" s="560"/>
      <c r="R90" s="560"/>
      <c r="S90" s="560"/>
      <c r="T90" s="560"/>
      <c r="U90" s="560"/>
      <c r="V90" s="560"/>
      <c r="W90" s="560"/>
      <c r="X90" s="560"/>
      <c r="Y90" s="560"/>
      <c r="Z90" s="560"/>
      <c r="AA90" s="560"/>
      <c r="AB90" s="560"/>
      <c r="AC90" s="560"/>
      <c r="AD90" s="560"/>
      <c r="AE90" s="560"/>
    </row>
    <row r="91" spans="1:31" s="561" customFormat="1">
      <c r="A91" s="2"/>
      <c r="B91" s="2"/>
      <c r="C91" s="583"/>
      <c r="D91" s="583"/>
      <c r="E91" s="2"/>
      <c r="F91" s="3"/>
      <c r="G91" s="560"/>
      <c r="H91" s="560"/>
      <c r="I91" s="560"/>
      <c r="J91" s="560"/>
      <c r="K91" s="560"/>
      <c r="L91" s="560"/>
      <c r="M91" s="560"/>
      <c r="O91" s="560"/>
      <c r="P91" s="560"/>
      <c r="Q91" s="560"/>
      <c r="R91" s="560"/>
      <c r="S91" s="560"/>
      <c r="T91" s="560"/>
      <c r="U91" s="560"/>
      <c r="V91" s="560"/>
      <c r="W91" s="560"/>
      <c r="X91" s="560"/>
      <c r="Y91" s="560"/>
      <c r="Z91" s="560"/>
      <c r="AA91" s="560"/>
      <c r="AB91" s="560"/>
      <c r="AC91" s="560"/>
      <c r="AD91" s="560"/>
      <c r="AE91" s="560"/>
    </row>
    <row r="92" spans="1:31" s="561" customFormat="1">
      <c r="A92" s="2"/>
      <c r="B92" s="2"/>
      <c r="C92" s="583"/>
      <c r="D92" s="583"/>
      <c r="E92" s="2"/>
      <c r="F92" s="3"/>
      <c r="G92" s="560"/>
      <c r="H92" s="560"/>
      <c r="I92" s="560"/>
      <c r="J92" s="560"/>
      <c r="K92" s="560"/>
      <c r="L92" s="560"/>
      <c r="M92" s="560"/>
      <c r="O92" s="560"/>
      <c r="P92" s="560"/>
      <c r="Q92" s="560"/>
      <c r="R92" s="560"/>
      <c r="S92" s="560"/>
      <c r="T92" s="560"/>
      <c r="U92" s="560"/>
      <c r="V92" s="560"/>
      <c r="W92" s="560"/>
      <c r="X92" s="560"/>
      <c r="Y92" s="560"/>
      <c r="Z92" s="560"/>
      <c r="AA92" s="560"/>
      <c r="AB92" s="560"/>
      <c r="AC92" s="560"/>
      <c r="AD92" s="560"/>
      <c r="AE92" s="560"/>
    </row>
    <row r="93" spans="1:31" s="561" customFormat="1">
      <c r="A93" s="2"/>
      <c r="B93" s="2"/>
      <c r="C93" s="583"/>
      <c r="D93" s="583"/>
      <c r="E93" s="2"/>
      <c r="F93" s="3"/>
      <c r="G93" s="560"/>
      <c r="H93" s="560"/>
      <c r="I93" s="560"/>
      <c r="J93" s="560"/>
      <c r="K93" s="560"/>
      <c r="L93" s="560"/>
      <c r="M93" s="560"/>
      <c r="O93" s="560"/>
      <c r="P93" s="560"/>
      <c r="Q93" s="560"/>
      <c r="R93" s="560"/>
      <c r="S93" s="560"/>
      <c r="T93" s="560"/>
      <c r="U93" s="560"/>
      <c r="V93" s="560"/>
      <c r="W93" s="560"/>
      <c r="X93" s="560"/>
      <c r="Y93" s="560"/>
      <c r="Z93" s="560"/>
      <c r="AA93" s="560"/>
      <c r="AB93" s="560"/>
      <c r="AC93" s="560"/>
      <c r="AD93" s="560"/>
      <c r="AE93" s="560"/>
    </row>
    <row r="94" spans="1:31" s="561" customFormat="1">
      <c r="A94" s="2"/>
      <c r="B94" s="2"/>
      <c r="C94" s="583"/>
      <c r="D94" s="583"/>
      <c r="E94" s="2"/>
      <c r="F94" s="3"/>
      <c r="G94" s="560"/>
      <c r="H94" s="560"/>
      <c r="I94" s="560"/>
      <c r="J94" s="560"/>
      <c r="K94" s="560"/>
      <c r="L94" s="560"/>
      <c r="M94" s="560"/>
      <c r="O94" s="560"/>
      <c r="P94" s="560"/>
      <c r="Q94" s="560"/>
      <c r="R94" s="560"/>
      <c r="S94" s="560"/>
      <c r="T94" s="560"/>
      <c r="U94" s="560"/>
      <c r="V94" s="560"/>
      <c r="W94" s="560"/>
      <c r="X94" s="560"/>
      <c r="Y94" s="560"/>
      <c r="Z94" s="560"/>
      <c r="AA94" s="560"/>
      <c r="AB94" s="560"/>
      <c r="AC94" s="560"/>
      <c r="AD94" s="560"/>
      <c r="AE94" s="560"/>
    </row>
    <row r="95" spans="1:31" s="561" customFormat="1">
      <c r="A95" s="2"/>
      <c r="B95" s="2"/>
      <c r="C95" s="583"/>
      <c r="D95" s="583"/>
      <c r="E95" s="2"/>
      <c r="F95" s="3"/>
      <c r="G95" s="560"/>
      <c r="H95" s="560"/>
      <c r="I95" s="560"/>
      <c r="J95" s="560"/>
      <c r="K95" s="560"/>
      <c r="L95" s="560"/>
      <c r="M95" s="560"/>
      <c r="O95" s="560"/>
      <c r="P95" s="560"/>
      <c r="Q95" s="560"/>
      <c r="R95" s="560"/>
      <c r="S95" s="560"/>
      <c r="T95" s="560"/>
      <c r="U95" s="560"/>
      <c r="V95" s="560"/>
      <c r="W95" s="560"/>
      <c r="X95" s="560"/>
      <c r="Y95" s="560"/>
      <c r="Z95" s="560"/>
      <c r="AA95" s="560"/>
      <c r="AB95" s="560"/>
      <c r="AC95" s="560"/>
      <c r="AD95" s="560"/>
      <c r="AE95" s="560"/>
    </row>
    <row r="96" spans="1:31" s="561" customFormat="1">
      <c r="A96" s="2"/>
      <c r="B96" s="2"/>
      <c r="C96" s="583"/>
      <c r="D96" s="583"/>
      <c r="E96" s="2"/>
      <c r="F96" s="3"/>
      <c r="G96" s="560"/>
      <c r="H96" s="560"/>
      <c r="I96" s="560"/>
      <c r="J96" s="560"/>
      <c r="K96" s="560"/>
      <c r="L96" s="560"/>
      <c r="M96" s="560"/>
      <c r="O96" s="560"/>
      <c r="P96" s="560"/>
      <c r="Q96" s="560"/>
      <c r="R96" s="560"/>
      <c r="S96" s="560"/>
      <c r="T96" s="560"/>
      <c r="U96" s="560"/>
      <c r="V96" s="560"/>
      <c r="W96" s="560"/>
      <c r="X96" s="560"/>
      <c r="Y96" s="560"/>
      <c r="Z96" s="560"/>
      <c r="AA96" s="560"/>
      <c r="AB96" s="560"/>
      <c r="AC96" s="560"/>
      <c r="AD96" s="560"/>
      <c r="AE96" s="560"/>
    </row>
    <row r="97" spans="1:31" s="561" customFormat="1">
      <c r="A97" s="2"/>
      <c r="B97" s="2"/>
      <c r="C97" s="583"/>
      <c r="D97" s="583"/>
      <c r="E97" s="2"/>
      <c r="F97" s="3"/>
      <c r="G97" s="560"/>
      <c r="H97" s="560"/>
      <c r="I97" s="560"/>
      <c r="J97" s="560"/>
      <c r="K97" s="560"/>
      <c r="L97" s="560"/>
      <c r="M97" s="560"/>
      <c r="O97" s="560"/>
      <c r="P97" s="560"/>
      <c r="Q97" s="560"/>
      <c r="R97" s="560"/>
      <c r="S97" s="560"/>
      <c r="T97" s="560"/>
      <c r="U97" s="560"/>
      <c r="V97" s="560"/>
      <c r="W97" s="560"/>
      <c r="X97" s="560"/>
      <c r="Y97" s="560"/>
      <c r="Z97" s="560"/>
      <c r="AA97" s="560"/>
      <c r="AB97" s="560"/>
      <c r="AC97" s="560"/>
      <c r="AD97" s="560"/>
      <c r="AE97" s="560"/>
    </row>
    <row r="98" spans="1:31" s="561" customFormat="1">
      <c r="A98" s="2"/>
      <c r="B98" s="2"/>
      <c r="C98" s="583"/>
      <c r="D98" s="583"/>
      <c r="E98" s="2"/>
      <c r="F98" s="3"/>
      <c r="G98" s="560"/>
      <c r="H98" s="560"/>
      <c r="I98" s="560"/>
      <c r="J98" s="560"/>
      <c r="K98" s="560"/>
      <c r="L98" s="560"/>
      <c r="M98" s="560"/>
      <c r="O98" s="560"/>
      <c r="P98" s="560"/>
      <c r="Q98" s="560"/>
      <c r="R98" s="560"/>
      <c r="S98" s="560"/>
      <c r="T98" s="560"/>
      <c r="U98" s="560"/>
      <c r="V98" s="560"/>
      <c r="W98" s="560"/>
      <c r="X98" s="560"/>
      <c r="Y98" s="560"/>
      <c r="Z98" s="560"/>
      <c r="AA98" s="560"/>
      <c r="AB98" s="560"/>
      <c r="AC98" s="560"/>
      <c r="AD98" s="560"/>
      <c r="AE98" s="560"/>
    </row>
    <row r="99" spans="1:31" s="561" customFormat="1">
      <c r="A99" s="2"/>
      <c r="B99" s="2"/>
      <c r="C99" s="583"/>
      <c r="D99" s="583"/>
      <c r="E99" s="2"/>
      <c r="F99" s="3"/>
      <c r="G99" s="560"/>
      <c r="H99" s="560"/>
      <c r="I99" s="560"/>
      <c r="J99" s="560"/>
      <c r="K99" s="560"/>
      <c r="L99" s="560"/>
      <c r="M99" s="560"/>
      <c r="O99" s="560"/>
      <c r="P99" s="560"/>
      <c r="Q99" s="560"/>
      <c r="R99" s="560"/>
      <c r="S99" s="560"/>
      <c r="T99" s="560"/>
      <c r="U99" s="560"/>
      <c r="V99" s="560"/>
      <c r="W99" s="560"/>
      <c r="X99" s="560"/>
      <c r="Y99" s="560"/>
      <c r="Z99" s="560"/>
      <c r="AA99" s="560"/>
      <c r="AB99" s="560"/>
      <c r="AC99" s="560"/>
      <c r="AD99" s="560"/>
      <c r="AE99" s="560"/>
    </row>
    <row r="100" spans="1:31" s="561" customFormat="1">
      <c r="A100" s="2"/>
      <c r="B100" s="2"/>
      <c r="C100" s="583"/>
      <c r="D100" s="583"/>
      <c r="E100" s="2"/>
      <c r="F100" s="3"/>
      <c r="G100" s="560"/>
      <c r="H100" s="560"/>
      <c r="I100" s="560"/>
      <c r="J100" s="560"/>
      <c r="K100" s="560"/>
      <c r="L100" s="560"/>
      <c r="M100" s="560"/>
      <c r="O100" s="560"/>
      <c r="P100" s="560"/>
      <c r="Q100" s="560"/>
      <c r="R100" s="560"/>
      <c r="S100" s="560"/>
      <c r="T100" s="560"/>
      <c r="U100" s="560"/>
      <c r="V100" s="560"/>
      <c r="W100" s="560"/>
      <c r="X100" s="560"/>
      <c r="Y100" s="560"/>
      <c r="Z100" s="560"/>
      <c r="AA100" s="560"/>
      <c r="AB100" s="560"/>
      <c r="AC100" s="560"/>
      <c r="AD100" s="560"/>
      <c r="AE100" s="560"/>
    </row>
    <row r="101" spans="1:31" s="561" customFormat="1">
      <c r="A101" s="2"/>
      <c r="B101" s="2"/>
      <c r="C101" s="583"/>
      <c r="D101" s="583"/>
      <c r="E101" s="2"/>
      <c r="F101" s="3"/>
      <c r="G101" s="560"/>
      <c r="H101" s="560"/>
      <c r="I101" s="560"/>
      <c r="J101" s="560"/>
      <c r="K101" s="560"/>
      <c r="L101" s="560"/>
      <c r="M101" s="560"/>
      <c r="O101" s="560"/>
      <c r="P101" s="560"/>
      <c r="Q101" s="560"/>
      <c r="R101" s="560"/>
      <c r="S101" s="560"/>
      <c r="T101" s="560"/>
      <c r="U101" s="560"/>
      <c r="V101" s="560"/>
      <c r="W101" s="560"/>
      <c r="X101" s="560"/>
      <c r="Y101" s="560"/>
      <c r="Z101" s="560"/>
      <c r="AA101" s="560"/>
      <c r="AB101" s="560"/>
      <c r="AC101" s="560"/>
      <c r="AD101" s="560"/>
      <c r="AE101" s="560"/>
    </row>
    <row r="102" spans="1:31" s="561" customFormat="1">
      <c r="A102" s="2"/>
      <c r="B102" s="2"/>
      <c r="C102" s="583"/>
      <c r="D102" s="583"/>
      <c r="E102" s="2"/>
      <c r="F102" s="3"/>
      <c r="G102" s="560"/>
      <c r="H102" s="560"/>
      <c r="I102" s="560"/>
      <c r="J102" s="560"/>
      <c r="K102" s="560"/>
      <c r="L102" s="560"/>
      <c r="M102" s="560"/>
      <c r="O102" s="560"/>
      <c r="P102" s="560"/>
      <c r="Q102" s="560"/>
      <c r="R102" s="560"/>
      <c r="S102" s="560"/>
      <c r="T102" s="560"/>
      <c r="U102" s="560"/>
      <c r="V102" s="560"/>
      <c r="W102" s="560"/>
      <c r="X102" s="560"/>
      <c r="Y102" s="560"/>
      <c r="Z102" s="560"/>
      <c r="AA102" s="560"/>
      <c r="AB102" s="560"/>
      <c r="AC102" s="560"/>
      <c r="AD102" s="560"/>
      <c r="AE102" s="560"/>
    </row>
    <row r="103" spans="1:31" s="561" customFormat="1">
      <c r="A103" s="2"/>
      <c r="B103" s="2"/>
      <c r="C103" s="583"/>
      <c r="D103" s="583"/>
      <c r="E103" s="2"/>
      <c r="F103" s="3"/>
      <c r="G103" s="560"/>
      <c r="H103" s="560"/>
      <c r="I103" s="560"/>
      <c r="J103" s="560"/>
      <c r="K103" s="560"/>
      <c r="L103" s="560"/>
      <c r="M103" s="560"/>
      <c r="O103" s="560"/>
      <c r="P103" s="560"/>
      <c r="Q103" s="560"/>
      <c r="R103" s="560"/>
      <c r="S103" s="560"/>
      <c r="T103" s="560"/>
      <c r="U103" s="560"/>
      <c r="V103" s="560"/>
      <c r="W103" s="560"/>
      <c r="X103" s="560"/>
      <c r="Y103" s="560"/>
      <c r="Z103" s="560"/>
      <c r="AA103" s="560"/>
      <c r="AB103" s="560"/>
      <c r="AC103" s="560"/>
      <c r="AD103" s="560"/>
      <c r="AE103" s="560"/>
    </row>
    <row r="104" spans="1:31" s="561" customFormat="1">
      <c r="A104" s="2"/>
      <c r="B104" s="2"/>
      <c r="C104" s="583"/>
      <c r="D104" s="583"/>
      <c r="E104" s="2"/>
      <c r="F104" s="3"/>
      <c r="G104" s="560"/>
      <c r="H104" s="560"/>
      <c r="I104" s="560"/>
      <c r="J104" s="560"/>
      <c r="K104" s="560"/>
      <c r="L104" s="560"/>
      <c r="M104" s="560"/>
      <c r="O104" s="560"/>
      <c r="P104" s="560"/>
      <c r="Q104" s="560"/>
      <c r="R104" s="560"/>
      <c r="S104" s="560"/>
      <c r="T104" s="560"/>
      <c r="U104" s="560"/>
      <c r="V104" s="560"/>
      <c r="W104" s="560"/>
      <c r="X104" s="560"/>
      <c r="Y104" s="560"/>
      <c r="Z104" s="560"/>
      <c r="AA104" s="560"/>
      <c r="AB104" s="560"/>
      <c r="AC104" s="560"/>
      <c r="AD104" s="560"/>
      <c r="AE104" s="560"/>
    </row>
    <row r="105" spans="1:31" s="561" customFormat="1">
      <c r="A105" s="2"/>
      <c r="B105" s="2"/>
      <c r="C105" s="583"/>
      <c r="D105" s="583"/>
      <c r="E105" s="2"/>
      <c r="F105" s="3"/>
      <c r="G105" s="560"/>
      <c r="H105" s="560"/>
      <c r="I105" s="560"/>
      <c r="J105" s="560"/>
      <c r="K105" s="560"/>
      <c r="L105" s="560"/>
      <c r="M105" s="560"/>
      <c r="O105" s="560"/>
      <c r="P105" s="560"/>
      <c r="Q105" s="560"/>
      <c r="R105" s="560"/>
      <c r="S105" s="560"/>
      <c r="T105" s="560"/>
      <c r="U105" s="560"/>
      <c r="V105" s="560"/>
      <c r="W105" s="560"/>
      <c r="X105" s="560"/>
      <c r="Y105" s="560"/>
      <c r="Z105" s="560"/>
      <c r="AA105" s="560"/>
      <c r="AB105" s="560"/>
      <c r="AC105" s="560"/>
      <c r="AD105" s="560"/>
      <c r="AE105" s="560"/>
    </row>
    <row r="106" spans="1:31" s="561" customFormat="1">
      <c r="A106" s="2"/>
      <c r="B106" s="2"/>
      <c r="C106" s="583"/>
      <c r="D106" s="583"/>
      <c r="E106" s="2"/>
      <c r="F106" s="3"/>
      <c r="G106" s="560"/>
      <c r="H106" s="560"/>
      <c r="I106" s="560"/>
      <c r="J106" s="560"/>
      <c r="K106" s="560"/>
      <c r="L106" s="560"/>
      <c r="M106" s="560"/>
      <c r="O106" s="560"/>
      <c r="P106" s="560"/>
      <c r="Q106" s="560"/>
      <c r="R106" s="560"/>
      <c r="S106" s="560"/>
      <c r="T106" s="560"/>
      <c r="U106" s="560"/>
      <c r="V106" s="560"/>
      <c r="W106" s="560"/>
      <c r="X106" s="560"/>
      <c r="Y106" s="560"/>
      <c r="Z106" s="560"/>
      <c r="AA106" s="560"/>
      <c r="AB106" s="560"/>
      <c r="AC106" s="560"/>
      <c r="AD106" s="560"/>
      <c r="AE106" s="560"/>
    </row>
    <row r="107" spans="1:31" s="561" customFormat="1">
      <c r="A107" s="2"/>
      <c r="B107" s="2"/>
      <c r="C107" s="583"/>
      <c r="D107" s="583"/>
      <c r="E107" s="2"/>
      <c r="F107" s="3"/>
      <c r="G107" s="560"/>
      <c r="H107" s="560"/>
      <c r="I107" s="560"/>
      <c r="J107" s="560"/>
      <c r="K107" s="560"/>
      <c r="L107" s="560"/>
      <c r="M107" s="560"/>
      <c r="O107" s="560"/>
      <c r="P107" s="560"/>
      <c r="Q107" s="560"/>
      <c r="R107" s="560"/>
      <c r="S107" s="560"/>
      <c r="T107" s="560"/>
      <c r="U107" s="560"/>
      <c r="V107" s="560"/>
      <c r="W107" s="560"/>
      <c r="X107" s="560"/>
      <c r="Y107" s="560"/>
      <c r="Z107" s="560"/>
      <c r="AA107" s="560"/>
      <c r="AB107" s="560"/>
      <c r="AC107" s="560"/>
      <c r="AD107" s="560"/>
      <c r="AE107" s="560"/>
    </row>
    <row r="108" spans="1:31" s="561" customFormat="1">
      <c r="A108" s="2"/>
      <c r="B108" s="2"/>
      <c r="C108" s="583"/>
      <c r="D108" s="583"/>
      <c r="E108" s="2"/>
      <c r="F108" s="3"/>
      <c r="G108" s="560"/>
      <c r="H108" s="560"/>
      <c r="I108" s="560"/>
      <c r="J108" s="560"/>
      <c r="K108" s="560"/>
      <c r="L108" s="560"/>
      <c r="M108" s="560"/>
      <c r="O108" s="560"/>
      <c r="P108" s="560"/>
      <c r="Q108" s="560"/>
      <c r="R108" s="560"/>
      <c r="S108" s="560"/>
      <c r="T108" s="560"/>
      <c r="U108" s="560"/>
      <c r="V108" s="560"/>
      <c r="W108" s="560"/>
      <c r="X108" s="560"/>
      <c r="Y108" s="560"/>
      <c r="Z108" s="560"/>
      <c r="AA108" s="560"/>
      <c r="AB108" s="560"/>
      <c r="AC108" s="560"/>
      <c r="AD108" s="560"/>
      <c r="AE108" s="560"/>
    </row>
    <row r="109" spans="1:31" s="561" customFormat="1">
      <c r="A109" s="2"/>
      <c r="B109" s="2"/>
      <c r="C109" s="583"/>
      <c r="D109" s="583"/>
      <c r="E109" s="2"/>
      <c r="F109" s="3"/>
      <c r="G109" s="560"/>
      <c r="H109" s="560"/>
      <c r="I109" s="560"/>
      <c r="J109" s="560"/>
      <c r="K109" s="560"/>
      <c r="L109" s="560"/>
      <c r="M109" s="560"/>
      <c r="O109" s="560"/>
      <c r="P109" s="560"/>
      <c r="Q109" s="560"/>
      <c r="R109" s="560"/>
      <c r="S109" s="560"/>
      <c r="T109" s="560"/>
      <c r="U109" s="560"/>
      <c r="V109" s="560"/>
      <c r="W109" s="560"/>
      <c r="X109" s="560"/>
      <c r="Y109" s="560"/>
      <c r="Z109" s="560"/>
      <c r="AA109" s="560"/>
      <c r="AB109" s="560"/>
      <c r="AC109" s="560"/>
      <c r="AD109" s="560"/>
      <c r="AE109" s="560"/>
    </row>
    <row r="110" spans="1:31" s="561" customFormat="1">
      <c r="A110" s="2"/>
      <c r="B110" s="2"/>
      <c r="C110" s="583"/>
      <c r="D110" s="583"/>
      <c r="E110" s="2"/>
      <c r="F110" s="3"/>
      <c r="G110" s="560"/>
      <c r="H110" s="560"/>
      <c r="I110" s="560"/>
      <c r="J110" s="560"/>
      <c r="K110" s="560"/>
      <c r="L110" s="560"/>
      <c r="M110" s="560"/>
      <c r="O110" s="560"/>
      <c r="P110" s="560"/>
      <c r="Q110" s="560"/>
      <c r="R110" s="560"/>
      <c r="S110" s="560"/>
      <c r="T110" s="560"/>
      <c r="U110" s="560"/>
      <c r="V110" s="560"/>
      <c r="W110" s="560"/>
      <c r="X110" s="560"/>
      <c r="Y110" s="560"/>
      <c r="Z110" s="560"/>
      <c r="AA110" s="560"/>
      <c r="AB110" s="560"/>
      <c r="AC110" s="560"/>
      <c r="AD110" s="560"/>
      <c r="AE110" s="560"/>
    </row>
    <row r="111" spans="1:31" s="561" customFormat="1">
      <c r="A111" s="2"/>
      <c r="B111" s="2"/>
      <c r="C111" s="583"/>
      <c r="D111" s="583"/>
      <c r="E111" s="2"/>
      <c r="F111" s="3"/>
      <c r="G111" s="560"/>
      <c r="H111" s="560"/>
      <c r="I111" s="560"/>
      <c r="J111" s="560"/>
      <c r="K111" s="560"/>
      <c r="L111" s="560"/>
      <c r="M111" s="560"/>
      <c r="O111" s="560"/>
      <c r="P111" s="560"/>
      <c r="Q111" s="560"/>
      <c r="R111" s="560"/>
      <c r="S111" s="560"/>
      <c r="T111" s="560"/>
      <c r="U111" s="560"/>
      <c r="V111" s="560"/>
      <c r="W111" s="560"/>
      <c r="X111" s="560"/>
      <c r="Y111" s="560"/>
      <c r="Z111" s="560"/>
      <c r="AA111" s="560"/>
      <c r="AB111" s="560"/>
      <c r="AC111" s="560"/>
      <c r="AD111" s="560"/>
      <c r="AE111" s="560"/>
    </row>
    <row r="112" spans="1:31" s="561" customFormat="1">
      <c r="A112" s="2"/>
      <c r="B112" s="2"/>
      <c r="C112" s="583"/>
      <c r="D112" s="583"/>
      <c r="E112" s="2"/>
      <c r="F112" s="3"/>
      <c r="G112" s="560"/>
      <c r="H112" s="560"/>
      <c r="I112" s="560"/>
      <c r="J112" s="560"/>
      <c r="K112" s="560"/>
      <c r="L112" s="560"/>
      <c r="M112" s="560"/>
      <c r="O112" s="560"/>
      <c r="P112" s="560"/>
      <c r="Q112" s="560"/>
      <c r="R112" s="560"/>
      <c r="S112" s="560"/>
      <c r="T112" s="560"/>
      <c r="U112" s="560"/>
      <c r="V112" s="560"/>
      <c r="W112" s="560"/>
      <c r="X112" s="560"/>
      <c r="Y112" s="560"/>
      <c r="Z112" s="560"/>
      <c r="AA112" s="560"/>
      <c r="AB112" s="560"/>
      <c r="AC112" s="560"/>
      <c r="AD112" s="560"/>
      <c r="AE112" s="560"/>
    </row>
    <row r="113" spans="1:31" s="561" customFormat="1">
      <c r="A113" s="2"/>
      <c r="B113" s="2"/>
      <c r="C113" s="583"/>
      <c r="D113" s="583"/>
      <c r="E113" s="2"/>
      <c r="F113" s="3"/>
      <c r="G113" s="560"/>
      <c r="H113" s="560"/>
      <c r="I113" s="560"/>
      <c r="J113" s="560"/>
      <c r="K113" s="560"/>
      <c r="L113" s="560"/>
      <c r="M113" s="560"/>
      <c r="O113" s="560"/>
      <c r="P113" s="560"/>
      <c r="Q113" s="560"/>
      <c r="R113" s="560"/>
      <c r="S113" s="560"/>
      <c r="T113" s="560"/>
      <c r="U113" s="560"/>
      <c r="V113" s="560"/>
      <c r="W113" s="560"/>
      <c r="X113" s="560"/>
      <c r="Y113" s="560"/>
      <c r="Z113" s="560"/>
      <c r="AA113" s="560"/>
      <c r="AB113" s="560"/>
      <c r="AC113" s="560"/>
      <c r="AD113" s="560"/>
      <c r="AE113" s="560"/>
    </row>
    <row r="114" spans="1:31" s="561" customFormat="1">
      <c r="A114" s="2"/>
      <c r="B114" s="2"/>
      <c r="C114" s="583"/>
      <c r="D114" s="583"/>
      <c r="E114" s="2"/>
      <c r="F114" s="3"/>
      <c r="G114" s="560"/>
      <c r="H114" s="560"/>
      <c r="I114" s="560"/>
      <c r="J114" s="560"/>
      <c r="K114" s="560"/>
      <c r="L114" s="560"/>
      <c r="M114" s="560"/>
      <c r="O114" s="560"/>
      <c r="P114" s="560"/>
      <c r="Q114" s="560"/>
      <c r="R114" s="560"/>
      <c r="S114" s="560"/>
      <c r="T114" s="560"/>
      <c r="U114" s="560"/>
      <c r="V114" s="560"/>
      <c r="W114" s="560"/>
      <c r="X114" s="560"/>
      <c r="Y114" s="560"/>
      <c r="Z114" s="560"/>
      <c r="AA114" s="560"/>
      <c r="AB114" s="560"/>
      <c r="AC114" s="560"/>
      <c r="AD114" s="560"/>
      <c r="AE114" s="560"/>
    </row>
    <row r="115" spans="1:31" s="561" customFormat="1">
      <c r="A115" s="2"/>
      <c r="B115" s="2"/>
      <c r="C115" s="583"/>
      <c r="D115" s="583"/>
      <c r="E115" s="2"/>
      <c r="F115" s="3"/>
      <c r="G115" s="560"/>
      <c r="H115" s="560"/>
      <c r="I115" s="560"/>
      <c r="J115" s="560"/>
      <c r="K115" s="560"/>
      <c r="L115" s="560"/>
      <c r="M115" s="560"/>
      <c r="O115" s="560"/>
      <c r="P115" s="560"/>
      <c r="Q115" s="560"/>
      <c r="R115" s="560"/>
      <c r="S115" s="560"/>
      <c r="T115" s="560"/>
      <c r="U115" s="560"/>
      <c r="V115" s="560"/>
      <c r="W115" s="560"/>
      <c r="X115" s="560"/>
      <c r="Y115" s="560"/>
      <c r="Z115" s="560"/>
      <c r="AA115" s="560"/>
      <c r="AB115" s="560"/>
      <c r="AC115" s="560"/>
      <c r="AD115" s="560"/>
      <c r="AE115" s="560"/>
    </row>
    <row r="116" spans="1:31" s="561" customFormat="1">
      <c r="A116" s="2"/>
      <c r="B116" s="2"/>
      <c r="C116" s="583"/>
      <c r="D116" s="583"/>
      <c r="E116" s="2"/>
      <c r="F116" s="3"/>
      <c r="G116" s="560"/>
      <c r="H116" s="560"/>
      <c r="I116" s="560"/>
      <c r="J116" s="560"/>
      <c r="K116" s="560"/>
      <c r="L116" s="560"/>
      <c r="M116" s="560"/>
      <c r="O116" s="560"/>
      <c r="P116" s="560"/>
      <c r="Q116" s="560"/>
      <c r="R116" s="560"/>
      <c r="S116" s="560"/>
      <c r="T116" s="560"/>
      <c r="U116" s="560"/>
      <c r="V116" s="560"/>
      <c r="W116" s="560"/>
      <c r="X116" s="560"/>
      <c r="Y116" s="560"/>
      <c r="Z116" s="560"/>
      <c r="AA116" s="560"/>
      <c r="AB116" s="560"/>
      <c r="AC116" s="560"/>
      <c r="AD116" s="560"/>
      <c r="AE116" s="560"/>
    </row>
    <row r="117" spans="1:31" s="561" customFormat="1">
      <c r="A117" s="2"/>
      <c r="B117" s="2"/>
      <c r="C117" s="583"/>
      <c r="D117" s="583"/>
      <c r="E117" s="2"/>
      <c r="F117" s="3"/>
      <c r="G117" s="560"/>
      <c r="H117" s="560"/>
      <c r="I117" s="560"/>
      <c r="J117" s="560"/>
      <c r="K117" s="560"/>
      <c r="L117" s="560"/>
      <c r="M117" s="560"/>
      <c r="O117" s="560"/>
      <c r="P117" s="560"/>
      <c r="Q117" s="560"/>
      <c r="R117" s="560"/>
      <c r="S117" s="560"/>
      <c r="T117" s="560"/>
      <c r="U117" s="560"/>
      <c r="V117" s="560"/>
      <c r="W117" s="560"/>
      <c r="X117" s="560"/>
      <c r="Y117" s="560"/>
      <c r="Z117" s="560"/>
      <c r="AA117" s="560"/>
      <c r="AB117" s="560"/>
      <c r="AC117" s="560"/>
      <c r="AD117" s="560"/>
      <c r="AE117" s="560"/>
    </row>
    <row r="118" spans="1:31" s="561" customFormat="1">
      <c r="A118" s="2"/>
      <c r="B118" s="2"/>
      <c r="C118" s="583"/>
      <c r="D118" s="583"/>
      <c r="E118" s="2"/>
      <c r="F118" s="3"/>
      <c r="G118" s="560"/>
      <c r="H118" s="560"/>
      <c r="I118" s="560"/>
      <c r="J118" s="560"/>
      <c r="K118" s="560"/>
      <c r="L118" s="560"/>
      <c r="M118" s="560"/>
      <c r="O118" s="560"/>
      <c r="P118" s="560"/>
      <c r="Q118" s="560"/>
      <c r="R118" s="560"/>
      <c r="S118" s="560"/>
      <c r="T118" s="560"/>
      <c r="U118" s="560"/>
      <c r="V118" s="560"/>
      <c r="W118" s="560"/>
      <c r="X118" s="560"/>
      <c r="Y118" s="560"/>
      <c r="Z118" s="560"/>
      <c r="AA118" s="560"/>
      <c r="AB118" s="560"/>
      <c r="AC118" s="560"/>
      <c r="AD118" s="560"/>
      <c r="AE118" s="560"/>
    </row>
    <row r="119" spans="1:31" s="561" customFormat="1">
      <c r="A119" s="2"/>
      <c r="B119" s="2"/>
      <c r="C119" s="583"/>
      <c r="D119" s="583"/>
      <c r="E119" s="2"/>
      <c r="F119" s="3"/>
      <c r="G119" s="560"/>
      <c r="H119" s="560"/>
      <c r="I119" s="560"/>
      <c r="J119" s="560"/>
      <c r="K119" s="560"/>
      <c r="L119" s="560"/>
      <c r="M119" s="560"/>
      <c r="O119" s="560"/>
      <c r="P119" s="560"/>
      <c r="Q119" s="560"/>
      <c r="R119" s="560"/>
      <c r="S119" s="560"/>
      <c r="T119" s="560"/>
      <c r="U119" s="560"/>
      <c r="V119" s="560"/>
      <c r="W119" s="560"/>
      <c r="X119" s="560"/>
      <c r="Y119" s="560"/>
      <c r="Z119" s="560"/>
      <c r="AA119" s="560"/>
      <c r="AB119" s="560"/>
      <c r="AC119" s="560"/>
      <c r="AD119" s="560"/>
      <c r="AE119" s="560"/>
    </row>
    <row r="120" spans="1:31" s="561" customFormat="1">
      <c r="A120" s="2"/>
      <c r="B120" s="2"/>
      <c r="C120" s="583"/>
      <c r="D120" s="583"/>
      <c r="E120" s="2"/>
      <c r="F120" s="3"/>
      <c r="G120" s="560"/>
      <c r="H120" s="560"/>
      <c r="I120" s="560"/>
      <c r="J120" s="560"/>
      <c r="K120" s="560"/>
      <c r="L120" s="560"/>
      <c r="M120" s="560"/>
      <c r="O120" s="560"/>
      <c r="P120" s="560"/>
      <c r="Q120" s="560"/>
      <c r="R120" s="560"/>
      <c r="S120" s="560"/>
      <c r="T120" s="560"/>
      <c r="U120" s="560"/>
      <c r="V120" s="560"/>
      <c r="W120" s="560"/>
      <c r="X120" s="560"/>
      <c r="Y120" s="560"/>
      <c r="Z120" s="560"/>
      <c r="AA120" s="560"/>
      <c r="AB120" s="560"/>
      <c r="AC120" s="560"/>
      <c r="AD120" s="560"/>
      <c r="AE120" s="560"/>
    </row>
    <row r="121" spans="1:31" s="561" customFormat="1">
      <c r="A121" s="2"/>
      <c r="B121" s="2"/>
      <c r="C121" s="583"/>
      <c r="D121" s="583"/>
      <c r="E121" s="2"/>
      <c r="F121" s="3"/>
      <c r="G121" s="560"/>
      <c r="H121" s="560"/>
      <c r="I121" s="560"/>
      <c r="J121" s="560"/>
      <c r="K121" s="560"/>
      <c r="L121" s="560"/>
      <c r="M121" s="560"/>
      <c r="O121" s="560"/>
      <c r="P121" s="560"/>
      <c r="Q121" s="560"/>
      <c r="R121" s="560"/>
      <c r="S121" s="560"/>
      <c r="T121" s="560"/>
      <c r="U121" s="560"/>
      <c r="V121" s="560"/>
      <c r="W121" s="560"/>
      <c r="X121" s="560"/>
      <c r="Y121" s="560"/>
      <c r="Z121" s="560"/>
      <c r="AA121" s="560"/>
      <c r="AB121" s="560"/>
      <c r="AC121" s="560"/>
      <c r="AD121" s="560"/>
      <c r="AE121" s="560"/>
    </row>
    <row r="122" spans="1:31" s="561" customFormat="1">
      <c r="A122" s="2"/>
      <c r="B122" s="2"/>
      <c r="C122" s="583"/>
      <c r="D122" s="583"/>
      <c r="E122" s="2"/>
      <c r="F122" s="3"/>
      <c r="G122" s="560"/>
      <c r="H122" s="560"/>
      <c r="I122" s="560"/>
      <c r="J122" s="560"/>
      <c r="K122" s="560"/>
      <c r="L122" s="560"/>
      <c r="M122" s="560"/>
      <c r="O122" s="560"/>
      <c r="P122" s="560"/>
      <c r="Q122" s="560"/>
      <c r="R122" s="560"/>
      <c r="S122" s="560"/>
      <c r="T122" s="560"/>
      <c r="U122" s="560"/>
      <c r="V122" s="560"/>
      <c r="W122" s="560"/>
      <c r="X122" s="560"/>
      <c r="Y122" s="560"/>
      <c r="Z122" s="560"/>
      <c r="AA122" s="560"/>
      <c r="AB122" s="560"/>
      <c r="AC122" s="560"/>
      <c r="AD122" s="560"/>
      <c r="AE122" s="560"/>
    </row>
    <row r="123" spans="1:31" s="561" customFormat="1">
      <c r="A123" s="2"/>
      <c r="B123" s="2"/>
      <c r="C123" s="583"/>
      <c r="D123" s="583"/>
      <c r="E123" s="2"/>
      <c r="F123" s="3"/>
      <c r="G123" s="560"/>
      <c r="H123" s="560"/>
      <c r="I123" s="560"/>
      <c r="J123" s="560"/>
      <c r="K123" s="560"/>
      <c r="L123" s="560"/>
      <c r="M123" s="560"/>
      <c r="O123" s="560"/>
      <c r="P123" s="560"/>
      <c r="Q123" s="560"/>
      <c r="R123" s="560"/>
      <c r="S123" s="560"/>
      <c r="T123" s="560"/>
      <c r="U123" s="560"/>
      <c r="V123" s="560"/>
      <c r="W123" s="560"/>
      <c r="X123" s="560"/>
      <c r="Y123" s="560"/>
      <c r="Z123" s="560"/>
      <c r="AA123" s="560"/>
      <c r="AB123" s="560"/>
      <c r="AC123" s="560"/>
      <c r="AD123" s="560"/>
      <c r="AE123" s="560"/>
    </row>
    <row r="124" spans="1:31" s="561" customFormat="1">
      <c r="A124" s="2"/>
      <c r="B124" s="2"/>
      <c r="C124" s="583"/>
      <c r="D124" s="583"/>
      <c r="E124" s="2"/>
      <c r="F124" s="3"/>
      <c r="G124" s="560"/>
      <c r="H124" s="560"/>
      <c r="I124" s="560"/>
      <c r="J124" s="560"/>
      <c r="K124" s="560"/>
      <c r="L124" s="560"/>
      <c r="M124" s="560"/>
      <c r="O124" s="560"/>
      <c r="P124" s="560"/>
      <c r="Q124" s="560"/>
      <c r="R124" s="560"/>
      <c r="S124" s="560"/>
      <c r="T124" s="560"/>
      <c r="U124" s="560"/>
      <c r="V124" s="560"/>
      <c r="W124" s="560"/>
      <c r="X124" s="560"/>
      <c r="Y124" s="560"/>
      <c r="Z124" s="560"/>
      <c r="AA124" s="560"/>
      <c r="AB124" s="560"/>
      <c r="AC124" s="560"/>
      <c r="AD124" s="560"/>
      <c r="AE124" s="560"/>
    </row>
    <row r="125" spans="1:31" s="561" customFormat="1">
      <c r="A125" s="2"/>
      <c r="B125" s="2"/>
      <c r="C125" s="583"/>
      <c r="D125" s="583"/>
      <c r="E125" s="2"/>
      <c r="F125" s="3"/>
      <c r="G125" s="560"/>
      <c r="H125" s="560"/>
      <c r="I125" s="560"/>
      <c r="J125" s="560"/>
      <c r="K125" s="560"/>
      <c r="L125" s="560"/>
      <c r="M125" s="560"/>
      <c r="O125" s="560"/>
      <c r="P125" s="560"/>
      <c r="Q125" s="560"/>
      <c r="R125" s="560"/>
      <c r="S125" s="560"/>
      <c r="T125" s="560"/>
      <c r="U125" s="560"/>
      <c r="V125" s="560"/>
      <c r="W125" s="560"/>
      <c r="X125" s="560"/>
      <c r="Y125" s="560"/>
      <c r="Z125" s="560"/>
      <c r="AA125" s="560"/>
      <c r="AB125" s="560"/>
      <c r="AC125" s="560"/>
      <c r="AD125" s="560"/>
      <c r="AE125" s="560"/>
    </row>
    <row r="126" spans="1:31" s="561" customFormat="1">
      <c r="A126" s="2"/>
      <c r="B126" s="2"/>
      <c r="C126" s="583"/>
      <c r="D126" s="583"/>
      <c r="E126" s="2"/>
      <c r="F126" s="3"/>
      <c r="G126" s="560"/>
      <c r="H126" s="560"/>
      <c r="I126" s="560"/>
      <c r="J126" s="560"/>
      <c r="K126" s="560"/>
      <c r="L126" s="560"/>
      <c r="M126" s="560"/>
      <c r="O126" s="560"/>
      <c r="P126" s="560"/>
      <c r="Q126" s="560"/>
      <c r="R126" s="560"/>
      <c r="S126" s="560"/>
      <c r="T126" s="560"/>
      <c r="U126" s="560"/>
      <c r="V126" s="560"/>
      <c r="W126" s="560"/>
      <c r="X126" s="560"/>
      <c r="Y126" s="560"/>
      <c r="Z126" s="560"/>
      <c r="AA126" s="560"/>
      <c r="AB126" s="560"/>
      <c r="AC126" s="560"/>
      <c r="AD126" s="560"/>
      <c r="AE126" s="560"/>
    </row>
    <row r="127" spans="1:31" s="561" customFormat="1">
      <c r="A127" s="2"/>
      <c r="B127" s="2"/>
      <c r="C127" s="583"/>
      <c r="D127" s="583"/>
      <c r="E127" s="2"/>
      <c r="F127" s="3"/>
      <c r="G127" s="560"/>
      <c r="H127" s="560"/>
      <c r="I127" s="560"/>
      <c r="J127" s="560"/>
      <c r="K127" s="560"/>
      <c r="L127" s="560"/>
      <c r="M127" s="560"/>
      <c r="O127" s="560"/>
      <c r="P127" s="560"/>
      <c r="Q127" s="560"/>
      <c r="R127" s="560"/>
      <c r="S127" s="560"/>
      <c r="T127" s="560"/>
      <c r="U127" s="560"/>
      <c r="V127" s="560"/>
      <c r="W127" s="560"/>
      <c r="X127" s="560"/>
      <c r="Y127" s="560"/>
      <c r="Z127" s="560"/>
      <c r="AA127" s="560"/>
      <c r="AB127" s="560"/>
      <c r="AC127" s="560"/>
      <c r="AD127" s="560"/>
      <c r="AE127" s="560"/>
    </row>
    <row r="128" spans="1:31" s="561" customFormat="1">
      <c r="A128" s="2"/>
      <c r="B128" s="2"/>
      <c r="C128" s="583"/>
      <c r="D128" s="583"/>
      <c r="E128" s="2"/>
      <c r="F128" s="3"/>
      <c r="G128" s="560"/>
      <c r="H128" s="560"/>
      <c r="I128" s="560"/>
      <c r="J128" s="560"/>
      <c r="K128" s="560"/>
      <c r="L128" s="560"/>
      <c r="M128" s="560"/>
      <c r="O128" s="560"/>
      <c r="P128" s="560"/>
      <c r="Q128" s="560"/>
      <c r="R128" s="560"/>
      <c r="S128" s="560"/>
      <c r="T128" s="560"/>
      <c r="U128" s="560"/>
      <c r="V128" s="560"/>
      <c r="W128" s="560"/>
      <c r="X128" s="560"/>
      <c r="Y128" s="560"/>
      <c r="Z128" s="560"/>
      <c r="AA128" s="560"/>
      <c r="AB128" s="560"/>
      <c r="AC128" s="560"/>
      <c r="AD128" s="560"/>
      <c r="AE128" s="560"/>
    </row>
    <row r="129" spans="1:31" s="561" customFormat="1">
      <c r="A129" s="2"/>
      <c r="B129" s="2"/>
      <c r="C129" s="583"/>
      <c r="D129" s="583"/>
      <c r="E129" s="2"/>
      <c r="F129" s="3"/>
      <c r="G129" s="560"/>
      <c r="H129" s="560"/>
      <c r="I129" s="560"/>
      <c r="J129" s="560"/>
      <c r="K129" s="560"/>
      <c r="L129" s="560"/>
      <c r="M129" s="560"/>
      <c r="O129" s="560"/>
      <c r="P129" s="560"/>
      <c r="Q129" s="560"/>
      <c r="R129" s="560"/>
      <c r="S129" s="560"/>
      <c r="T129" s="560"/>
      <c r="U129" s="560"/>
      <c r="V129" s="560"/>
      <c r="W129" s="560"/>
      <c r="X129" s="560"/>
      <c r="Y129" s="560"/>
      <c r="Z129" s="560"/>
      <c r="AA129" s="560"/>
      <c r="AB129" s="560"/>
      <c r="AC129" s="560"/>
      <c r="AD129" s="560"/>
      <c r="AE129" s="560"/>
    </row>
    <row r="130" spans="1:31" s="561" customFormat="1">
      <c r="A130" s="2"/>
      <c r="B130" s="2"/>
      <c r="C130" s="583"/>
      <c r="D130" s="583"/>
      <c r="E130" s="2"/>
      <c r="F130" s="3"/>
      <c r="G130" s="560"/>
      <c r="H130" s="560"/>
      <c r="I130" s="560"/>
      <c r="J130" s="560"/>
      <c r="K130" s="560"/>
      <c r="L130" s="560"/>
      <c r="M130" s="560"/>
      <c r="O130" s="560"/>
      <c r="P130" s="560"/>
      <c r="Q130" s="560"/>
      <c r="R130" s="560"/>
      <c r="S130" s="560"/>
      <c r="T130" s="560"/>
      <c r="U130" s="560"/>
      <c r="V130" s="560"/>
      <c r="W130" s="560"/>
      <c r="X130" s="560"/>
      <c r="Y130" s="560"/>
      <c r="Z130" s="560"/>
      <c r="AA130" s="560"/>
      <c r="AB130" s="560"/>
      <c r="AC130" s="560"/>
      <c r="AD130" s="560"/>
      <c r="AE130" s="560"/>
    </row>
    <row r="131" spans="1:31" s="561" customFormat="1">
      <c r="A131" s="2"/>
      <c r="B131" s="2"/>
      <c r="C131" s="583"/>
      <c r="D131" s="583"/>
      <c r="E131" s="2"/>
      <c r="F131" s="3"/>
      <c r="G131" s="560"/>
      <c r="H131" s="560"/>
      <c r="I131" s="560"/>
      <c r="J131" s="560"/>
      <c r="K131" s="560"/>
      <c r="L131" s="560"/>
      <c r="M131" s="560"/>
      <c r="O131" s="560"/>
      <c r="P131" s="560"/>
      <c r="Q131" s="560"/>
      <c r="R131" s="560"/>
      <c r="S131" s="560"/>
      <c r="T131" s="560"/>
      <c r="U131" s="560"/>
      <c r="V131" s="560"/>
      <c r="W131" s="560"/>
      <c r="X131" s="560"/>
      <c r="Y131" s="560"/>
      <c r="Z131" s="560"/>
      <c r="AA131" s="560"/>
      <c r="AB131" s="560"/>
      <c r="AC131" s="560"/>
      <c r="AD131" s="560"/>
      <c r="AE131" s="560"/>
    </row>
    <row r="132" spans="1:31" s="561" customFormat="1">
      <c r="A132" s="2"/>
      <c r="B132" s="2"/>
      <c r="C132" s="583"/>
      <c r="D132" s="583"/>
      <c r="E132" s="2"/>
      <c r="F132" s="3"/>
      <c r="G132" s="560"/>
      <c r="H132" s="560"/>
      <c r="I132" s="560"/>
      <c r="J132" s="560"/>
      <c r="K132" s="560"/>
      <c r="L132" s="560"/>
      <c r="M132" s="560"/>
      <c r="O132" s="560"/>
      <c r="P132" s="560"/>
      <c r="Q132" s="560"/>
      <c r="R132" s="560"/>
      <c r="S132" s="560"/>
      <c r="T132" s="560"/>
      <c r="U132" s="560"/>
      <c r="V132" s="560"/>
      <c r="W132" s="560"/>
      <c r="X132" s="560"/>
      <c r="Y132" s="560"/>
      <c r="Z132" s="560"/>
      <c r="AA132" s="560"/>
      <c r="AB132" s="560"/>
      <c r="AC132" s="560"/>
      <c r="AD132" s="560"/>
      <c r="AE132" s="560"/>
    </row>
    <row r="133" spans="1:31" s="561" customFormat="1">
      <c r="A133" s="2"/>
      <c r="B133" s="2"/>
      <c r="C133" s="583"/>
      <c r="D133" s="583"/>
      <c r="E133" s="2"/>
      <c r="F133" s="3"/>
      <c r="G133" s="560"/>
      <c r="H133" s="560"/>
      <c r="I133" s="560"/>
      <c r="J133" s="560"/>
      <c r="K133" s="560"/>
      <c r="L133" s="560"/>
      <c r="M133" s="560"/>
      <c r="O133" s="560"/>
      <c r="P133" s="560"/>
      <c r="Q133" s="560"/>
      <c r="R133" s="560"/>
      <c r="S133" s="560"/>
      <c r="T133" s="560"/>
      <c r="U133" s="560"/>
      <c r="V133" s="560"/>
      <c r="W133" s="560"/>
      <c r="X133" s="560"/>
      <c r="Y133" s="560"/>
      <c r="Z133" s="560"/>
      <c r="AA133" s="560"/>
      <c r="AB133" s="560"/>
      <c r="AC133" s="560"/>
      <c r="AD133" s="560"/>
      <c r="AE133" s="560"/>
    </row>
    <row r="134" spans="1:31" s="561" customFormat="1">
      <c r="A134" s="2"/>
      <c r="B134" s="2"/>
      <c r="C134" s="583"/>
      <c r="D134" s="583"/>
      <c r="E134" s="2"/>
      <c r="F134" s="3"/>
      <c r="G134" s="560"/>
      <c r="H134" s="560"/>
      <c r="I134" s="560"/>
      <c r="J134" s="560"/>
      <c r="K134" s="560"/>
      <c r="L134" s="560"/>
      <c r="M134" s="560"/>
      <c r="O134" s="560"/>
      <c r="P134" s="560"/>
      <c r="Q134" s="560"/>
      <c r="R134" s="560"/>
      <c r="S134" s="560"/>
      <c r="T134" s="560"/>
      <c r="U134" s="560"/>
      <c r="V134" s="560"/>
      <c r="W134" s="560"/>
      <c r="X134" s="560"/>
      <c r="Y134" s="560"/>
      <c r="Z134" s="560"/>
      <c r="AA134" s="560"/>
      <c r="AB134" s="560"/>
      <c r="AC134" s="560"/>
      <c r="AD134" s="560"/>
      <c r="AE134" s="560"/>
    </row>
    <row r="135" spans="1:31" s="561" customFormat="1">
      <c r="A135" s="2"/>
      <c r="B135" s="2"/>
      <c r="C135" s="583"/>
      <c r="D135" s="583"/>
      <c r="E135" s="2"/>
      <c r="F135" s="3"/>
      <c r="G135" s="560"/>
      <c r="H135" s="560"/>
      <c r="I135" s="560"/>
      <c r="J135" s="560"/>
      <c r="K135" s="560"/>
      <c r="L135" s="560"/>
      <c r="M135" s="560"/>
      <c r="O135" s="560"/>
      <c r="P135" s="560"/>
      <c r="Q135" s="560"/>
      <c r="R135" s="560"/>
      <c r="S135" s="560"/>
      <c r="T135" s="560"/>
      <c r="U135" s="560"/>
      <c r="V135" s="560"/>
      <c r="W135" s="560"/>
      <c r="X135" s="560"/>
      <c r="Y135" s="560"/>
      <c r="Z135" s="560"/>
      <c r="AA135" s="560"/>
      <c r="AB135" s="560"/>
      <c r="AC135" s="560"/>
      <c r="AD135" s="560"/>
      <c r="AE135" s="560"/>
    </row>
  </sheetData>
  <sheetProtection algorithmName="SHA-512" hashValue="79i/xj677AjsrTKH6IdsjVebN+PEfEr1YmSbnrHyLZCX28F06a1MJUm6mJ6Ed06Hq2ja7Ze1H3rALv4EN8523g==" saltValue="vLo/rvl8M4QRGpj+InsQGA==" spinCount="100000" sheet="1" formatCells="0" formatColumns="0" formatRows="0" insertColumns="0" sort="0" autoFilter="0" pivotTables="0"/>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A5A29-F3B3-47D5-ACE6-6A308CEC4520}">
  <dimension ref="A1:AE135"/>
  <sheetViews>
    <sheetView zoomScale="69" zoomScaleNormal="90" workbookViewId="0">
      <selection sqref="A1:XFD1048576"/>
    </sheetView>
  </sheetViews>
  <sheetFormatPr defaultColWidth="9.109375" defaultRowHeight="15.6"/>
  <cols>
    <col min="1" max="1" width="3.5546875" style="2" customWidth="1"/>
    <col min="2" max="2" width="51.5546875" style="2" customWidth="1"/>
    <col min="3" max="3" width="23.88671875" style="583" customWidth="1"/>
    <col min="4" max="4" width="25.5546875" style="583" customWidth="1"/>
    <col min="5" max="5" width="25.109375" style="2" customWidth="1"/>
    <col min="6" max="6" width="1.5546875" style="3" customWidth="1"/>
    <col min="7" max="7" width="3.5546875" style="560" customWidth="1"/>
    <col min="8" max="9" width="18.5546875" style="560" customWidth="1"/>
    <col min="10" max="11" width="25.88671875" style="560" customWidth="1"/>
    <col min="12" max="12" width="18.5546875" style="560" customWidth="1"/>
    <col min="13" max="13" width="8.5546875" style="560" customWidth="1"/>
    <col min="14" max="14" width="1.5546875" style="561" customWidth="1"/>
    <col min="15" max="16384" width="9.109375" style="560"/>
  </cols>
  <sheetData>
    <row r="1" spans="1:31" s="561" customFormat="1">
      <c r="A1" s="1" t="s">
        <v>787</v>
      </c>
      <c r="B1" s="2"/>
      <c r="C1" s="583"/>
      <c r="D1" s="583"/>
      <c r="E1" s="2"/>
      <c r="F1" s="3"/>
      <c r="G1" s="1169" t="s">
        <v>787</v>
      </c>
      <c r="H1" s="687"/>
      <c r="I1" s="687"/>
      <c r="J1" s="687"/>
      <c r="K1" s="687"/>
      <c r="L1" s="687"/>
      <c r="M1" s="687"/>
      <c r="O1" s="560"/>
      <c r="P1" s="560"/>
      <c r="Q1" s="560"/>
      <c r="R1" s="560"/>
      <c r="S1" s="560"/>
      <c r="T1" s="560"/>
      <c r="U1" s="560"/>
      <c r="V1" s="560"/>
      <c r="W1" s="560"/>
      <c r="X1" s="560"/>
      <c r="Y1" s="560"/>
      <c r="Z1" s="560"/>
      <c r="AA1" s="560"/>
      <c r="AB1" s="560"/>
      <c r="AC1" s="560"/>
      <c r="AD1" s="560"/>
      <c r="AE1" s="560"/>
    </row>
    <row r="2" spans="1:31" s="561" customFormat="1">
      <c r="A2" s="1" t="s">
        <v>732</v>
      </c>
      <c r="B2" s="2"/>
      <c r="C2" s="583"/>
      <c r="D2" s="583"/>
      <c r="E2" s="2"/>
      <c r="F2" s="3"/>
      <c r="G2" s="1169" t="s">
        <v>732</v>
      </c>
      <c r="H2" s="687"/>
      <c r="I2" s="687"/>
      <c r="J2" s="687"/>
      <c r="K2" s="687"/>
      <c r="L2" s="687"/>
      <c r="M2" s="687"/>
      <c r="O2" s="560"/>
      <c r="P2" s="560"/>
      <c r="Q2" s="560"/>
      <c r="R2" s="560"/>
      <c r="S2" s="560"/>
      <c r="T2" s="560"/>
      <c r="U2" s="560"/>
      <c r="V2" s="560"/>
      <c r="W2" s="560"/>
      <c r="X2" s="560"/>
      <c r="Y2" s="560"/>
      <c r="Z2" s="560"/>
      <c r="AA2" s="560"/>
      <c r="AB2" s="560"/>
      <c r="AC2" s="560"/>
      <c r="AD2" s="560"/>
      <c r="AE2" s="560"/>
    </row>
    <row r="3" spans="1:31" s="561" customFormat="1">
      <c r="A3" s="1" t="s">
        <v>259</v>
      </c>
      <c r="B3" s="2"/>
      <c r="C3" s="583"/>
      <c r="D3" s="583"/>
      <c r="E3" s="2"/>
      <c r="F3" s="3"/>
      <c r="G3" s="1169" t="s">
        <v>259</v>
      </c>
      <c r="H3" s="687"/>
      <c r="I3" s="687"/>
      <c r="J3" s="687"/>
      <c r="K3" s="687"/>
      <c r="L3" s="687"/>
      <c r="M3" s="687"/>
      <c r="O3" s="560"/>
      <c r="P3" s="560"/>
      <c r="Q3" s="560"/>
      <c r="R3" s="560"/>
      <c r="S3" s="560"/>
      <c r="T3" s="560"/>
      <c r="U3" s="560"/>
      <c r="V3" s="560"/>
      <c r="W3" s="560"/>
      <c r="X3" s="560"/>
      <c r="Y3" s="560"/>
      <c r="Z3" s="560"/>
      <c r="AA3" s="560"/>
      <c r="AB3" s="560"/>
      <c r="AC3" s="560"/>
      <c r="AD3" s="560"/>
      <c r="AE3" s="560"/>
    </row>
    <row r="4" spans="1:31" s="561" customFormat="1">
      <c r="A4" s="2"/>
      <c r="B4" s="2"/>
      <c r="C4" s="583"/>
      <c r="D4" s="583"/>
      <c r="E4" s="2"/>
      <c r="F4" s="3"/>
      <c r="G4" s="687"/>
      <c r="H4" s="687"/>
      <c r="I4" s="687"/>
      <c r="J4" s="687"/>
      <c r="K4" s="687"/>
      <c r="L4" s="687"/>
      <c r="M4" s="687"/>
      <c r="O4" s="560"/>
      <c r="P4" s="560"/>
      <c r="Q4" s="560"/>
      <c r="R4" s="560"/>
      <c r="S4" s="560"/>
      <c r="T4" s="560"/>
      <c r="U4" s="560"/>
      <c r="V4" s="560"/>
      <c r="W4" s="560"/>
      <c r="X4" s="560"/>
      <c r="Y4" s="560"/>
      <c r="Z4" s="560"/>
      <c r="AA4" s="560"/>
      <c r="AB4" s="560"/>
      <c r="AC4" s="560"/>
      <c r="AD4" s="560"/>
      <c r="AE4" s="560"/>
    </row>
    <row r="5" spans="1:31" s="561" customFormat="1" ht="16.2">
      <c r="A5" s="6" t="s">
        <v>697</v>
      </c>
      <c r="B5" s="2"/>
      <c r="C5" s="583"/>
      <c r="D5" s="583"/>
      <c r="E5" s="2"/>
      <c r="F5" s="3"/>
      <c r="G5" s="688" t="s">
        <v>696</v>
      </c>
      <c r="H5" s="687"/>
      <c r="I5" s="687"/>
      <c r="J5" s="687"/>
      <c r="K5" s="687"/>
      <c r="L5" s="687"/>
      <c r="M5" s="687"/>
      <c r="O5" s="560"/>
      <c r="P5" s="560"/>
      <c r="Q5" s="560"/>
      <c r="R5" s="560"/>
      <c r="S5" s="560"/>
      <c r="T5" s="560"/>
      <c r="U5" s="560"/>
      <c r="V5" s="560"/>
      <c r="W5" s="560"/>
      <c r="X5" s="560"/>
      <c r="Y5" s="560"/>
      <c r="Z5" s="560"/>
      <c r="AA5" s="560"/>
      <c r="AB5" s="560"/>
      <c r="AC5" s="560"/>
      <c r="AD5" s="560"/>
      <c r="AE5" s="560"/>
    </row>
    <row r="6" spans="1:31" s="561" customFormat="1">
      <c r="A6" s="2"/>
      <c r="B6" s="2"/>
      <c r="C6" s="583"/>
      <c r="D6" s="583"/>
      <c r="E6" s="2"/>
      <c r="F6" s="3"/>
      <c r="G6" s="687"/>
      <c r="H6" s="687"/>
      <c r="I6" s="687"/>
      <c r="J6" s="687"/>
      <c r="K6" s="687"/>
      <c r="L6" s="687"/>
      <c r="M6" s="687"/>
      <c r="O6" s="560"/>
      <c r="P6" s="560"/>
      <c r="Q6" s="560"/>
      <c r="R6" s="560"/>
      <c r="S6" s="560"/>
      <c r="T6" s="560"/>
      <c r="U6" s="560"/>
      <c r="V6" s="560"/>
      <c r="W6" s="560"/>
      <c r="X6" s="560"/>
      <c r="Y6" s="560"/>
      <c r="Z6" s="560"/>
      <c r="AA6" s="560"/>
      <c r="AB6" s="560"/>
      <c r="AC6" s="560"/>
      <c r="AD6" s="560"/>
      <c r="AE6" s="560"/>
    </row>
    <row r="7" spans="1:31" s="561" customFormat="1">
      <c r="A7" s="2"/>
      <c r="B7" s="2" t="s">
        <v>1678</v>
      </c>
      <c r="C7" s="583"/>
      <c r="D7" s="583"/>
      <c r="E7" s="2"/>
      <c r="F7" s="3"/>
      <c r="G7" s="687" t="s">
        <v>246</v>
      </c>
      <c r="H7" s="687" t="s">
        <v>1677</v>
      </c>
      <c r="I7" s="687"/>
      <c r="J7" s="687"/>
      <c r="K7" s="687"/>
      <c r="L7" s="687"/>
      <c r="M7" s="687"/>
      <c r="O7" s="560"/>
      <c r="P7" s="560"/>
      <c r="Q7" s="560"/>
      <c r="R7" s="560"/>
      <c r="S7" s="560"/>
      <c r="T7" s="560"/>
      <c r="U7" s="560"/>
      <c r="V7" s="560"/>
      <c r="W7" s="560"/>
      <c r="X7" s="560"/>
      <c r="Y7" s="560"/>
      <c r="Z7" s="560"/>
      <c r="AA7" s="560"/>
      <c r="AB7" s="560"/>
      <c r="AC7" s="560"/>
      <c r="AD7" s="560"/>
      <c r="AE7" s="560"/>
    </row>
    <row r="8" spans="1:31" s="561" customFormat="1">
      <c r="A8" s="2"/>
      <c r="B8" s="2"/>
      <c r="C8" s="583"/>
      <c r="D8" s="583"/>
      <c r="E8" s="2"/>
      <c r="F8" s="3"/>
      <c r="G8" s="687"/>
      <c r="H8" s="687" t="s">
        <v>1676</v>
      </c>
      <c r="I8" s="687"/>
      <c r="J8" s="687"/>
      <c r="K8" s="687"/>
      <c r="L8" s="687"/>
      <c r="M8" s="687"/>
      <c r="O8" s="560"/>
      <c r="P8" s="560"/>
      <c r="Q8" s="560"/>
      <c r="R8" s="560"/>
      <c r="S8" s="560"/>
      <c r="T8" s="560"/>
      <c r="U8" s="560"/>
      <c r="V8" s="560"/>
      <c r="W8" s="560"/>
      <c r="X8" s="560"/>
      <c r="Y8" s="560"/>
      <c r="Z8" s="560"/>
      <c r="AA8" s="560"/>
      <c r="AB8" s="560"/>
      <c r="AC8" s="560"/>
      <c r="AD8" s="560"/>
      <c r="AE8" s="560"/>
    </row>
    <row r="9" spans="1:31" s="561" customFormat="1">
      <c r="A9" s="2"/>
      <c r="B9" s="590" t="s">
        <v>51</v>
      </c>
      <c r="C9" s="1166">
        <v>0.06</v>
      </c>
      <c r="D9" s="587"/>
      <c r="E9" s="2"/>
      <c r="F9" s="3"/>
      <c r="G9" s="687"/>
      <c r="H9" s="687" t="s">
        <v>1675</v>
      </c>
      <c r="I9" s="687"/>
      <c r="J9" s="687"/>
      <c r="K9" s="687"/>
      <c r="L9" s="687"/>
      <c r="M9" s="687"/>
      <c r="O9" s="560"/>
      <c r="P9" s="560"/>
      <c r="Q9" s="560"/>
      <c r="R9" s="560"/>
      <c r="S9" s="560"/>
      <c r="T9" s="560"/>
      <c r="U9" s="560"/>
      <c r="V9" s="560"/>
      <c r="W9" s="560"/>
      <c r="X9" s="560"/>
      <c r="Y9" s="560"/>
      <c r="Z9" s="560"/>
      <c r="AA9" s="560"/>
      <c r="AB9" s="560"/>
      <c r="AC9" s="560"/>
      <c r="AD9" s="560"/>
      <c r="AE9" s="560"/>
    </row>
    <row r="10" spans="1:31" s="561" customFormat="1">
      <c r="A10" s="2"/>
      <c r="B10" s="590" t="s">
        <v>1674</v>
      </c>
      <c r="C10" s="1166">
        <v>5.5E-2</v>
      </c>
      <c r="D10" s="587"/>
      <c r="E10" s="2"/>
      <c r="F10" s="3"/>
      <c r="G10" s="687"/>
      <c r="H10" s="687"/>
      <c r="I10" s="687"/>
      <c r="J10" s="687"/>
      <c r="K10" s="687"/>
      <c r="L10" s="687"/>
      <c r="M10" s="687"/>
      <c r="O10" s="560"/>
      <c r="P10" s="560"/>
      <c r="Q10" s="560"/>
      <c r="R10" s="560"/>
      <c r="S10" s="560"/>
      <c r="T10" s="560"/>
      <c r="U10" s="560"/>
      <c r="V10" s="560"/>
      <c r="W10" s="560"/>
      <c r="X10" s="560"/>
      <c r="Y10" s="560"/>
      <c r="Z10" s="560"/>
      <c r="AA10" s="560"/>
      <c r="AB10" s="560"/>
      <c r="AC10" s="560"/>
      <c r="AD10" s="560"/>
      <c r="AE10" s="560"/>
    </row>
    <row r="11" spans="1:31" s="561" customFormat="1">
      <c r="A11" s="2"/>
      <c r="B11" s="590" t="s">
        <v>1673</v>
      </c>
      <c r="C11" s="1166">
        <v>0.03</v>
      </c>
      <c r="D11" s="587"/>
      <c r="E11" s="2"/>
      <c r="F11" s="3"/>
      <c r="G11" s="687"/>
      <c r="H11" s="687" t="s">
        <v>683</v>
      </c>
      <c r="I11" s="687"/>
      <c r="J11" s="687"/>
      <c r="K11" s="687"/>
      <c r="L11" s="687"/>
      <c r="M11" s="687"/>
      <c r="O11" s="560"/>
      <c r="P11" s="560"/>
      <c r="Q11" s="560"/>
      <c r="R11" s="560"/>
      <c r="S11" s="560"/>
      <c r="T11" s="560"/>
      <c r="U11" s="560"/>
      <c r="V11" s="560"/>
      <c r="W11" s="560"/>
      <c r="X11" s="560"/>
      <c r="Y11" s="560"/>
      <c r="Z11" s="560"/>
      <c r="AA11" s="560"/>
      <c r="AB11" s="560"/>
      <c r="AC11" s="560"/>
      <c r="AD11" s="560"/>
      <c r="AE11" s="560"/>
    </row>
    <row r="12" spans="1:31" s="561" customFormat="1">
      <c r="A12" s="2"/>
      <c r="B12" s="590" t="s">
        <v>1672</v>
      </c>
      <c r="C12" s="590">
        <v>12</v>
      </c>
      <c r="D12" s="586"/>
      <c r="E12" s="2"/>
      <c r="F12" s="3"/>
      <c r="G12" s="687"/>
      <c r="H12" s="687"/>
      <c r="I12" s="687"/>
      <c r="J12" s="687"/>
      <c r="K12" s="687"/>
      <c r="L12" s="687"/>
      <c r="M12" s="687"/>
      <c r="O12" s="560"/>
      <c r="P12" s="560"/>
      <c r="Q12" s="560"/>
      <c r="R12" s="560"/>
      <c r="S12" s="560"/>
      <c r="T12" s="560"/>
      <c r="U12" s="560"/>
      <c r="V12" s="560"/>
      <c r="W12" s="560"/>
      <c r="X12" s="560"/>
      <c r="Y12" s="560"/>
      <c r="Z12" s="560"/>
      <c r="AA12" s="560"/>
      <c r="AB12" s="560"/>
      <c r="AC12" s="560"/>
      <c r="AD12" s="560"/>
      <c r="AE12" s="560"/>
    </row>
    <row r="13" spans="1:31" s="561" customFormat="1">
      <c r="A13" s="2"/>
      <c r="B13" s="590" t="s">
        <v>1202</v>
      </c>
      <c r="C13" s="590">
        <v>20</v>
      </c>
      <c r="D13" s="586"/>
      <c r="E13" s="2"/>
      <c r="F13" s="3"/>
      <c r="G13" s="560"/>
      <c r="H13" s="560"/>
      <c r="I13" s="560"/>
      <c r="J13" s="560"/>
      <c r="K13" s="560"/>
      <c r="L13" s="560"/>
      <c r="M13" s="560"/>
      <c r="O13" s="560"/>
      <c r="P13" s="560"/>
      <c r="Q13" s="560"/>
      <c r="R13" s="560"/>
      <c r="S13" s="560"/>
      <c r="T13" s="560"/>
      <c r="U13" s="560"/>
      <c r="V13" s="560"/>
      <c r="W13" s="560"/>
      <c r="X13" s="560"/>
      <c r="Y13" s="560"/>
      <c r="Z13" s="560"/>
      <c r="AA13" s="560"/>
      <c r="AB13" s="560"/>
      <c r="AC13" s="560"/>
      <c r="AD13" s="560"/>
      <c r="AE13" s="560"/>
    </row>
    <row r="14" spans="1:31" s="561" customFormat="1">
      <c r="A14" s="2"/>
      <c r="B14" s="590" t="s">
        <v>1671</v>
      </c>
      <c r="C14" s="694">
        <v>25650000</v>
      </c>
      <c r="D14" s="1165"/>
      <c r="E14" s="2"/>
      <c r="F14" s="3"/>
      <c r="G14" s="560"/>
      <c r="H14" s="603"/>
      <c r="I14" s="560"/>
      <c r="J14" s="560"/>
      <c r="K14" s="560"/>
      <c r="L14" s="560"/>
      <c r="M14" s="560"/>
      <c r="O14" s="560"/>
      <c r="P14" s="560"/>
      <c r="Q14" s="560"/>
      <c r="R14" s="560"/>
      <c r="S14" s="560"/>
      <c r="T14" s="560"/>
      <c r="U14" s="560"/>
      <c r="V14" s="560"/>
      <c r="W14" s="560"/>
      <c r="X14" s="560"/>
      <c r="Y14" s="560"/>
      <c r="Z14" s="560"/>
      <c r="AA14" s="560"/>
      <c r="AB14" s="560"/>
      <c r="AC14" s="560"/>
      <c r="AD14" s="560"/>
      <c r="AE14" s="560"/>
    </row>
    <row r="15" spans="1:31" s="561" customFormat="1">
      <c r="A15" s="2"/>
      <c r="B15" s="590" t="s">
        <v>768</v>
      </c>
      <c r="C15" s="694">
        <v>26200000</v>
      </c>
      <c r="D15" s="1165"/>
      <c r="E15" s="2"/>
      <c r="F15" s="3"/>
      <c r="G15" s="560"/>
      <c r="H15" s="1134" t="s">
        <v>1566</v>
      </c>
      <c r="I15" s="560"/>
      <c r="J15" s="1163"/>
      <c r="K15" s="1163"/>
      <c r="L15" s="1162"/>
      <c r="M15" s="560"/>
      <c r="O15" s="560"/>
      <c r="P15" s="560"/>
      <c r="Q15" s="560"/>
      <c r="R15" s="560"/>
      <c r="S15" s="560"/>
      <c r="T15" s="560"/>
      <c r="U15" s="560"/>
      <c r="V15" s="560"/>
      <c r="W15" s="560"/>
      <c r="X15" s="560"/>
      <c r="Y15" s="560"/>
      <c r="Z15" s="560"/>
      <c r="AA15" s="560"/>
      <c r="AB15" s="560"/>
      <c r="AC15" s="560"/>
      <c r="AD15" s="560"/>
      <c r="AE15" s="560"/>
    </row>
    <row r="16" spans="1:31" s="561" customFormat="1">
      <c r="A16" s="2"/>
      <c r="B16" s="590" t="s">
        <v>1670</v>
      </c>
      <c r="C16" s="694">
        <v>670000</v>
      </c>
      <c r="D16" s="1165"/>
      <c r="E16" s="2"/>
      <c r="F16" s="3"/>
      <c r="G16" s="560"/>
      <c r="H16" s="560" t="s">
        <v>1704</v>
      </c>
      <c r="I16" s="560"/>
      <c r="J16" s="981">
        <f>C14</f>
        <v>25650000</v>
      </c>
      <c r="K16" s="560"/>
      <c r="L16" s="560"/>
      <c r="M16" s="560"/>
      <c r="O16" s="560"/>
      <c r="P16" s="560"/>
      <c r="Q16" s="560"/>
      <c r="R16" s="560"/>
      <c r="S16" s="560"/>
      <c r="T16" s="560"/>
      <c r="U16" s="560"/>
      <c r="V16" s="560"/>
      <c r="W16" s="560"/>
      <c r="X16" s="560"/>
      <c r="Y16" s="560"/>
      <c r="Z16" s="560"/>
      <c r="AA16" s="560"/>
      <c r="AB16" s="560"/>
      <c r="AC16" s="560"/>
      <c r="AD16" s="560"/>
      <c r="AE16" s="560"/>
    </row>
    <row r="17" spans="1:31" s="561" customFormat="1">
      <c r="A17" s="2"/>
      <c r="B17" s="590" t="s">
        <v>1464</v>
      </c>
      <c r="C17" s="694">
        <v>1180000</v>
      </c>
      <c r="D17" s="1165"/>
      <c r="E17" s="2"/>
      <c r="F17" s="3"/>
      <c r="G17" s="560"/>
      <c r="H17" s="560" t="s">
        <v>1218</v>
      </c>
      <c r="I17" s="560"/>
      <c r="J17" s="1163">
        <f>C16</f>
        <v>670000</v>
      </c>
      <c r="K17" s="1163"/>
      <c r="L17" s="1162"/>
      <c r="M17" s="560"/>
      <c r="O17" s="560"/>
      <c r="P17" s="560"/>
      <c r="Q17" s="560"/>
      <c r="R17" s="560"/>
      <c r="S17" s="560"/>
      <c r="T17" s="560"/>
      <c r="U17" s="560"/>
      <c r="V17" s="560"/>
      <c r="W17" s="560"/>
      <c r="X17" s="560"/>
      <c r="Y17" s="560"/>
      <c r="Z17" s="560"/>
      <c r="AA17" s="560"/>
      <c r="AB17" s="560"/>
      <c r="AC17" s="560"/>
      <c r="AD17" s="560"/>
      <c r="AE17" s="560"/>
    </row>
    <row r="18" spans="1:31" s="561" customFormat="1">
      <c r="A18" s="2"/>
      <c r="B18" s="590" t="s">
        <v>1463</v>
      </c>
      <c r="C18" s="694">
        <v>1540000</v>
      </c>
      <c r="D18" s="1165"/>
      <c r="E18" s="2"/>
      <c r="F18" s="3"/>
      <c r="G18" s="560"/>
      <c r="H18" s="560" t="s">
        <v>543</v>
      </c>
      <c r="I18" s="560"/>
      <c r="J18" s="1163">
        <f>-C17</f>
        <v>-1180000</v>
      </c>
      <c r="K18" s="1163"/>
      <c r="L18" s="1162"/>
      <c r="M18" s="560"/>
      <c r="O18" s="560"/>
      <c r="P18" s="560"/>
      <c r="Q18" s="560"/>
      <c r="R18" s="560"/>
      <c r="S18" s="560"/>
      <c r="T18" s="560"/>
      <c r="U18" s="560"/>
      <c r="V18" s="560"/>
      <c r="W18" s="560"/>
      <c r="X18" s="560"/>
      <c r="Y18" s="560"/>
      <c r="Z18" s="560"/>
      <c r="AA18" s="560"/>
      <c r="AB18" s="560"/>
      <c r="AC18" s="560"/>
      <c r="AD18" s="560"/>
      <c r="AE18" s="560"/>
    </row>
    <row r="19" spans="1:31" s="561" customFormat="1">
      <c r="A19" s="2"/>
      <c r="B19" s="590" t="s">
        <v>1669</v>
      </c>
      <c r="C19" s="694">
        <v>2200000</v>
      </c>
      <c r="D19" s="1165"/>
      <c r="E19" s="2"/>
      <c r="F19" s="3"/>
      <c r="G19" s="560"/>
      <c r="H19" s="560" t="s">
        <v>1217</v>
      </c>
      <c r="I19" s="560"/>
      <c r="J19" s="870">
        <f>(J16+J17+J18/2)*C9</f>
        <v>1543800</v>
      </c>
      <c r="K19" s="1163"/>
      <c r="L19" s="1162"/>
      <c r="M19" s="560"/>
      <c r="O19" s="560"/>
      <c r="P19" s="560"/>
      <c r="Q19" s="560"/>
      <c r="R19" s="560"/>
      <c r="S19" s="560"/>
      <c r="T19" s="560"/>
      <c r="U19" s="560"/>
      <c r="V19" s="560"/>
      <c r="W19" s="560"/>
      <c r="X19" s="560"/>
      <c r="Y19" s="560"/>
      <c r="Z19" s="560"/>
      <c r="AA19" s="560"/>
      <c r="AB19" s="560"/>
      <c r="AC19" s="560"/>
      <c r="AD19" s="560"/>
      <c r="AE19" s="560"/>
    </row>
    <row r="20" spans="1:31" s="561" customFormat="1">
      <c r="A20" s="2"/>
      <c r="B20" s="590" t="s">
        <v>758</v>
      </c>
      <c r="C20" s="590">
        <v>14</v>
      </c>
      <c r="D20" s="586"/>
      <c r="E20" s="2"/>
      <c r="F20" s="3"/>
      <c r="G20" s="560"/>
      <c r="H20" s="560" t="s">
        <v>1703</v>
      </c>
      <c r="I20" s="560"/>
      <c r="J20" s="981">
        <f>SUM(J16:J19)</f>
        <v>26683800</v>
      </c>
      <c r="K20" s="981"/>
      <c r="L20" s="1162"/>
      <c r="M20" s="560"/>
      <c r="O20" s="560"/>
      <c r="P20" s="560"/>
      <c r="Q20" s="560"/>
      <c r="R20" s="560"/>
      <c r="S20" s="560"/>
      <c r="T20" s="560"/>
      <c r="U20" s="560"/>
      <c r="V20" s="560"/>
      <c r="W20" s="560"/>
      <c r="X20" s="560"/>
      <c r="Y20" s="560"/>
      <c r="Z20" s="560"/>
      <c r="AA20" s="560"/>
      <c r="AB20" s="560"/>
      <c r="AC20" s="560"/>
      <c r="AD20" s="560"/>
      <c r="AE20" s="560"/>
    </row>
    <row r="21" spans="1:31" s="561" customFormat="1">
      <c r="A21" s="2"/>
      <c r="B21" s="2"/>
      <c r="C21" s="583"/>
      <c r="D21" s="583"/>
      <c r="E21" s="2"/>
      <c r="F21" s="3"/>
      <c r="G21" s="560"/>
      <c r="H21" s="560" t="s">
        <v>1490</v>
      </c>
      <c r="I21" s="560"/>
      <c r="J21" s="870">
        <f>J20*((1+C12/100)^((C9-C32)*100)-1)</f>
        <v>5669479.931093487</v>
      </c>
      <c r="K21" s="560"/>
      <c r="L21" s="560"/>
      <c r="M21" s="560"/>
      <c r="O21" s="560"/>
      <c r="P21" s="560"/>
      <c r="Q21" s="560"/>
      <c r="R21" s="560"/>
      <c r="S21" s="560"/>
      <c r="T21" s="560"/>
      <c r="U21" s="560"/>
      <c r="V21" s="560"/>
      <c r="W21" s="560"/>
      <c r="X21" s="560"/>
      <c r="Y21" s="560"/>
      <c r="Z21" s="560"/>
      <c r="AA21" s="560"/>
      <c r="AB21" s="560"/>
      <c r="AC21" s="560"/>
      <c r="AD21" s="560"/>
      <c r="AE21" s="560"/>
    </row>
    <row r="22" spans="1:31" s="561" customFormat="1" ht="16.2">
      <c r="A22" s="2"/>
      <c r="B22" s="585" t="s">
        <v>1668</v>
      </c>
      <c r="C22" s="583"/>
      <c r="D22" s="583"/>
      <c r="E22" s="2"/>
      <c r="F22" s="3"/>
      <c r="G22" s="560"/>
      <c r="H22" s="560" t="s">
        <v>1702</v>
      </c>
      <c r="I22" s="560"/>
      <c r="J22" s="981">
        <f>SUM(J20:J21)</f>
        <v>32353279.931093488</v>
      </c>
      <c r="K22" s="1167"/>
      <c r="L22" s="560"/>
      <c r="M22" s="560"/>
      <c r="O22" s="560"/>
      <c r="P22" s="560"/>
      <c r="Q22" s="560"/>
      <c r="R22" s="560"/>
      <c r="S22" s="560"/>
      <c r="T22" s="560"/>
      <c r="U22" s="560"/>
      <c r="V22" s="560"/>
      <c r="W22" s="560"/>
      <c r="X22" s="560"/>
      <c r="Y22" s="560"/>
      <c r="Z22" s="560"/>
      <c r="AA22" s="560"/>
      <c r="AB22" s="560"/>
      <c r="AC22" s="560"/>
      <c r="AD22" s="560"/>
      <c r="AE22" s="560"/>
    </row>
    <row r="23" spans="1:31" s="561" customFormat="1" ht="16.2">
      <c r="A23" s="2"/>
      <c r="B23" s="1168" t="s">
        <v>1667</v>
      </c>
      <c r="C23" s="583"/>
      <c r="D23" s="583"/>
      <c r="E23" s="2"/>
      <c r="F23" s="3"/>
      <c r="G23" s="560"/>
      <c r="H23" s="560"/>
      <c r="I23" s="560"/>
      <c r="J23" s="1167"/>
      <c r="K23" s="1167"/>
      <c r="L23" s="560"/>
      <c r="M23" s="560"/>
      <c r="O23" s="560"/>
      <c r="P23" s="560"/>
      <c r="Q23" s="560"/>
      <c r="R23" s="560"/>
      <c r="S23" s="560"/>
      <c r="T23" s="560"/>
      <c r="U23" s="560"/>
      <c r="V23" s="560"/>
      <c r="W23" s="560"/>
      <c r="X23" s="560"/>
      <c r="Y23" s="560"/>
      <c r="Z23" s="560"/>
      <c r="AA23" s="560"/>
      <c r="AB23" s="560"/>
      <c r="AC23" s="560"/>
      <c r="AD23" s="560"/>
      <c r="AE23" s="560"/>
    </row>
    <row r="24" spans="1:31" s="561" customFormat="1" ht="16.2">
      <c r="A24" s="2"/>
      <c r="B24" s="1168" t="s">
        <v>1666</v>
      </c>
      <c r="C24" s="583"/>
      <c r="D24" s="583"/>
      <c r="E24" s="2"/>
      <c r="F24" s="3"/>
      <c r="G24" s="560"/>
      <c r="H24" s="1134" t="s">
        <v>1701</v>
      </c>
      <c r="I24" s="560"/>
      <c r="J24" s="1167"/>
      <c r="K24" s="1167"/>
      <c r="L24" s="560"/>
      <c r="M24" s="560"/>
      <c r="O24" s="560"/>
      <c r="P24" s="560"/>
      <c r="Q24" s="560"/>
      <c r="R24" s="560"/>
      <c r="S24" s="560"/>
      <c r="T24" s="560"/>
      <c r="U24" s="560"/>
      <c r="V24" s="560"/>
      <c r="W24" s="560"/>
      <c r="X24" s="560"/>
      <c r="Y24" s="560"/>
      <c r="Z24" s="560"/>
      <c r="AA24" s="560"/>
      <c r="AB24" s="560"/>
      <c r="AC24" s="560"/>
      <c r="AD24" s="560"/>
      <c r="AE24" s="560"/>
    </row>
    <row r="25" spans="1:31" s="561" customFormat="1" ht="16.2">
      <c r="A25" s="2"/>
      <c r="B25" s="1168" t="s">
        <v>1665</v>
      </c>
      <c r="C25" s="583"/>
      <c r="D25" s="583"/>
      <c r="E25" s="2"/>
      <c r="F25" s="3"/>
      <c r="G25" s="560"/>
      <c r="H25" s="560" t="s">
        <v>1700</v>
      </c>
      <c r="I25" s="560"/>
      <c r="J25" s="732">
        <f>C16*(1+$C$11)</f>
        <v>690100</v>
      </c>
      <c r="K25" s="1167"/>
      <c r="L25" s="560"/>
      <c r="M25" s="560"/>
      <c r="O25" s="560"/>
      <c r="P25" s="560"/>
      <c r="Q25" s="560"/>
      <c r="R25" s="560"/>
      <c r="S25" s="560"/>
      <c r="T25" s="560"/>
      <c r="U25" s="560"/>
      <c r="V25" s="560"/>
      <c r="W25" s="560"/>
      <c r="X25" s="560"/>
      <c r="Y25" s="560"/>
      <c r="Z25" s="560"/>
      <c r="AA25" s="560"/>
      <c r="AB25" s="560"/>
      <c r="AC25" s="560"/>
      <c r="AD25" s="560"/>
      <c r="AE25" s="560"/>
    </row>
    <row r="26" spans="1:31" s="561" customFormat="1" ht="16.2">
      <c r="A26" s="2"/>
      <c r="B26" s="1168" t="s">
        <v>1664</v>
      </c>
      <c r="C26" s="583"/>
      <c r="D26" s="583"/>
      <c r="E26" s="2"/>
      <c r="F26" s="3"/>
      <c r="G26" s="560"/>
      <c r="H26" s="560" t="s">
        <v>1699</v>
      </c>
      <c r="I26" s="560"/>
      <c r="J26" s="732">
        <f>J25*(1+C13/100)^((C9-C32)*100)</f>
        <v>940849.47235794354</v>
      </c>
      <c r="K26" s="1167"/>
      <c r="L26" s="560"/>
      <c r="M26" s="560"/>
      <c r="O26" s="560"/>
      <c r="P26" s="560"/>
      <c r="Q26" s="560"/>
      <c r="R26" s="560"/>
      <c r="S26" s="560"/>
      <c r="T26" s="560"/>
      <c r="U26" s="560"/>
      <c r="V26" s="560"/>
      <c r="W26" s="560"/>
      <c r="X26" s="560"/>
      <c r="Y26" s="560"/>
      <c r="Z26" s="560"/>
      <c r="AA26" s="560"/>
      <c r="AB26" s="560"/>
      <c r="AC26" s="560"/>
      <c r="AD26" s="560"/>
      <c r="AE26" s="560"/>
    </row>
    <row r="27" spans="1:31" s="561" customFormat="1" ht="16.2">
      <c r="A27" s="2"/>
      <c r="B27" s="2"/>
      <c r="C27" s="583"/>
      <c r="D27" s="583"/>
      <c r="E27" s="2"/>
      <c r="F27" s="3"/>
      <c r="G27" s="560"/>
      <c r="H27" s="560" t="s">
        <v>1698</v>
      </c>
      <c r="I27" s="560"/>
      <c r="J27" s="732">
        <f>C17*(1+$C$11)</f>
        <v>1215400</v>
      </c>
      <c r="K27" s="1167"/>
      <c r="L27" s="560"/>
      <c r="M27" s="560"/>
      <c r="O27" s="560"/>
      <c r="P27" s="560"/>
      <c r="Q27" s="560"/>
      <c r="R27" s="560"/>
      <c r="S27" s="560"/>
      <c r="T27" s="560"/>
      <c r="U27" s="560"/>
      <c r="V27" s="560"/>
      <c r="W27" s="560"/>
      <c r="X27" s="560"/>
      <c r="Y27" s="560"/>
      <c r="Z27" s="560"/>
      <c r="AA27" s="560"/>
      <c r="AB27" s="560"/>
      <c r="AC27" s="560"/>
      <c r="AD27" s="560"/>
      <c r="AE27" s="560"/>
    </row>
    <row r="28" spans="1:31" s="561" customFormat="1" ht="16.2">
      <c r="A28" s="2"/>
      <c r="B28" s="585" t="s">
        <v>1663</v>
      </c>
      <c r="C28" s="583"/>
      <c r="D28" s="583"/>
      <c r="E28" s="2"/>
      <c r="F28" s="3"/>
      <c r="G28" s="560"/>
      <c r="H28" s="560" t="s">
        <v>1697</v>
      </c>
      <c r="I28" s="560"/>
      <c r="J28" s="732">
        <f>C18*(1+$C$11)</f>
        <v>1586200</v>
      </c>
      <c r="K28" s="1167"/>
      <c r="L28" s="560"/>
      <c r="M28" s="560"/>
      <c r="O28" s="560"/>
      <c r="P28" s="560"/>
      <c r="Q28" s="560"/>
      <c r="R28" s="560"/>
      <c r="S28" s="560"/>
      <c r="T28" s="560"/>
      <c r="U28" s="560"/>
      <c r="V28" s="560"/>
      <c r="W28" s="560"/>
      <c r="X28" s="560"/>
      <c r="Y28" s="560"/>
      <c r="Z28" s="560"/>
      <c r="AA28" s="560"/>
      <c r="AB28" s="560"/>
      <c r="AC28" s="560"/>
      <c r="AD28" s="560"/>
      <c r="AE28" s="560"/>
    </row>
    <row r="29" spans="1:31" s="561" customFormat="1" ht="16.2">
      <c r="A29" s="2"/>
      <c r="B29" s="585"/>
      <c r="C29" s="583"/>
      <c r="D29" s="583"/>
      <c r="E29" s="2"/>
      <c r="F29" s="3"/>
      <c r="G29" s="560"/>
      <c r="H29" s="560"/>
      <c r="I29" s="560"/>
      <c r="J29" s="1167"/>
      <c r="K29" s="1167"/>
      <c r="L29" s="560"/>
      <c r="M29" s="560"/>
      <c r="O29" s="560"/>
      <c r="P29" s="560"/>
      <c r="Q29" s="560"/>
      <c r="R29" s="560"/>
      <c r="S29" s="560"/>
      <c r="T29" s="560"/>
      <c r="U29" s="560"/>
      <c r="V29" s="560"/>
      <c r="W29" s="560"/>
      <c r="X29" s="560"/>
      <c r="Y29" s="560"/>
      <c r="Z29" s="560"/>
      <c r="AA29" s="560"/>
      <c r="AB29" s="560"/>
      <c r="AC29" s="560"/>
      <c r="AD29" s="560"/>
      <c r="AE29" s="560"/>
    </row>
    <row r="30" spans="1:31" s="561" customFormat="1" ht="16.2">
      <c r="A30" s="2"/>
      <c r="B30" s="585" t="s">
        <v>1662</v>
      </c>
      <c r="C30" s="583"/>
      <c r="D30" s="583"/>
      <c r="E30" s="2"/>
      <c r="F30" s="3"/>
      <c r="G30" s="560"/>
      <c r="H30" s="1134" t="s">
        <v>1696</v>
      </c>
      <c r="I30" s="560"/>
      <c r="J30" s="1173" t="s">
        <v>1683</v>
      </c>
      <c r="K30" s="1167"/>
      <c r="L30" s="560"/>
      <c r="M30" s="560"/>
      <c r="O30" s="560"/>
      <c r="P30" s="560"/>
      <c r="Q30" s="560"/>
      <c r="R30" s="560"/>
      <c r="S30" s="560"/>
      <c r="T30" s="560"/>
      <c r="U30" s="560"/>
      <c r="V30" s="560"/>
      <c r="W30" s="560"/>
      <c r="X30" s="560"/>
      <c r="Y30" s="560"/>
      <c r="Z30" s="560"/>
      <c r="AA30" s="560"/>
      <c r="AB30" s="560"/>
      <c r="AC30" s="560"/>
      <c r="AD30" s="560"/>
      <c r="AE30" s="560"/>
    </row>
    <row r="31" spans="1:31" s="561" customFormat="1" ht="16.2">
      <c r="A31" s="2"/>
      <c r="B31" s="2"/>
      <c r="C31" s="583"/>
      <c r="D31" s="583"/>
      <c r="E31" s="2"/>
      <c r="F31" s="3"/>
      <c r="G31" s="560"/>
      <c r="H31" s="603" t="s">
        <v>1695</v>
      </c>
      <c r="I31" s="560"/>
      <c r="J31" s="1167"/>
      <c r="K31" s="1167"/>
      <c r="L31" s="560"/>
      <c r="M31" s="560"/>
      <c r="O31" s="560"/>
      <c r="P31" s="560"/>
      <c r="Q31" s="560"/>
      <c r="R31" s="560"/>
      <c r="S31" s="560"/>
      <c r="T31" s="560"/>
      <c r="U31" s="560"/>
      <c r="V31" s="560"/>
      <c r="W31" s="560"/>
      <c r="X31" s="560"/>
      <c r="Y31" s="560"/>
      <c r="Z31" s="560"/>
      <c r="AA31" s="560"/>
      <c r="AB31" s="560"/>
      <c r="AC31" s="560"/>
      <c r="AD31" s="560"/>
      <c r="AE31" s="560"/>
    </row>
    <row r="32" spans="1:31" s="561" customFormat="1">
      <c r="A32" s="2"/>
      <c r="B32" s="590" t="s">
        <v>51</v>
      </c>
      <c r="C32" s="1166">
        <v>4.2999999999999997E-2</v>
      </c>
      <c r="D32" s="587"/>
      <c r="E32" s="2"/>
      <c r="F32" s="3"/>
      <c r="G32" s="560"/>
      <c r="H32" s="560" t="s">
        <v>1694</v>
      </c>
      <c r="I32" s="560"/>
      <c r="J32" s="1163">
        <f>C15</f>
        <v>26200000</v>
      </c>
      <c r="K32" s="1163"/>
      <c r="L32" s="1162"/>
      <c r="M32" s="560"/>
      <c r="O32" s="560"/>
      <c r="P32" s="560"/>
      <c r="Q32" s="560"/>
      <c r="R32" s="560"/>
      <c r="S32" s="560"/>
      <c r="T32" s="560"/>
      <c r="U32" s="560"/>
      <c r="V32" s="560"/>
      <c r="W32" s="560"/>
      <c r="X32" s="560"/>
      <c r="Y32" s="560"/>
      <c r="Z32" s="560"/>
      <c r="AA32" s="560"/>
      <c r="AB32" s="560"/>
      <c r="AC32" s="560"/>
      <c r="AD32" s="560"/>
      <c r="AE32" s="560"/>
    </row>
    <row r="33" spans="1:31" s="561" customFormat="1">
      <c r="A33" s="2"/>
      <c r="B33" s="590" t="s">
        <v>1661</v>
      </c>
      <c r="C33" s="1166">
        <v>5.5E-2</v>
      </c>
      <c r="D33" s="587"/>
      <c r="E33" s="2"/>
      <c r="F33" s="3"/>
      <c r="G33" s="560"/>
      <c r="H33" s="560" t="s">
        <v>113</v>
      </c>
      <c r="I33" s="560"/>
      <c r="J33" s="1163">
        <f>C18</f>
        <v>1540000</v>
      </c>
      <c r="K33" s="1163"/>
      <c r="L33" s="560"/>
      <c r="M33" s="560"/>
      <c r="O33" s="560"/>
      <c r="P33" s="560"/>
      <c r="Q33" s="560"/>
      <c r="R33" s="560"/>
      <c r="S33" s="560"/>
      <c r="T33" s="560"/>
      <c r="U33" s="560"/>
      <c r="V33" s="560"/>
      <c r="W33" s="560"/>
      <c r="X33" s="560"/>
      <c r="Y33" s="560"/>
      <c r="Z33" s="560"/>
      <c r="AA33" s="560"/>
      <c r="AB33" s="560"/>
      <c r="AC33" s="560"/>
      <c r="AD33" s="560"/>
      <c r="AE33" s="560"/>
    </row>
    <row r="34" spans="1:31" s="561" customFormat="1">
      <c r="A34" s="594"/>
      <c r="B34" s="590" t="s">
        <v>768</v>
      </c>
      <c r="C34" s="694">
        <v>24300000</v>
      </c>
      <c r="D34" s="1165"/>
      <c r="E34" s="2"/>
      <c r="F34" s="3"/>
      <c r="G34" s="560"/>
      <c r="H34" s="560" t="s">
        <v>543</v>
      </c>
      <c r="I34" s="560"/>
      <c r="J34" s="1024">
        <f>-C17</f>
        <v>-1180000</v>
      </c>
      <c r="K34" s="560"/>
      <c r="L34" s="560"/>
      <c r="M34" s="560"/>
      <c r="O34" s="560"/>
      <c r="P34" s="560"/>
      <c r="Q34" s="560"/>
      <c r="R34" s="560"/>
      <c r="S34" s="560"/>
      <c r="T34" s="560"/>
      <c r="U34" s="560"/>
      <c r="V34" s="560"/>
      <c r="W34" s="560"/>
      <c r="X34" s="560"/>
      <c r="Y34" s="560"/>
      <c r="Z34" s="560"/>
      <c r="AA34" s="560"/>
      <c r="AB34" s="560"/>
      <c r="AC34" s="560"/>
      <c r="AD34" s="560"/>
      <c r="AE34" s="560"/>
    </row>
    <row r="35" spans="1:31" s="561" customFormat="1">
      <c r="A35" s="2"/>
      <c r="B35" s="590" t="s">
        <v>758</v>
      </c>
      <c r="C35" s="590">
        <v>13</v>
      </c>
      <c r="D35" s="586"/>
      <c r="E35" s="2"/>
      <c r="F35" s="3"/>
      <c r="G35" s="560"/>
      <c r="H35" s="560" t="s">
        <v>1144</v>
      </c>
      <c r="I35" s="560"/>
      <c r="J35" s="870">
        <f>(J32+J33/2+J34/2)*C10</f>
        <v>1450900</v>
      </c>
      <c r="K35" s="560"/>
      <c r="L35" s="560"/>
      <c r="M35" s="560"/>
      <c r="O35" s="560"/>
      <c r="P35" s="560"/>
      <c r="Q35" s="560"/>
      <c r="R35" s="560"/>
      <c r="S35" s="560"/>
      <c r="T35" s="560"/>
      <c r="U35" s="560"/>
      <c r="V35" s="560"/>
      <c r="W35" s="560"/>
      <c r="X35" s="560"/>
      <c r="Y35" s="560"/>
      <c r="Z35" s="560"/>
      <c r="AA35" s="560"/>
      <c r="AB35" s="560"/>
      <c r="AC35" s="560"/>
      <c r="AD35" s="560"/>
      <c r="AE35" s="560"/>
    </row>
    <row r="36" spans="1:31" s="561" customFormat="1">
      <c r="A36" s="2"/>
      <c r="B36" s="2"/>
      <c r="C36" s="583"/>
      <c r="D36" s="583"/>
      <c r="E36" s="2"/>
      <c r="F36" s="3"/>
      <c r="G36" s="560"/>
      <c r="H36" s="560" t="s">
        <v>1693</v>
      </c>
      <c r="I36" s="560"/>
      <c r="J36" s="981">
        <f>SUM(J32:J35)</f>
        <v>28010900</v>
      </c>
      <c r="K36" s="560"/>
      <c r="L36" s="560"/>
      <c r="M36" s="560"/>
      <c r="O36" s="560"/>
      <c r="P36" s="560"/>
      <c r="Q36" s="560"/>
      <c r="R36" s="560"/>
      <c r="S36" s="560"/>
      <c r="T36" s="560"/>
      <c r="U36" s="560"/>
      <c r="V36" s="560"/>
      <c r="W36" s="560"/>
      <c r="X36" s="560"/>
      <c r="Y36" s="560"/>
      <c r="Z36" s="560"/>
      <c r="AA36" s="560"/>
      <c r="AB36" s="560"/>
      <c r="AC36" s="560"/>
      <c r="AD36" s="560"/>
      <c r="AE36" s="560"/>
    </row>
    <row r="37" spans="1:31" s="561" customFormat="1">
      <c r="A37" s="2"/>
      <c r="B37" s="2"/>
      <c r="C37" s="583"/>
      <c r="D37" s="583"/>
      <c r="E37" s="2"/>
      <c r="F37" s="3"/>
      <c r="G37" s="560"/>
      <c r="H37" s="560" t="s">
        <v>1692</v>
      </c>
      <c r="I37" s="560"/>
      <c r="J37" s="1024">
        <f>C34</f>
        <v>24300000</v>
      </c>
      <c r="K37" s="560"/>
      <c r="L37" s="560"/>
      <c r="M37" s="560"/>
      <c r="O37" s="560"/>
      <c r="P37" s="560"/>
      <c r="Q37" s="560"/>
      <c r="R37" s="560"/>
      <c r="S37" s="560"/>
      <c r="T37" s="560"/>
      <c r="U37" s="560"/>
      <c r="V37" s="560"/>
      <c r="W37" s="560"/>
      <c r="X37" s="560"/>
      <c r="Y37" s="560"/>
      <c r="Z37" s="560"/>
      <c r="AA37" s="560"/>
      <c r="AB37" s="560"/>
      <c r="AC37" s="560"/>
      <c r="AD37" s="560"/>
      <c r="AE37" s="560"/>
    </row>
    <row r="38" spans="1:31" s="561" customFormat="1">
      <c r="A38" s="2"/>
      <c r="B38" s="2"/>
      <c r="C38" s="678"/>
      <c r="D38" s="678"/>
      <c r="E38" s="2"/>
      <c r="F38" s="3"/>
      <c r="G38" s="560"/>
      <c r="H38" s="560" t="s">
        <v>1691</v>
      </c>
      <c r="I38" s="560"/>
      <c r="J38" s="1163">
        <f>J37-J36</f>
        <v>-3710900</v>
      </c>
      <c r="K38" s="1163"/>
      <c r="L38" s="560"/>
      <c r="M38" s="560"/>
      <c r="O38" s="560"/>
      <c r="P38" s="560"/>
      <c r="Q38" s="560"/>
      <c r="R38" s="560"/>
      <c r="S38" s="560"/>
      <c r="T38" s="560"/>
      <c r="U38" s="560"/>
      <c r="V38" s="560"/>
      <c r="W38" s="560"/>
      <c r="X38" s="560"/>
      <c r="Y38" s="560"/>
      <c r="Z38" s="560"/>
      <c r="AA38" s="560"/>
      <c r="AB38" s="560"/>
      <c r="AC38" s="560"/>
      <c r="AD38" s="560"/>
      <c r="AE38" s="560"/>
    </row>
    <row r="39" spans="1:31" s="561" customFormat="1">
      <c r="A39" s="2"/>
      <c r="B39" s="2"/>
      <c r="C39" s="678"/>
      <c r="D39" s="678"/>
      <c r="E39" s="2"/>
      <c r="F39" s="3"/>
      <c r="G39" s="560"/>
      <c r="H39" s="560"/>
      <c r="I39" s="560"/>
      <c r="J39" s="1163"/>
      <c r="K39" s="1163"/>
      <c r="L39" s="560"/>
      <c r="M39" s="560"/>
      <c r="O39" s="560"/>
      <c r="P39" s="560"/>
      <c r="Q39" s="560"/>
      <c r="R39" s="560"/>
      <c r="S39" s="560"/>
      <c r="T39" s="560"/>
      <c r="U39" s="560"/>
      <c r="V39" s="560"/>
      <c r="W39" s="560"/>
      <c r="X39" s="560"/>
      <c r="Y39" s="560"/>
      <c r="Z39" s="560"/>
      <c r="AA39" s="560"/>
      <c r="AB39" s="560"/>
      <c r="AC39" s="560"/>
      <c r="AD39" s="560"/>
      <c r="AE39" s="560"/>
    </row>
    <row r="40" spans="1:31" s="561" customFormat="1">
      <c r="A40" s="2"/>
      <c r="B40" s="2"/>
      <c r="C40" s="1164"/>
      <c r="D40" s="1164"/>
      <c r="E40" s="2"/>
      <c r="F40" s="3"/>
      <c r="G40" s="560"/>
      <c r="H40" s="560" t="s">
        <v>1690</v>
      </c>
      <c r="I40" s="560"/>
      <c r="J40" s="1163">
        <f>C19</f>
        <v>2200000</v>
      </c>
      <c r="K40" s="1163"/>
      <c r="L40" s="560"/>
      <c r="M40" s="560"/>
      <c r="O40" s="560"/>
      <c r="P40" s="560"/>
      <c r="Q40" s="560"/>
      <c r="R40" s="560"/>
      <c r="S40" s="560"/>
      <c r="T40" s="560"/>
      <c r="U40" s="560"/>
      <c r="V40" s="560"/>
      <c r="W40" s="560"/>
      <c r="X40" s="560"/>
      <c r="Y40" s="560"/>
      <c r="Z40" s="560"/>
      <c r="AA40" s="560"/>
      <c r="AB40" s="560"/>
      <c r="AC40" s="560"/>
      <c r="AD40" s="560"/>
      <c r="AE40" s="560"/>
    </row>
    <row r="41" spans="1:31" s="561" customFormat="1">
      <c r="A41" s="2"/>
      <c r="B41" s="2"/>
      <c r="C41" s="583"/>
      <c r="D41" s="583"/>
      <c r="E41" s="2"/>
      <c r="F41" s="3"/>
      <c r="G41" s="560"/>
      <c r="H41" s="560" t="s">
        <v>1546</v>
      </c>
      <c r="I41" s="560"/>
      <c r="J41" s="732">
        <f>10%*MAX(C14,C15)</f>
        <v>2620000</v>
      </c>
      <c r="K41" s="1163"/>
      <c r="L41" s="1162"/>
      <c r="M41" s="560"/>
      <c r="O41" s="560"/>
      <c r="P41" s="560"/>
      <c r="Q41" s="560"/>
      <c r="R41" s="560"/>
      <c r="S41" s="560"/>
      <c r="T41" s="560"/>
      <c r="U41" s="560"/>
      <c r="V41" s="560"/>
      <c r="W41" s="560"/>
      <c r="X41" s="560"/>
      <c r="Y41" s="560"/>
      <c r="Z41" s="560"/>
      <c r="AA41" s="560"/>
      <c r="AB41" s="560"/>
      <c r="AC41" s="560"/>
      <c r="AD41" s="560"/>
      <c r="AE41" s="560"/>
    </row>
    <row r="42" spans="1:31" s="561" customFormat="1">
      <c r="A42" s="2"/>
      <c r="B42" s="2"/>
      <c r="C42" s="583"/>
      <c r="D42" s="583"/>
      <c r="E42" s="2"/>
      <c r="F42" s="3"/>
      <c r="G42" s="560"/>
      <c r="H42" s="560" t="s">
        <v>1685</v>
      </c>
      <c r="I42" s="560"/>
      <c r="J42" s="1022">
        <f>MAX(0,J40-J41)</f>
        <v>0</v>
      </c>
      <c r="K42" s="981"/>
      <c r="L42" s="560"/>
      <c r="M42" s="560"/>
      <c r="O42" s="560"/>
      <c r="P42" s="560"/>
      <c r="Q42" s="560"/>
      <c r="R42" s="560"/>
      <c r="S42" s="560"/>
      <c r="T42" s="560"/>
      <c r="U42" s="560"/>
      <c r="V42" s="560"/>
      <c r="W42" s="560"/>
      <c r="X42" s="560"/>
      <c r="Y42" s="560"/>
      <c r="Z42" s="560"/>
      <c r="AA42" s="560"/>
      <c r="AB42" s="560"/>
      <c r="AC42" s="560"/>
      <c r="AD42" s="560"/>
      <c r="AE42" s="560"/>
    </row>
    <row r="43" spans="1:31" s="561" customFormat="1">
      <c r="A43" s="2"/>
      <c r="B43" s="2"/>
      <c r="C43" s="583"/>
      <c r="D43" s="583"/>
      <c r="E43" s="2"/>
      <c r="F43" s="3"/>
      <c r="G43" s="560"/>
      <c r="H43" s="560" t="s">
        <v>1689</v>
      </c>
      <c r="I43" s="560"/>
      <c r="J43" s="981">
        <f>J42</f>
        <v>0</v>
      </c>
      <c r="K43" s="1163"/>
      <c r="L43" s="1162"/>
      <c r="M43" s="560"/>
      <c r="O43" s="560"/>
      <c r="P43" s="560"/>
      <c r="Q43" s="560"/>
      <c r="R43" s="560"/>
      <c r="S43" s="560"/>
      <c r="T43" s="560"/>
      <c r="U43" s="560"/>
      <c r="V43" s="560"/>
      <c r="W43" s="560"/>
      <c r="X43" s="560"/>
      <c r="Y43" s="560"/>
      <c r="Z43" s="560"/>
      <c r="AA43" s="560"/>
      <c r="AB43" s="560"/>
      <c r="AC43" s="560"/>
      <c r="AD43" s="560"/>
      <c r="AE43" s="560"/>
    </row>
    <row r="44" spans="1:31" s="561" customFormat="1">
      <c r="A44" s="2"/>
      <c r="B44" s="2"/>
      <c r="C44" s="583"/>
      <c r="D44" s="583"/>
      <c r="E44" s="2"/>
      <c r="F44" s="3"/>
      <c r="G44" s="560"/>
      <c r="H44" s="560" t="s">
        <v>1688</v>
      </c>
      <c r="I44" s="560"/>
      <c r="J44" s="981">
        <f>J21-J38</f>
        <v>9380379.9310934879</v>
      </c>
      <c r="K44" s="1163"/>
      <c r="L44" s="560"/>
      <c r="M44" s="560"/>
      <c r="O44" s="560"/>
      <c r="P44" s="560"/>
      <c r="Q44" s="560"/>
      <c r="R44" s="560"/>
      <c r="S44" s="560"/>
      <c r="T44" s="560"/>
      <c r="U44" s="560"/>
      <c r="V44" s="560"/>
      <c r="W44" s="560"/>
      <c r="X44" s="560"/>
      <c r="Y44" s="560"/>
      <c r="Z44" s="560"/>
      <c r="AA44" s="560"/>
      <c r="AB44" s="560"/>
      <c r="AC44" s="560"/>
      <c r="AD44" s="560"/>
      <c r="AE44" s="560"/>
    </row>
    <row r="45" spans="1:31" s="561" customFormat="1">
      <c r="A45" s="2"/>
      <c r="B45" s="2"/>
      <c r="C45" s="583"/>
      <c r="D45" s="583"/>
      <c r="E45" s="2"/>
      <c r="F45" s="3"/>
      <c r="G45" s="560"/>
      <c r="H45" s="560" t="s">
        <v>1687</v>
      </c>
      <c r="I45" s="560"/>
      <c r="J45" s="732">
        <f>J40-J43+J44</f>
        <v>11580379.931093488</v>
      </c>
      <c r="K45" s="560"/>
      <c r="L45" s="560"/>
      <c r="M45" s="560"/>
      <c r="O45" s="560"/>
      <c r="P45" s="560"/>
      <c r="Q45" s="560"/>
      <c r="R45" s="560"/>
      <c r="S45" s="560"/>
      <c r="T45" s="560"/>
      <c r="U45" s="560"/>
      <c r="V45" s="560"/>
      <c r="W45" s="560"/>
      <c r="X45" s="560"/>
      <c r="Y45" s="560"/>
      <c r="Z45" s="560"/>
      <c r="AA45" s="560"/>
      <c r="AB45" s="560"/>
      <c r="AC45" s="560"/>
      <c r="AD45" s="560"/>
      <c r="AE45" s="560"/>
    </row>
    <row r="46" spans="1:31" s="561" customFormat="1">
      <c r="A46" s="2"/>
      <c r="B46" s="2"/>
      <c r="C46" s="583"/>
      <c r="D46" s="583"/>
      <c r="E46" s="2"/>
      <c r="F46" s="3"/>
      <c r="G46" s="560"/>
      <c r="H46" s="560" t="s">
        <v>1686</v>
      </c>
      <c r="I46" s="560"/>
      <c r="J46" s="732">
        <f>10%*MAX(J22,J37)</f>
        <v>3235327.9931093492</v>
      </c>
      <c r="K46" s="560"/>
      <c r="L46" s="560"/>
      <c r="M46" s="560"/>
      <c r="O46" s="560"/>
      <c r="P46" s="560"/>
      <c r="Q46" s="560"/>
      <c r="R46" s="560"/>
      <c r="S46" s="560"/>
      <c r="T46" s="560"/>
      <c r="U46" s="560"/>
      <c r="V46" s="560"/>
      <c r="W46" s="560"/>
      <c r="X46" s="560"/>
      <c r="Y46" s="560"/>
      <c r="Z46" s="560"/>
      <c r="AA46" s="560"/>
      <c r="AB46" s="560"/>
      <c r="AC46" s="560"/>
      <c r="AD46" s="560"/>
      <c r="AE46" s="560"/>
    </row>
    <row r="47" spans="1:31" s="561" customFormat="1">
      <c r="A47" s="2"/>
      <c r="B47" s="2"/>
      <c r="C47" s="583"/>
      <c r="D47" s="583"/>
      <c r="E47" s="2"/>
      <c r="F47" s="3"/>
      <c r="G47" s="560"/>
      <c r="H47" s="560" t="s">
        <v>1685</v>
      </c>
      <c r="I47" s="560"/>
      <c r="J47" s="1022">
        <f>J45-J46</f>
        <v>8345051.9379841387</v>
      </c>
      <c r="K47" s="560"/>
      <c r="L47" s="560"/>
      <c r="M47" s="560"/>
      <c r="O47" s="560"/>
      <c r="P47" s="560"/>
      <c r="Q47" s="560"/>
      <c r="R47" s="560"/>
      <c r="S47" s="560"/>
      <c r="T47" s="560"/>
      <c r="U47" s="560"/>
      <c r="V47" s="560"/>
      <c r="W47" s="560"/>
      <c r="X47" s="560"/>
      <c r="Y47" s="560"/>
      <c r="Z47" s="560"/>
      <c r="AA47" s="560"/>
      <c r="AB47" s="560"/>
      <c r="AC47" s="560"/>
      <c r="AD47" s="560"/>
      <c r="AE47" s="560"/>
    </row>
    <row r="48" spans="1:31" s="561" customFormat="1">
      <c r="A48" s="2"/>
      <c r="B48" s="2"/>
      <c r="C48" s="583"/>
      <c r="D48" s="583"/>
      <c r="E48" s="2"/>
      <c r="F48" s="3"/>
      <c r="G48" s="560"/>
      <c r="H48" s="560" t="s">
        <v>1684</v>
      </c>
      <c r="I48" s="560"/>
      <c r="J48" s="732">
        <f>J47/C35</f>
        <v>641927.072152626</v>
      </c>
      <c r="K48" s="560"/>
      <c r="L48" s="560"/>
      <c r="M48" s="560"/>
      <c r="O48" s="560"/>
      <c r="P48" s="560"/>
      <c r="Q48" s="560"/>
      <c r="R48" s="560"/>
      <c r="S48" s="560"/>
      <c r="T48" s="560"/>
      <c r="U48" s="560"/>
      <c r="V48" s="560"/>
      <c r="W48" s="560"/>
      <c r="X48" s="560"/>
      <c r="Y48" s="560"/>
      <c r="Z48" s="560"/>
      <c r="AA48" s="560"/>
      <c r="AB48" s="560"/>
      <c r="AC48" s="560"/>
      <c r="AD48" s="560"/>
      <c r="AE48" s="560"/>
    </row>
    <row r="49" spans="1:31" s="561" customFormat="1">
      <c r="A49" s="2"/>
      <c r="B49" s="2"/>
      <c r="C49" s="583"/>
      <c r="D49" s="583"/>
      <c r="E49" s="2"/>
      <c r="F49" s="3"/>
      <c r="G49" s="560"/>
      <c r="H49" s="560"/>
      <c r="I49" s="560"/>
      <c r="J49" s="1163"/>
      <c r="K49" s="1163"/>
      <c r="L49" s="560"/>
      <c r="M49" s="560"/>
      <c r="O49" s="560"/>
      <c r="P49" s="560"/>
      <c r="Q49" s="560"/>
      <c r="R49" s="560"/>
      <c r="S49" s="560"/>
      <c r="T49" s="560"/>
      <c r="U49" s="560"/>
      <c r="V49" s="560"/>
      <c r="W49" s="560"/>
      <c r="X49" s="560"/>
      <c r="Y49" s="560"/>
      <c r="Z49" s="560"/>
      <c r="AA49" s="560"/>
      <c r="AB49" s="560"/>
      <c r="AC49" s="560"/>
      <c r="AD49" s="560"/>
      <c r="AE49" s="560"/>
    </row>
    <row r="50" spans="1:31" s="561" customFormat="1">
      <c r="A50" s="2"/>
      <c r="B50" s="2"/>
      <c r="C50" s="583"/>
      <c r="D50" s="583"/>
      <c r="E50" s="2"/>
      <c r="F50" s="3"/>
      <c r="G50" s="560"/>
      <c r="H50" s="560"/>
      <c r="I50" s="560"/>
      <c r="J50" s="1173" t="s">
        <v>1683</v>
      </c>
      <c r="K50" s="1173" t="s">
        <v>1682</v>
      </c>
      <c r="L50" s="560"/>
      <c r="M50" s="560"/>
      <c r="O50" s="560"/>
      <c r="P50" s="560"/>
      <c r="Q50" s="560"/>
      <c r="R50" s="560"/>
      <c r="S50" s="560"/>
      <c r="T50" s="560"/>
      <c r="U50" s="560"/>
      <c r="V50" s="560"/>
      <c r="W50" s="560"/>
      <c r="X50" s="560"/>
      <c r="Y50" s="560"/>
      <c r="Z50" s="560"/>
      <c r="AA50" s="560"/>
      <c r="AB50" s="560"/>
      <c r="AC50" s="560"/>
      <c r="AD50" s="560"/>
      <c r="AE50" s="560"/>
    </row>
    <row r="51" spans="1:31" s="561" customFormat="1">
      <c r="A51" s="2"/>
      <c r="B51" s="2"/>
      <c r="C51" s="583"/>
      <c r="D51" s="583"/>
      <c r="E51" s="2"/>
      <c r="F51" s="3"/>
      <c r="G51" s="560"/>
      <c r="H51" s="560" t="s">
        <v>1218</v>
      </c>
      <c r="I51" s="560"/>
      <c r="J51" s="981">
        <f>J26</f>
        <v>940849.47235794354</v>
      </c>
      <c r="K51" s="981">
        <f>J26*(1+C32)</f>
        <v>981305.99966933508</v>
      </c>
      <c r="L51" s="560"/>
      <c r="M51" s="560"/>
      <c r="O51" s="560"/>
      <c r="P51" s="560"/>
      <c r="Q51" s="560"/>
      <c r="R51" s="560"/>
      <c r="S51" s="560"/>
      <c r="T51" s="560"/>
      <c r="U51" s="560"/>
      <c r="V51" s="560"/>
      <c r="W51" s="560"/>
      <c r="X51" s="560"/>
      <c r="Y51" s="560"/>
      <c r="Z51" s="560"/>
      <c r="AA51" s="560"/>
      <c r="AB51" s="560"/>
      <c r="AC51" s="560"/>
      <c r="AD51" s="560"/>
      <c r="AE51" s="560"/>
    </row>
    <row r="52" spans="1:31" s="561" customFormat="1">
      <c r="A52" s="2"/>
      <c r="B52" s="2"/>
      <c r="C52" s="583"/>
      <c r="D52" s="583"/>
      <c r="E52" s="2"/>
      <c r="F52" s="3"/>
      <c r="G52" s="560"/>
      <c r="H52" s="560" t="s">
        <v>1681</v>
      </c>
      <c r="I52" s="560"/>
      <c r="J52" s="981">
        <f>(J22+J51-J27/2)*C32</f>
        <v>1405516.4643484114</v>
      </c>
      <c r="K52" s="1170">
        <f>(J22-J27/2)*C32</f>
        <v>1365059.9370370198</v>
      </c>
      <c r="L52" s="560"/>
      <c r="M52" s="560"/>
      <c r="O52" s="560"/>
      <c r="P52" s="560"/>
      <c r="Q52" s="560"/>
      <c r="R52" s="560"/>
      <c r="S52" s="560"/>
      <c r="T52" s="560"/>
      <c r="U52" s="560"/>
      <c r="V52" s="560"/>
      <c r="W52" s="560"/>
      <c r="X52" s="560"/>
      <c r="Y52" s="560"/>
      <c r="Z52" s="560"/>
      <c r="AA52" s="560"/>
      <c r="AB52" s="560"/>
      <c r="AC52" s="560"/>
      <c r="AD52" s="560"/>
      <c r="AE52" s="560"/>
    </row>
    <row r="53" spans="1:31" s="561" customFormat="1">
      <c r="A53" s="2"/>
      <c r="B53" s="2"/>
      <c r="C53" s="583"/>
      <c r="D53" s="583"/>
      <c r="E53" s="2"/>
      <c r="F53" s="3"/>
      <c r="G53" s="560"/>
      <c r="H53" s="560" t="s">
        <v>1572</v>
      </c>
      <c r="I53" s="560"/>
      <c r="J53" s="1172">
        <f>-(C34+J28/2-J27/2)*C33</f>
        <v>-1346697</v>
      </c>
      <c r="K53" s="1172">
        <f>-(C34+J28/2-J27/2)*C32</f>
        <v>-1052872.2</v>
      </c>
      <c r="L53" s="560"/>
      <c r="M53" s="560"/>
      <c r="O53" s="560"/>
      <c r="P53" s="560"/>
      <c r="Q53" s="560"/>
      <c r="R53" s="560"/>
      <c r="S53" s="560"/>
      <c r="T53" s="560"/>
      <c r="U53" s="560"/>
      <c r="V53" s="560"/>
      <c r="W53" s="560"/>
      <c r="X53" s="560"/>
      <c r="Y53" s="560"/>
      <c r="Z53" s="560"/>
      <c r="AA53" s="560"/>
      <c r="AB53" s="560"/>
      <c r="AC53" s="560"/>
      <c r="AD53" s="560"/>
      <c r="AE53" s="560"/>
    </row>
    <row r="54" spans="1:31" s="561" customFormat="1">
      <c r="A54" s="2"/>
      <c r="B54" s="2"/>
      <c r="C54" s="583"/>
      <c r="D54" s="583"/>
      <c r="E54" s="2"/>
      <c r="F54" s="3"/>
      <c r="G54" s="560"/>
      <c r="H54" s="560" t="s">
        <v>1680</v>
      </c>
      <c r="I54" s="560"/>
      <c r="J54" s="981">
        <f>J48</f>
        <v>641927.072152626</v>
      </c>
      <c r="K54" s="1171" t="s">
        <v>72</v>
      </c>
      <c r="L54" s="560"/>
      <c r="M54" s="560"/>
      <c r="O54" s="560"/>
      <c r="P54" s="560"/>
      <c r="Q54" s="560"/>
      <c r="R54" s="560"/>
      <c r="S54" s="560"/>
      <c r="T54" s="560"/>
      <c r="U54" s="560"/>
      <c r="V54" s="560"/>
      <c r="W54" s="560"/>
      <c r="X54" s="560"/>
      <c r="Y54" s="560"/>
      <c r="Z54" s="560"/>
      <c r="AA54" s="560"/>
      <c r="AB54" s="560"/>
      <c r="AC54" s="560"/>
      <c r="AD54" s="560"/>
      <c r="AE54" s="560"/>
    </row>
    <row r="55" spans="1:31" s="561" customFormat="1">
      <c r="A55" s="2"/>
      <c r="B55" s="2"/>
      <c r="C55" s="583"/>
      <c r="D55" s="583"/>
      <c r="E55" s="2"/>
      <c r="F55" s="3"/>
      <c r="G55" s="560"/>
      <c r="H55" s="560" t="s">
        <v>1679</v>
      </c>
      <c r="I55" s="560"/>
      <c r="J55" s="1005">
        <f>SUM(J51:J54)</f>
        <v>1641596.0088589808</v>
      </c>
      <c r="K55" s="1005">
        <f>SUM(K51:K54)</f>
        <v>1293493.7367063549</v>
      </c>
      <c r="L55" s="560"/>
      <c r="M55" s="560"/>
      <c r="O55" s="560"/>
      <c r="P55" s="560"/>
      <c r="Q55" s="560"/>
      <c r="R55" s="560"/>
      <c r="S55" s="560"/>
      <c r="T55" s="560"/>
      <c r="U55" s="560"/>
      <c r="V55" s="560"/>
      <c r="W55" s="560"/>
      <c r="X55" s="560"/>
      <c r="Y55" s="560"/>
      <c r="Z55" s="560"/>
      <c r="AA55" s="560"/>
      <c r="AB55" s="560"/>
      <c r="AC55" s="560"/>
      <c r="AD55" s="560"/>
      <c r="AE55" s="560"/>
    </row>
    <row r="56" spans="1:31" s="561" customFormat="1">
      <c r="A56" s="2"/>
      <c r="B56" s="2"/>
      <c r="C56" s="583"/>
      <c r="D56" s="583"/>
      <c r="E56" s="2"/>
      <c r="F56" s="3"/>
      <c r="G56" s="560"/>
      <c r="H56" s="560"/>
      <c r="I56" s="560"/>
      <c r="J56" s="981"/>
      <c r="K56" s="560"/>
      <c r="L56" s="560"/>
      <c r="M56" s="560"/>
      <c r="O56" s="560"/>
      <c r="P56" s="560"/>
      <c r="Q56" s="560"/>
      <c r="R56" s="560"/>
      <c r="S56" s="560"/>
      <c r="T56" s="560"/>
      <c r="U56" s="560"/>
      <c r="V56" s="560"/>
      <c r="W56" s="560"/>
      <c r="X56" s="560"/>
      <c r="Y56" s="560"/>
      <c r="Z56" s="560"/>
      <c r="AA56" s="560"/>
      <c r="AB56" s="560"/>
      <c r="AC56" s="560"/>
      <c r="AD56" s="560"/>
      <c r="AE56" s="560"/>
    </row>
    <row r="57" spans="1:31" s="561" customFormat="1">
      <c r="A57" s="2"/>
      <c r="B57" s="2"/>
      <c r="C57" s="583"/>
      <c r="D57" s="583"/>
      <c r="E57" s="2"/>
      <c r="F57" s="3"/>
      <c r="G57" s="560"/>
      <c r="H57" s="560"/>
      <c r="I57" s="560"/>
      <c r="J57" s="981"/>
      <c r="K57" s="1170"/>
      <c r="L57" s="560"/>
      <c r="M57" s="560"/>
      <c r="O57" s="560"/>
      <c r="P57" s="560"/>
      <c r="Q57" s="560"/>
      <c r="R57" s="560"/>
      <c r="S57" s="560"/>
      <c r="T57" s="560"/>
      <c r="U57" s="560"/>
      <c r="V57" s="560"/>
      <c r="W57" s="560"/>
      <c r="X57" s="560"/>
      <c r="Y57" s="560"/>
      <c r="Z57" s="560"/>
      <c r="AA57" s="560"/>
      <c r="AB57" s="560"/>
      <c r="AC57" s="560"/>
      <c r="AD57" s="560"/>
      <c r="AE57" s="560"/>
    </row>
    <row r="58" spans="1:31" s="561" customFormat="1">
      <c r="A58" s="2"/>
      <c r="B58" s="2"/>
      <c r="C58" s="583"/>
      <c r="D58" s="583"/>
      <c r="E58" s="2"/>
      <c r="F58" s="3"/>
      <c r="G58" s="560"/>
      <c r="H58" s="560"/>
      <c r="I58" s="560"/>
      <c r="J58" s="981"/>
      <c r="K58" s="562"/>
      <c r="L58" s="560"/>
      <c r="M58" s="560"/>
      <c r="O58" s="560"/>
      <c r="P58" s="560"/>
      <c r="Q58" s="560"/>
      <c r="R58" s="560"/>
      <c r="S58" s="560"/>
      <c r="T58" s="560"/>
      <c r="U58" s="560"/>
      <c r="V58" s="560"/>
      <c r="W58" s="560"/>
      <c r="X58" s="560"/>
      <c r="Y58" s="560"/>
      <c r="Z58" s="560"/>
      <c r="AA58" s="560"/>
      <c r="AB58" s="560"/>
      <c r="AC58" s="560"/>
      <c r="AD58" s="560"/>
      <c r="AE58" s="560"/>
    </row>
    <row r="59" spans="1:31" s="561" customFormat="1">
      <c r="A59" s="2"/>
      <c r="B59" s="2"/>
      <c r="C59" s="583"/>
      <c r="D59" s="583"/>
      <c r="E59" s="2"/>
      <c r="F59" s="3"/>
      <c r="G59" s="560"/>
      <c r="H59" s="560"/>
      <c r="I59" s="560"/>
      <c r="J59" s="981"/>
      <c r="K59" s="562"/>
      <c r="L59" s="560"/>
      <c r="M59" s="560"/>
      <c r="O59" s="560"/>
      <c r="P59" s="560"/>
      <c r="Q59" s="560"/>
      <c r="R59" s="560"/>
      <c r="S59" s="560"/>
      <c r="T59" s="560"/>
      <c r="U59" s="560"/>
      <c r="V59" s="560"/>
      <c r="W59" s="560"/>
      <c r="X59" s="560"/>
      <c r="Y59" s="560"/>
      <c r="Z59" s="560"/>
      <c r="AA59" s="560"/>
      <c r="AB59" s="560"/>
      <c r="AC59" s="560"/>
      <c r="AD59" s="560"/>
      <c r="AE59" s="560"/>
    </row>
    <row r="60" spans="1:31" s="561" customFormat="1">
      <c r="A60" s="2"/>
      <c r="B60" s="2"/>
      <c r="C60" s="583"/>
      <c r="D60" s="583"/>
      <c r="E60" s="2"/>
      <c r="F60" s="3"/>
      <c r="G60" s="560"/>
      <c r="H60" s="560"/>
      <c r="I60" s="560"/>
      <c r="J60" s="560"/>
      <c r="K60" s="560"/>
      <c r="L60" s="560"/>
      <c r="M60" s="560"/>
      <c r="O60" s="560"/>
      <c r="P60" s="560"/>
      <c r="Q60" s="560"/>
      <c r="R60" s="560"/>
      <c r="S60" s="560"/>
      <c r="T60" s="560"/>
      <c r="U60" s="560"/>
      <c r="V60" s="560"/>
      <c r="W60" s="560"/>
      <c r="X60" s="560"/>
      <c r="Y60" s="560"/>
      <c r="Z60" s="560"/>
      <c r="AA60" s="560"/>
      <c r="AB60" s="560"/>
      <c r="AC60" s="560"/>
      <c r="AD60" s="560"/>
      <c r="AE60" s="560"/>
    </row>
    <row r="61" spans="1:31" s="561" customFormat="1">
      <c r="A61" s="2"/>
      <c r="B61" s="2"/>
      <c r="C61" s="583"/>
      <c r="D61" s="583"/>
      <c r="E61" s="2"/>
      <c r="F61" s="3"/>
      <c r="G61" s="560"/>
      <c r="H61" s="560"/>
      <c r="I61" s="560"/>
      <c r="J61" s="560"/>
      <c r="K61" s="560"/>
      <c r="L61" s="560"/>
      <c r="M61" s="560"/>
      <c r="O61" s="560"/>
      <c r="P61" s="560"/>
      <c r="Q61" s="560"/>
      <c r="R61" s="560"/>
      <c r="S61" s="560"/>
      <c r="T61" s="560"/>
      <c r="U61" s="560"/>
      <c r="V61" s="560"/>
      <c r="W61" s="560"/>
      <c r="X61" s="560"/>
      <c r="Y61" s="560"/>
      <c r="Z61" s="560"/>
      <c r="AA61" s="560"/>
      <c r="AB61" s="560"/>
      <c r="AC61" s="560"/>
      <c r="AD61" s="560"/>
      <c r="AE61" s="560"/>
    </row>
    <row r="62" spans="1:31" s="561" customFormat="1">
      <c r="A62" s="2"/>
      <c r="B62" s="2"/>
      <c r="C62" s="583"/>
      <c r="D62" s="583"/>
      <c r="E62" s="2"/>
      <c r="F62" s="3"/>
      <c r="G62" s="560"/>
      <c r="H62" s="560"/>
      <c r="I62" s="560"/>
      <c r="J62" s="560"/>
      <c r="K62" s="560"/>
      <c r="L62" s="560"/>
      <c r="M62" s="560"/>
      <c r="O62" s="560"/>
      <c r="P62" s="560"/>
      <c r="Q62" s="560"/>
      <c r="R62" s="560"/>
      <c r="S62" s="560"/>
      <c r="T62" s="560"/>
      <c r="U62" s="560"/>
      <c r="V62" s="560"/>
      <c r="W62" s="560"/>
      <c r="X62" s="560"/>
      <c r="Y62" s="560"/>
      <c r="Z62" s="560"/>
      <c r="AA62" s="560"/>
      <c r="AB62" s="560"/>
      <c r="AC62" s="560"/>
      <c r="AD62" s="560"/>
      <c r="AE62" s="560"/>
    </row>
    <row r="63" spans="1:31" s="561" customFormat="1">
      <c r="A63" s="2"/>
      <c r="B63" s="2"/>
      <c r="C63" s="583"/>
      <c r="D63" s="583"/>
      <c r="E63" s="2"/>
      <c r="F63" s="3"/>
      <c r="G63" s="560"/>
      <c r="H63" s="560"/>
      <c r="I63" s="560"/>
      <c r="J63" s="560"/>
      <c r="K63" s="560"/>
      <c r="L63" s="560"/>
      <c r="M63" s="560"/>
      <c r="O63" s="560"/>
      <c r="P63" s="560"/>
      <c r="Q63" s="560"/>
      <c r="R63" s="560"/>
      <c r="S63" s="560"/>
      <c r="T63" s="560"/>
      <c r="U63" s="560"/>
      <c r="V63" s="560"/>
      <c r="W63" s="560"/>
      <c r="X63" s="560"/>
      <c r="Y63" s="560"/>
      <c r="Z63" s="560"/>
      <c r="AA63" s="560"/>
      <c r="AB63" s="560"/>
      <c r="AC63" s="560"/>
      <c r="AD63" s="560"/>
      <c r="AE63" s="560"/>
    </row>
    <row r="64" spans="1:31" s="561" customFormat="1">
      <c r="A64" s="2"/>
      <c r="B64" s="2"/>
      <c r="C64" s="583"/>
      <c r="D64" s="583"/>
      <c r="E64" s="2"/>
      <c r="F64" s="3"/>
      <c r="G64" s="560"/>
      <c r="H64" s="560"/>
      <c r="I64" s="560"/>
      <c r="J64" s="560"/>
      <c r="K64" s="560"/>
      <c r="L64" s="560"/>
      <c r="M64" s="560"/>
      <c r="O64" s="560"/>
      <c r="P64" s="560"/>
      <c r="Q64" s="560"/>
      <c r="R64" s="560"/>
      <c r="S64" s="560"/>
      <c r="T64" s="560"/>
      <c r="U64" s="560"/>
      <c r="V64" s="560"/>
      <c r="W64" s="560"/>
      <c r="X64" s="560"/>
      <c r="Y64" s="560"/>
      <c r="Z64" s="560"/>
      <c r="AA64" s="560"/>
      <c r="AB64" s="560"/>
      <c r="AC64" s="560"/>
      <c r="AD64" s="560"/>
      <c r="AE64" s="560"/>
    </row>
    <row r="65" spans="1:31" s="561" customFormat="1">
      <c r="A65" s="2"/>
      <c r="B65" s="2"/>
      <c r="C65" s="583"/>
      <c r="D65" s="583"/>
      <c r="E65" s="2"/>
      <c r="F65" s="3"/>
      <c r="G65" s="560"/>
      <c r="H65" s="560"/>
      <c r="I65" s="560"/>
      <c r="J65" s="560"/>
      <c r="K65" s="560"/>
      <c r="L65" s="560"/>
      <c r="M65" s="560"/>
      <c r="O65" s="560"/>
      <c r="P65" s="560"/>
      <c r="Q65" s="560"/>
      <c r="R65" s="560"/>
      <c r="S65" s="560"/>
      <c r="T65" s="560"/>
      <c r="U65" s="560"/>
      <c r="V65" s="560"/>
      <c r="W65" s="560"/>
      <c r="X65" s="560"/>
      <c r="Y65" s="560"/>
      <c r="Z65" s="560"/>
      <c r="AA65" s="560"/>
      <c r="AB65" s="560"/>
      <c r="AC65" s="560"/>
      <c r="AD65" s="560"/>
      <c r="AE65" s="560"/>
    </row>
    <row r="66" spans="1:31" s="561" customFormat="1">
      <c r="A66" s="2"/>
      <c r="B66" s="2"/>
      <c r="C66" s="583"/>
      <c r="D66" s="583"/>
      <c r="E66" s="2"/>
      <c r="F66" s="3"/>
      <c r="G66" s="560"/>
      <c r="H66" s="560"/>
      <c r="I66" s="560"/>
      <c r="J66" s="560"/>
      <c r="K66" s="560"/>
      <c r="L66" s="560"/>
      <c r="M66" s="560"/>
      <c r="O66" s="560"/>
      <c r="P66" s="560"/>
      <c r="Q66" s="560"/>
      <c r="R66" s="560"/>
      <c r="S66" s="560"/>
      <c r="T66" s="560"/>
      <c r="U66" s="560"/>
      <c r="V66" s="560"/>
      <c r="W66" s="560"/>
      <c r="X66" s="560"/>
      <c r="Y66" s="560"/>
      <c r="Z66" s="560"/>
      <c r="AA66" s="560"/>
      <c r="AB66" s="560"/>
      <c r="AC66" s="560"/>
      <c r="AD66" s="560"/>
      <c r="AE66" s="560"/>
    </row>
    <row r="67" spans="1:31" s="561" customFormat="1">
      <c r="A67" s="2"/>
      <c r="B67" s="2"/>
      <c r="C67" s="583"/>
      <c r="D67" s="583"/>
      <c r="E67" s="2"/>
      <c r="F67" s="3"/>
      <c r="G67" s="560"/>
      <c r="H67" s="560"/>
      <c r="I67" s="560"/>
      <c r="J67" s="560"/>
      <c r="K67" s="560"/>
      <c r="L67" s="560"/>
      <c r="M67" s="560"/>
      <c r="O67" s="560"/>
      <c r="P67" s="560"/>
      <c r="Q67" s="560"/>
      <c r="R67" s="560"/>
      <c r="S67" s="560"/>
      <c r="T67" s="560"/>
      <c r="U67" s="560"/>
      <c r="V67" s="560"/>
      <c r="W67" s="560"/>
      <c r="X67" s="560"/>
      <c r="Y67" s="560"/>
      <c r="Z67" s="560"/>
      <c r="AA67" s="560"/>
      <c r="AB67" s="560"/>
      <c r="AC67" s="560"/>
      <c r="AD67" s="560"/>
      <c r="AE67" s="560"/>
    </row>
    <row r="68" spans="1:31" s="561" customFormat="1">
      <c r="A68" s="2"/>
      <c r="B68" s="2"/>
      <c r="C68" s="583"/>
      <c r="D68" s="583"/>
      <c r="E68" s="2"/>
      <c r="F68" s="3"/>
      <c r="G68" s="560"/>
      <c r="H68" s="560"/>
      <c r="I68" s="560"/>
      <c r="J68" s="560"/>
      <c r="K68" s="560"/>
      <c r="L68" s="560"/>
      <c r="M68" s="560"/>
      <c r="O68" s="560"/>
      <c r="P68" s="560"/>
      <c r="Q68" s="560"/>
      <c r="R68" s="560"/>
      <c r="S68" s="560"/>
      <c r="T68" s="560"/>
      <c r="U68" s="560"/>
      <c r="V68" s="560"/>
      <c r="W68" s="560"/>
      <c r="X68" s="560"/>
      <c r="Y68" s="560"/>
      <c r="Z68" s="560"/>
      <c r="AA68" s="560"/>
      <c r="AB68" s="560"/>
      <c r="AC68" s="560"/>
      <c r="AD68" s="560"/>
      <c r="AE68" s="560"/>
    </row>
    <row r="69" spans="1:31" s="561" customFormat="1">
      <c r="A69" s="2"/>
      <c r="B69" s="2"/>
      <c r="C69" s="583"/>
      <c r="D69" s="583"/>
      <c r="E69" s="2"/>
      <c r="F69" s="3"/>
      <c r="G69" s="560"/>
      <c r="H69" s="560"/>
      <c r="I69" s="560"/>
      <c r="J69" s="560"/>
      <c r="K69" s="560"/>
      <c r="L69" s="560"/>
      <c r="M69" s="560"/>
      <c r="O69" s="560"/>
      <c r="P69" s="560"/>
      <c r="Q69" s="560"/>
      <c r="R69" s="560"/>
      <c r="S69" s="560"/>
      <c r="T69" s="560"/>
      <c r="U69" s="560"/>
      <c r="V69" s="560"/>
      <c r="W69" s="560"/>
      <c r="X69" s="560"/>
      <c r="Y69" s="560"/>
      <c r="Z69" s="560"/>
      <c r="AA69" s="560"/>
      <c r="AB69" s="560"/>
      <c r="AC69" s="560"/>
      <c r="AD69" s="560"/>
      <c r="AE69" s="560"/>
    </row>
    <row r="70" spans="1:31" s="561" customFormat="1">
      <c r="A70" s="2"/>
      <c r="B70" s="2"/>
      <c r="C70" s="583"/>
      <c r="D70" s="583"/>
      <c r="E70" s="2"/>
      <c r="F70" s="3"/>
      <c r="G70" s="560"/>
      <c r="H70" s="560"/>
      <c r="I70" s="560"/>
      <c r="J70" s="560"/>
      <c r="K70" s="560"/>
      <c r="L70" s="560"/>
      <c r="M70" s="560"/>
      <c r="O70" s="560"/>
      <c r="P70" s="560"/>
      <c r="Q70" s="560"/>
      <c r="R70" s="560"/>
      <c r="S70" s="560"/>
      <c r="T70" s="560"/>
      <c r="U70" s="560"/>
      <c r="V70" s="560"/>
      <c r="W70" s="560"/>
      <c r="X70" s="560"/>
      <c r="Y70" s="560"/>
      <c r="Z70" s="560"/>
      <c r="AA70" s="560"/>
      <c r="AB70" s="560"/>
      <c r="AC70" s="560"/>
      <c r="AD70" s="560"/>
      <c r="AE70" s="560"/>
    </row>
    <row r="71" spans="1:31" s="561" customFormat="1">
      <c r="A71" s="2"/>
      <c r="B71" s="2"/>
      <c r="C71" s="583"/>
      <c r="D71" s="583"/>
      <c r="E71" s="2"/>
      <c r="F71" s="3"/>
      <c r="G71" s="560"/>
      <c r="H71" s="560"/>
      <c r="I71" s="560"/>
      <c r="J71" s="560"/>
      <c r="K71" s="560"/>
      <c r="L71" s="560"/>
      <c r="M71" s="560"/>
      <c r="O71" s="560"/>
      <c r="P71" s="560"/>
      <c r="Q71" s="560"/>
      <c r="R71" s="560"/>
      <c r="S71" s="560"/>
      <c r="T71" s="560"/>
      <c r="U71" s="560"/>
      <c r="V71" s="560"/>
      <c r="W71" s="560"/>
      <c r="X71" s="560"/>
      <c r="Y71" s="560"/>
      <c r="Z71" s="560"/>
      <c r="AA71" s="560"/>
      <c r="AB71" s="560"/>
      <c r="AC71" s="560"/>
      <c r="AD71" s="560"/>
      <c r="AE71" s="560"/>
    </row>
    <row r="72" spans="1:31" s="561" customFormat="1">
      <c r="A72" s="2"/>
      <c r="B72" s="2"/>
      <c r="C72" s="583"/>
      <c r="D72" s="583"/>
      <c r="E72" s="2"/>
      <c r="F72" s="3"/>
      <c r="G72" s="560"/>
      <c r="H72" s="560"/>
      <c r="I72" s="560"/>
      <c r="J72" s="560"/>
      <c r="K72" s="560"/>
      <c r="L72" s="560"/>
      <c r="M72" s="560"/>
      <c r="O72" s="560"/>
      <c r="P72" s="560"/>
      <c r="Q72" s="560"/>
      <c r="R72" s="560"/>
      <c r="S72" s="560"/>
      <c r="T72" s="560"/>
      <c r="U72" s="560"/>
      <c r="V72" s="560"/>
      <c r="W72" s="560"/>
      <c r="X72" s="560"/>
      <c r="Y72" s="560"/>
      <c r="Z72" s="560"/>
      <c r="AA72" s="560"/>
      <c r="AB72" s="560"/>
      <c r="AC72" s="560"/>
      <c r="AD72" s="560"/>
      <c r="AE72" s="560"/>
    </row>
    <row r="73" spans="1:31" s="561" customFormat="1">
      <c r="A73" s="2"/>
      <c r="B73" s="2"/>
      <c r="C73" s="583"/>
      <c r="D73" s="583"/>
      <c r="E73" s="2"/>
      <c r="F73" s="3"/>
      <c r="G73" s="560"/>
      <c r="H73" s="560"/>
      <c r="I73" s="560"/>
      <c r="J73" s="560"/>
      <c r="K73" s="560"/>
      <c r="L73" s="560"/>
      <c r="M73" s="560"/>
      <c r="O73" s="560"/>
      <c r="P73" s="560"/>
      <c r="Q73" s="560"/>
      <c r="R73" s="560"/>
      <c r="S73" s="560"/>
      <c r="T73" s="560"/>
      <c r="U73" s="560"/>
      <c r="V73" s="560"/>
      <c r="W73" s="560"/>
      <c r="X73" s="560"/>
      <c r="Y73" s="560"/>
      <c r="Z73" s="560"/>
      <c r="AA73" s="560"/>
      <c r="AB73" s="560"/>
      <c r="AC73" s="560"/>
      <c r="AD73" s="560"/>
      <c r="AE73" s="560"/>
    </row>
    <row r="74" spans="1:31" s="561" customFormat="1">
      <c r="A74" s="2"/>
      <c r="B74" s="2"/>
      <c r="C74" s="583"/>
      <c r="D74" s="583"/>
      <c r="E74" s="2"/>
      <c r="F74" s="3"/>
      <c r="G74" s="560"/>
      <c r="H74" s="560"/>
      <c r="I74" s="560"/>
      <c r="J74" s="560"/>
      <c r="K74" s="560"/>
      <c r="L74" s="560"/>
      <c r="M74" s="560"/>
      <c r="O74" s="560"/>
      <c r="P74" s="560"/>
      <c r="Q74" s="560"/>
      <c r="R74" s="560"/>
      <c r="S74" s="560"/>
      <c r="T74" s="560"/>
      <c r="U74" s="560"/>
      <c r="V74" s="560"/>
      <c r="W74" s="560"/>
      <c r="X74" s="560"/>
      <c r="Y74" s="560"/>
      <c r="Z74" s="560"/>
      <c r="AA74" s="560"/>
      <c r="AB74" s="560"/>
      <c r="AC74" s="560"/>
      <c r="AD74" s="560"/>
      <c r="AE74" s="560"/>
    </row>
    <row r="75" spans="1:31" s="561" customFormat="1">
      <c r="A75" s="2"/>
      <c r="B75" s="2"/>
      <c r="C75" s="583"/>
      <c r="D75" s="583"/>
      <c r="E75" s="2"/>
      <c r="F75" s="3"/>
      <c r="G75" s="560"/>
      <c r="H75" s="560"/>
      <c r="I75" s="560"/>
      <c r="J75" s="560"/>
      <c r="K75" s="560"/>
      <c r="L75" s="560"/>
      <c r="M75" s="560"/>
      <c r="O75" s="560"/>
      <c r="P75" s="560"/>
      <c r="Q75" s="560"/>
      <c r="R75" s="560"/>
      <c r="S75" s="560"/>
      <c r="T75" s="560"/>
      <c r="U75" s="560"/>
      <c r="V75" s="560"/>
      <c r="W75" s="560"/>
      <c r="X75" s="560"/>
      <c r="Y75" s="560"/>
      <c r="Z75" s="560"/>
      <c r="AA75" s="560"/>
      <c r="AB75" s="560"/>
      <c r="AC75" s="560"/>
      <c r="AD75" s="560"/>
      <c r="AE75" s="560"/>
    </row>
    <row r="76" spans="1:31" s="561" customFormat="1">
      <c r="A76" s="2"/>
      <c r="B76" s="2"/>
      <c r="C76" s="583"/>
      <c r="D76" s="583"/>
      <c r="E76" s="2"/>
      <c r="F76" s="3"/>
      <c r="G76" s="560"/>
      <c r="H76" s="560"/>
      <c r="I76" s="560"/>
      <c r="J76" s="560"/>
      <c r="K76" s="560"/>
      <c r="L76" s="560"/>
      <c r="M76" s="560"/>
      <c r="O76" s="560"/>
      <c r="P76" s="560"/>
      <c r="Q76" s="560"/>
      <c r="R76" s="560"/>
      <c r="S76" s="560"/>
      <c r="T76" s="560"/>
      <c r="U76" s="560"/>
      <c r="V76" s="560"/>
      <c r="W76" s="560"/>
      <c r="X76" s="560"/>
      <c r="Y76" s="560"/>
      <c r="Z76" s="560"/>
      <c r="AA76" s="560"/>
      <c r="AB76" s="560"/>
      <c r="AC76" s="560"/>
      <c r="AD76" s="560"/>
      <c r="AE76" s="560"/>
    </row>
    <row r="77" spans="1:31" s="561" customFormat="1">
      <c r="A77" s="2"/>
      <c r="B77" s="2"/>
      <c r="C77" s="583"/>
      <c r="D77" s="583"/>
      <c r="E77" s="2"/>
      <c r="F77" s="3"/>
      <c r="G77" s="560"/>
      <c r="H77" s="560"/>
      <c r="I77" s="560"/>
      <c r="J77" s="560"/>
      <c r="K77" s="560"/>
      <c r="L77" s="560"/>
      <c r="M77" s="560"/>
      <c r="O77" s="560"/>
      <c r="P77" s="560"/>
      <c r="Q77" s="560"/>
      <c r="R77" s="560"/>
      <c r="S77" s="560"/>
      <c r="T77" s="560"/>
      <c r="U77" s="560"/>
      <c r="V77" s="560"/>
      <c r="W77" s="560"/>
      <c r="X77" s="560"/>
      <c r="Y77" s="560"/>
      <c r="Z77" s="560"/>
      <c r="AA77" s="560"/>
      <c r="AB77" s="560"/>
      <c r="AC77" s="560"/>
      <c r="AD77" s="560"/>
      <c r="AE77" s="560"/>
    </row>
    <row r="78" spans="1:31" s="561" customFormat="1">
      <c r="A78" s="2"/>
      <c r="B78" s="2"/>
      <c r="C78" s="583"/>
      <c r="D78" s="583"/>
      <c r="E78" s="2"/>
      <c r="F78" s="3"/>
      <c r="G78" s="560"/>
      <c r="H78" s="560"/>
      <c r="I78" s="560"/>
      <c r="J78" s="560"/>
      <c r="K78" s="560"/>
      <c r="L78" s="560"/>
      <c r="M78" s="560"/>
      <c r="O78" s="560"/>
      <c r="P78" s="560"/>
      <c r="Q78" s="560"/>
      <c r="R78" s="560"/>
      <c r="S78" s="560"/>
      <c r="T78" s="560"/>
      <c r="U78" s="560"/>
      <c r="V78" s="560"/>
      <c r="W78" s="560"/>
      <c r="X78" s="560"/>
      <c r="Y78" s="560"/>
      <c r="Z78" s="560"/>
      <c r="AA78" s="560"/>
      <c r="AB78" s="560"/>
      <c r="AC78" s="560"/>
      <c r="AD78" s="560"/>
      <c r="AE78" s="560"/>
    </row>
    <row r="79" spans="1:31" s="561" customFormat="1">
      <c r="A79" s="2"/>
      <c r="B79" s="2"/>
      <c r="C79" s="583"/>
      <c r="D79" s="583"/>
      <c r="E79" s="2"/>
      <c r="F79" s="3"/>
      <c r="G79" s="560"/>
      <c r="H79" s="560"/>
      <c r="I79" s="560"/>
      <c r="J79" s="560"/>
      <c r="K79" s="560"/>
      <c r="L79" s="560"/>
      <c r="M79" s="560"/>
      <c r="O79" s="560"/>
      <c r="P79" s="560"/>
      <c r="Q79" s="560"/>
      <c r="R79" s="560"/>
      <c r="S79" s="560"/>
      <c r="T79" s="560"/>
      <c r="U79" s="560"/>
      <c r="V79" s="560"/>
      <c r="W79" s="560"/>
      <c r="X79" s="560"/>
      <c r="Y79" s="560"/>
      <c r="Z79" s="560"/>
      <c r="AA79" s="560"/>
      <c r="AB79" s="560"/>
      <c r="AC79" s="560"/>
      <c r="AD79" s="560"/>
      <c r="AE79" s="560"/>
    </row>
    <row r="80" spans="1:31" s="561" customFormat="1">
      <c r="A80" s="2"/>
      <c r="B80" s="2"/>
      <c r="C80" s="583"/>
      <c r="D80" s="583"/>
      <c r="E80" s="2"/>
      <c r="F80" s="3"/>
      <c r="G80" s="560"/>
      <c r="H80" s="560"/>
      <c r="I80" s="560"/>
      <c r="J80" s="560"/>
      <c r="K80" s="560"/>
      <c r="L80" s="560"/>
      <c r="M80" s="560"/>
      <c r="O80" s="560"/>
      <c r="P80" s="560"/>
      <c r="Q80" s="560"/>
      <c r="R80" s="560"/>
      <c r="S80" s="560"/>
      <c r="T80" s="560"/>
      <c r="U80" s="560"/>
      <c r="V80" s="560"/>
      <c r="W80" s="560"/>
      <c r="X80" s="560"/>
      <c r="Y80" s="560"/>
      <c r="Z80" s="560"/>
      <c r="AA80" s="560"/>
      <c r="AB80" s="560"/>
      <c r="AC80" s="560"/>
      <c r="AD80" s="560"/>
      <c r="AE80" s="560"/>
    </row>
    <row r="81" spans="1:31" s="561" customFormat="1">
      <c r="A81" s="2"/>
      <c r="B81" s="2"/>
      <c r="C81" s="583"/>
      <c r="D81" s="583"/>
      <c r="E81" s="2"/>
      <c r="F81" s="3"/>
      <c r="G81" s="560"/>
      <c r="H81" s="560"/>
      <c r="I81" s="560"/>
      <c r="J81" s="560"/>
      <c r="K81" s="560"/>
      <c r="L81" s="560"/>
      <c r="M81" s="560"/>
      <c r="O81" s="560"/>
      <c r="P81" s="560"/>
      <c r="Q81" s="560"/>
      <c r="R81" s="560"/>
      <c r="S81" s="560"/>
      <c r="T81" s="560"/>
      <c r="U81" s="560"/>
      <c r="V81" s="560"/>
      <c r="W81" s="560"/>
      <c r="X81" s="560"/>
      <c r="Y81" s="560"/>
      <c r="Z81" s="560"/>
      <c r="AA81" s="560"/>
      <c r="AB81" s="560"/>
      <c r="AC81" s="560"/>
      <c r="AD81" s="560"/>
      <c r="AE81" s="560"/>
    </row>
    <row r="82" spans="1:31" s="561" customFormat="1">
      <c r="A82" s="2"/>
      <c r="B82" s="2"/>
      <c r="C82" s="583"/>
      <c r="D82" s="583"/>
      <c r="E82" s="2"/>
      <c r="F82" s="3"/>
      <c r="G82" s="560"/>
      <c r="H82" s="560"/>
      <c r="I82" s="560"/>
      <c r="J82" s="560"/>
      <c r="K82" s="560"/>
      <c r="L82" s="560"/>
      <c r="M82" s="560"/>
      <c r="O82" s="560"/>
      <c r="P82" s="560"/>
      <c r="Q82" s="560"/>
      <c r="R82" s="560"/>
      <c r="S82" s="560"/>
      <c r="T82" s="560"/>
      <c r="U82" s="560"/>
      <c r="V82" s="560"/>
      <c r="W82" s="560"/>
      <c r="X82" s="560"/>
      <c r="Y82" s="560"/>
      <c r="Z82" s="560"/>
      <c r="AA82" s="560"/>
      <c r="AB82" s="560"/>
      <c r="AC82" s="560"/>
      <c r="AD82" s="560"/>
      <c r="AE82" s="560"/>
    </row>
    <row r="83" spans="1:31" s="561" customFormat="1">
      <c r="A83" s="2"/>
      <c r="B83" s="2"/>
      <c r="C83" s="583"/>
      <c r="D83" s="583"/>
      <c r="E83" s="2"/>
      <c r="F83" s="3"/>
      <c r="G83" s="560"/>
      <c r="H83" s="560"/>
      <c r="I83" s="560"/>
      <c r="J83" s="560"/>
      <c r="K83" s="560"/>
      <c r="L83" s="560"/>
      <c r="M83" s="560"/>
      <c r="O83" s="560"/>
      <c r="P83" s="560"/>
      <c r="Q83" s="560"/>
      <c r="R83" s="560"/>
      <c r="S83" s="560"/>
      <c r="T83" s="560"/>
      <c r="U83" s="560"/>
      <c r="V83" s="560"/>
      <c r="W83" s="560"/>
      <c r="X83" s="560"/>
      <c r="Y83" s="560"/>
      <c r="Z83" s="560"/>
      <c r="AA83" s="560"/>
      <c r="AB83" s="560"/>
      <c r="AC83" s="560"/>
      <c r="AD83" s="560"/>
      <c r="AE83" s="560"/>
    </row>
    <row r="84" spans="1:31" s="561" customFormat="1">
      <c r="A84" s="2"/>
      <c r="B84" s="2"/>
      <c r="C84" s="583"/>
      <c r="D84" s="583"/>
      <c r="E84" s="2"/>
      <c r="F84" s="3"/>
      <c r="G84" s="560"/>
      <c r="H84" s="560"/>
      <c r="I84" s="560"/>
      <c r="J84" s="560"/>
      <c r="K84" s="560"/>
      <c r="L84" s="560"/>
      <c r="M84" s="560"/>
      <c r="O84" s="560"/>
      <c r="P84" s="560"/>
      <c r="Q84" s="560"/>
      <c r="R84" s="560"/>
      <c r="S84" s="560"/>
      <c r="T84" s="560"/>
      <c r="U84" s="560"/>
      <c r="V84" s="560"/>
      <c r="W84" s="560"/>
      <c r="X84" s="560"/>
      <c r="Y84" s="560"/>
      <c r="Z84" s="560"/>
      <c r="AA84" s="560"/>
      <c r="AB84" s="560"/>
      <c r="AC84" s="560"/>
      <c r="AD84" s="560"/>
      <c r="AE84" s="560"/>
    </row>
    <row r="85" spans="1:31" s="561" customFormat="1">
      <c r="A85" s="2"/>
      <c r="B85" s="2"/>
      <c r="C85" s="583"/>
      <c r="D85" s="583"/>
      <c r="E85" s="2"/>
      <c r="F85" s="3"/>
      <c r="G85" s="560"/>
      <c r="H85" s="560"/>
      <c r="I85" s="560"/>
      <c r="J85" s="560"/>
      <c r="K85" s="560"/>
      <c r="L85" s="560"/>
      <c r="M85" s="560"/>
      <c r="O85" s="560"/>
      <c r="P85" s="560"/>
      <c r="Q85" s="560"/>
      <c r="R85" s="560"/>
      <c r="S85" s="560"/>
      <c r="T85" s="560"/>
      <c r="U85" s="560"/>
      <c r="V85" s="560"/>
      <c r="W85" s="560"/>
      <c r="X85" s="560"/>
      <c r="Y85" s="560"/>
      <c r="Z85" s="560"/>
      <c r="AA85" s="560"/>
      <c r="AB85" s="560"/>
      <c r="AC85" s="560"/>
      <c r="AD85" s="560"/>
      <c r="AE85" s="560"/>
    </row>
    <row r="86" spans="1:31" s="561" customFormat="1">
      <c r="A86" s="2"/>
      <c r="B86" s="2"/>
      <c r="C86" s="583"/>
      <c r="D86" s="583"/>
      <c r="E86" s="2"/>
      <c r="F86" s="3"/>
      <c r="G86" s="560"/>
      <c r="H86" s="560"/>
      <c r="I86" s="560"/>
      <c r="J86" s="560"/>
      <c r="K86" s="560"/>
      <c r="L86" s="560"/>
      <c r="M86" s="560"/>
      <c r="O86" s="560"/>
      <c r="P86" s="560"/>
      <c r="Q86" s="560"/>
      <c r="R86" s="560"/>
      <c r="S86" s="560"/>
      <c r="T86" s="560"/>
      <c r="U86" s="560"/>
      <c r="V86" s="560"/>
      <c r="W86" s="560"/>
      <c r="X86" s="560"/>
      <c r="Y86" s="560"/>
      <c r="Z86" s="560"/>
      <c r="AA86" s="560"/>
      <c r="AB86" s="560"/>
      <c r="AC86" s="560"/>
      <c r="AD86" s="560"/>
      <c r="AE86" s="560"/>
    </row>
    <row r="87" spans="1:31" s="561" customFormat="1">
      <c r="A87" s="2"/>
      <c r="B87" s="2"/>
      <c r="C87" s="583"/>
      <c r="D87" s="583"/>
      <c r="E87" s="2"/>
      <c r="F87" s="3"/>
      <c r="G87" s="560"/>
      <c r="H87" s="560"/>
      <c r="I87" s="560"/>
      <c r="J87" s="560"/>
      <c r="K87" s="560"/>
      <c r="L87" s="560"/>
      <c r="M87" s="560"/>
      <c r="O87" s="560"/>
      <c r="P87" s="560"/>
      <c r="Q87" s="560"/>
      <c r="R87" s="560"/>
      <c r="S87" s="560"/>
      <c r="T87" s="560"/>
      <c r="U87" s="560"/>
      <c r="V87" s="560"/>
      <c r="W87" s="560"/>
      <c r="X87" s="560"/>
      <c r="Y87" s="560"/>
      <c r="Z87" s="560"/>
      <c r="AA87" s="560"/>
      <c r="AB87" s="560"/>
      <c r="AC87" s="560"/>
      <c r="AD87" s="560"/>
      <c r="AE87" s="560"/>
    </row>
    <row r="88" spans="1:31" s="561" customFormat="1">
      <c r="A88" s="2"/>
      <c r="B88" s="2"/>
      <c r="C88" s="583"/>
      <c r="D88" s="583"/>
      <c r="E88" s="2"/>
      <c r="F88" s="3"/>
      <c r="G88" s="560"/>
      <c r="H88" s="560"/>
      <c r="I88" s="560"/>
      <c r="J88" s="560"/>
      <c r="K88" s="560"/>
      <c r="L88" s="560"/>
      <c r="M88" s="560"/>
      <c r="O88" s="560"/>
      <c r="P88" s="560"/>
      <c r="Q88" s="560"/>
      <c r="R88" s="560"/>
      <c r="S88" s="560"/>
      <c r="T88" s="560"/>
      <c r="U88" s="560"/>
      <c r="V88" s="560"/>
      <c r="W88" s="560"/>
      <c r="X88" s="560"/>
      <c r="Y88" s="560"/>
      <c r="Z88" s="560"/>
      <c r="AA88" s="560"/>
      <c r="AB88" s="560"/>
      <c r="AC88" s="560"/>
      <c r="AD88" s="560"/>
      <c r="AE88" s="560"/>
    </row>
    <row r="89" spans="1:31" s="561" customFormat="1">
      <c r="A89" s="2"/>
      <c r="B89" s="2"/>
      <c r="C89" s="583"/>
      <c r="D89" s="583"/>
      <c r="E89" s="2"/>
      <c r="F89" s="3"/>
      <c r="G89" s="560"/>
      <c r="H89" s="560"/>
      <c r="I89" s="560"/>
      <c r="J89" s="560"/>
      <c r="K89" s="560"/>
      <c r="L89" s="560"/>
      <c r="M89" s="560"/>
      <c r="O89" s="560"/>
      <c r="P89" s="560"/>
      <c r="Q89" s="560"/>
      <c r="R89" s="560"/>
      <c r="S89" s="560"/>
      <c r="T89" s="560"/>
      <c r="U89" s="560"/>
      <c r="V89" s="560"/>
      <c r="W89" s="560"/>
      <c r="X89" s="560"/>
      <c r="Y89" s="560"/>
      <c r="Z89" s="560"/>
      <c r="AA89" s="560"/>
      <c r="AB89" s="560"/>
      <c r="AC89" s="560"/>
      <c r="AD89" s="560"/>
      <c r="AE89" s="560"/>
    </row>
    <row r="90" spans="1:31" s="561" customFormat="1">
      <c r="A90" s="2"/>
      <c r="B90" s="2"/>
      <c r="C90" s="583"/>
      <c r="D90" s="583"/>
      <c r="E90" s="2"/>
      <c r="F90" s="3"/>
      <c r="G90" s="560"/>
      <c r="H90" s="560"/>
      <c r="I90" s="560"/>
      <c r="J90" s="560"/>
      <c r="K90" s="560"/>
      <c r="L90" s="560"/>
      <c r="M90" s="560"/>
      <c r="O90" s="560"/>
      <c r="P90" s="560"/>
      <c r="Q90" s="560"/>
      <c r="R90" s="560"/>
      <c r="S90" s="560"/>
      <c r="T90" s="560"/>
      <c r="U90" s="560"/>
      <c r="V90" s="560"/>
      <c r="W90" s="560"/>
      <c r="X90" s="560"/>
      <c r="Y90" s="560"/>
      <c r="Z90" s="560"/>
      <c r="AA90" s="560"/>
      <c r="AB90" s="560"/>
      <c r="AC90" s="560"/>
      <c r="AD90" s="560"/>
      <c r="AE90" s="560"/>
    </row>
    <row r="91" spans="1:31" s="561" customFormat="1">
      <c r="A91" s="2"/>
      <c r="B91" s="2"/>
      <c r="C91" s="583"/>
      <c r="D91" s="583"/>
      <c r="E91" s="2"/>
      <c r="F91" s="3"/>
      <c r="G91" s="560"/>
      <c r="H91" s="560"/>
      <c r="I91" s="560"/>
      <c r="J91" s="560"/>
      <c r="K91" s="560"/>
      <c r="L91" s="560"/>
      <c r="M91" s="560"/>
      <c r="O91" s="560"/>
      <c r="P91" s="560"/>
      <c r="Q91" s="560"/>
      <c r="R91" s="560"/>
      <c r="S91" s="560"/>
      <c r="T91" s="560"/>
      <c r="U91" s="560"/>
      <c r="V91" s="560"/>
      <c r="W91" s="560"/>
      <c r="X91" s="560"/>
      <c r="Y91" s="560"/>
      <c r="Z91" s="560"/>
      <c r="AA91" s="560"/>
      <c r="AB91" s="560"/>
      <c r="AC91" s="560"/>
      <c r="AD91" s="560"/>
      <c r="AE91" s="560"/>
    </row>
    <row r="92" spans="1:31" s="561" customFormat="1">
      <c r="A92" s="2"/>
      <c r="B92" s="2"/>
      <c r="C92" s="583"/>
      <c r="D92" s="583"/>
      <c r="E92" s="2"/>
      <c r="F92" s="3"/>
      <c r="G92" s="560"/>
      <c r="H92" s="560"/>
      <c r="I92" s="560"/>
      <c r="J92" s="560"/>
      <c r="K92" s="560"/>
      <c r="L92" s="560"/>
      <c r="M92" s="560"/>
      <c r="O92" s="560"/>
      <c r="P92" s="560"/>
      <c r="Q92" s="560"/>
      <c r="R92" s="560"/>
      <c r="S92" s="560"/>
      <c r="T92" s="560"/>
      <c r="U92" s="560"/>
      <c r="V92" s="560"/>
      <c r="W92" s="560"/>
      <c r="X92" s="560"/>
      <c r="Y92" s="560"/>
      <c r="Z92" s="560"/>
      <c r="AA92" s="560"/>
      <c r="AB92" s="560"/>
      <c r="AC92" s="560"/>
      <c r="AD92" s="560"/>
      <c r="AE92" s="560"/>
    </row>
    <row r="93" spans="1:31" s="561" customFormat="1">
      <c r="A93" s="2"/>
      <c r="B93" s="2"/>
      <c r="C93" s="583"/>
      <c r="D93" s="583"/>
      <c r="E93" s="2"/>
      <c r="F93" s="3"/>
      <c r="G93" s="560"/>
      <c r="H93" s="560"/>
      <c r="I93" s="560"/>
      <c r="J93" s="560"/>
      <c r="K93" s="560"/>
      <c r="L93" s="560"/>
      <c r="M93" s="560"/>
      <c r="O93" s="560"/>
      <c r="P93" s="560"/>
      <c r="Q93" s="560"/>
      <c r="R93" s="560"/>
      <c r="S93" s="560"/>
      <c r="T93" s="560"/>
      <c r="U93" s="560"/>
      <c r="V93" s="560"/>
      <c r="W93" s="560"/>
      <c r="X93" s="560"/>
      <c r="Y93" s="560"/>
      <c r="Z93" s="560"/>
      <c r="AA93" s="560"/>
      <c r="AB93" s="560"/>
      <c r="AC93" s="560"/>
      <c r="AD93" s="560"/>
      <c r="AE93" s="560"/>
    </row>
    <row r="94" spans="1:31" s="561" customFormat="1">
      <c r="A94" s="2"/>
      <c r="B94" s="2"/>
      <c r="C94" s="583"/>
      <c r="D94" s="583"/>
      <c r="E94" s="2"/>
      <c r="F94" s="3"/>
      <c r="G94" s="560"/>
      <c r="H94" s="560"/>
      <c r="I94" s="560"/>
      <c r="J94" s="560"/>
      <c r="K94" s="560"/>
      <c r="L94" s="560"/>
      <c r="M94" s="560"/>
      <c r="O94" s="560"/>
      <c r="P94" s="560"/>
      <c r="Q94" s="560"/>
      <c r="R94" s="560"/>
      <c r="S94" s="560"/>
      <c r="T94" s="560"/>
      <c r="U94" s="560"/>
      <c r="V94" s="560"/>
      <c r="W94" s="560"/>
      <c r="X94" s="560"/>
      <c r="Y94" s="560"/>
      <c r="Z94" s="560"/>
      <c r="AA94" s="560"/>
      <c r="AB94" s="560"/>
      <c r="AC94" s="560"/>
      <c r="AD94" s="560"/>
      <c r="AE94" s="560"/>
    </row>
    <row r="95" spans="1:31" s="561" customFormat="1">
      <c r="A95" s="2"/>
      <c r="B95" s="2"/>
      <c r="C95" s="583"/>
      <c r="D95" s="583"/>
      <c r="E95" s="2"/>
      <c r="F95" s="3"/>
      <c r="G95" s="560"/>
      <c r="H95" s="560"/>
      <c r="I95" s="560"/>
      <c r="J95" s="560"/>
      <c r="K95" s="560"/>
      <c r="L95" s="560"/>
      <c r="M95" s="560"/>
      <c r="O95" s="560"/>
      <c r="P95" s="560"/>
      <c r="Q95" s="560"/>
      <c r="R95" s="560"/>
      <c r="S95" s="560"/>
      <c r="T95" s="560"/>
      <c r="U95" s="560"/>
      <c r="V95" s="560"/>
      <c r="W95" s="560"/>
      <c r="X95" s="560"/>
      <c r="Y95" s="560"/>
      <c r="Z95" s="560"/>
      <c r="AA95" s="560"/>
      <c r="AB95" s="560"/>
      <c r="AC95" s="560"/>
      <c r="AD95" s="560"/>
      <c r="AE95" s="560"/>
    </row>
    <row r="96" spans="1:31" s="561" customFormat="1">
      <c r="A96" s="2"/>
      <c r="B96" s="2"/>
      <c r="C96" s="583"/>
      <c r="D96" s="583"/>
      <c r="E96" s="2"/>
      <c r="F96" s="3"/>
      <c r="G96" s="560"/>
      <c r="H96" s="560"/>
      <c r="I96" s="560"/>
      <c r="J96" s="560"/>
      <c r="K96" s="560"/>
      <c r="L96" s="560"/>
      <c r="M96" s="560"/>
      <c r="O96" s="560"/>
      <c r="P96" s="560"/>
      <c r="Q96" s="560"/>
      <c r="R96" s="560"/>
      <c r="S96" s="560"/>
      <c r="T96" s="560"/>
      <c r="U96" s="560"/>
      <c r="V96" s="560"/>
      <c r="W96" s="560"/>
      <c r="X96" s="560"/>
      <c r="Y96" s="560"/>
      <c r="Z96" s="560"/>
      <c r="AA96" s="560"/>
      <c r="AB96" s="560"/>
      <c r="AC96" s="560"/>
      <c r="AD96" s="560"/>
      <c r="AE96" s="560"/>
    </row>
    <row r="97" spans="1:31" s="561" customFormat="1">
      <c r="A97" s="2"/>
      <c r="B97" s="2"/>
      <c r="C97" s="583"/>
      <c r="D97" s="583"/>
      <c r="E97" s="2"/>
      <c r="F97" s="3"/>
      <c r="G97" s="560"/>
      <c r="H97" s="560"/>
      <c r="I97" s="560"/>
      <c r="J97" s="560"/>
      <c r="K97" s="560"/>
      <c r="L97" s="560"/>
      <c r="M97" s="560"/>
      <c r="O97" s="560"/>
      <c r="P97" s="560"/>
      <c r="Q97" s="560"/>
      <c r="R97" s="560"/>
      <c r="S97" s="560"/>
      <c r="T97" s="560"/>
      <c r="U97" s="560"/>
      <c r="V97" s="560"/>
      <c r="W97" s="560"/>
      <c r="X97" s="560"/>
      <c r="Y97" s="560"/>
      <c r="Z97" s="560"/>
      <c r="AA97" s="560"/>
      <c r="AB97" s="560"/>
      <c r="AC97" s="560"/>
      <c r="AD97" s="560"/>
      <c r="AE97" s="560"/>
    </row>
    <row r="98" spans="1:31" s="561" customFormat="1">
      <c r="A98" s="2"/>
      <c r="B98" s="2"/>
      <c r="C98" s="583"/>
      <c r="D98" s="583"/>
      <c r="E98" s="2"/>
      <c r="F98" s="3"/>
      <c r="G98" s="560"/>
      <c r="H98" s="560"/>
      <c r="I98" s="560"/>
      <c r="J98" s="560"/>
      <c r="K98" s="560"/>
      <c r="L98" s="560"/>
      <c r="M98" s="560"/>
      <c r="O98" s="560"/>
      <c r="P98" s="560"/>
      <c r="Q98" s="560"/>
      <c r="R98" s="560"/>
      <c r="S98" s="560"/>
      <c r="T98" s="560"/>
      <c r="U98" s="560"/>
      <c r="V98" s="560"/>
      <c r="W98" s="560"/>
      <c r="X98" s="560"/>
      <c r="Y98" s="560"/>
      <c r="Z98" s="560"/>
      <c r="AA98" s="560"/>
      <c r="AB98" s="560"/>
      <c r="AC98" s="560"/>
      <c r="AD98" s="560"/>
      <c r="AE98" s="560"/>
    </row>
    <row r="99" spans="1:31" s="561" customFormat="1">
      <c r="A99" s="2"/>
      <c r="B99" s="2"/>
      <c r="C99" s="583"/>
      <c r="D99" s="583"/>
      <c r="E99" s="2"/>
      <c r="F99" s="3"/>
      <c r="G99" s="560"/>
      <c r="H99" s="560"/>
      <c r="I99" s="560"/>
      <c r="J99" s="560"/>
      <c r="K99" s="560"/>
      <c r="L99" s="560"/>
      <c r="M99" s="560"/>
      <c r="O99" s="560"/>
      <c r="P99" s="560"/>
      <c r="Q99" s="560"/>
      <c r="R99" s="560"/>
      <c r="S99" s="560"/>
      <c r="T99" s="560"/>
      <c r="U99" s="560"/>
      <c r="V99" s="560"/>
      <c r="W99" s="560"/>
      <c r="X99" s="560"/>
      <c r="Y99" s="560"/>
      <c r="Z99" s="560"/>
      <c r="AA99" s="560"/>
      <c r="AB99" s="560"/>
      <c r="AC99" s="560"/>
      <c r="AD99" s="560"/>
      <c r="AE99" s="560"/>
    </row>
    <row r="100" spans="1:31" s="561" customFormat="1">
      <c r="A100" s="2"/>
      <c r="B100" s="2"/>
      <c r="C100" s="583"/>
      <c r="D100" s="583"/>
      <c r="E100" s="2"/>
      <c r="F100" s="3"/>
      <c r="G100" s="560"/>
      <c r="H100" s="560"/>
      <c r="I100" s="560"/>
      <c r="J100" s="560"/>
      <c r="K100" s="560"/>
      <c r="L100" s="560"/>
      <c r="M100" s="560"/>
      <c r="O100" s="560"/>
      <c r="P100" s="560"/>
      <c r="Q100" s="560"/>
      <c r="R100" s="560"/>
      <c r="S100" s="560"/>
      <c r="T100" s="560"/>
      <c r="U100" s="560"/>
      <c r="V100" s="560"/>
      <c r="W100" s="560"/>
      <c r="X100" s="560"/>
      <c r="Y100" s="560"/>
      <c r="Z100" s="560"/>
      <c r="AA100" s="560"/>
      <c r="AB100" s="560"/>
      <c r="AC100" s="560"/>
      <c r="AD100" s="560"/>
      <c r="AE100" s="560"/>
    </row>
    <row r="101" spans="1:31" s="561" customFormat="1">
      <c r="A101" s="2"/>
      <c r="B101" s="2"/>
      <c r="C101" s="583"/>
      <c r="D101" s="583"/>
      <c r="E101" s="2"/>
      <c r="F101" s="3"/>
      <c r="G101" s="560"/>
      <c r="H101" s="560"/>
      <c r="I101" s="560"/>
      <c r="J101" s="560"/>
      <c r="K101" s="560"/>
      <c r="L101" s="560"/>
      <c r="M101" s="560"/>
      <c r="O101" s="560"/>
      <c r="P101" s="560"/>
      <c r="Q101" s="560"/>
      <c r="R101" s="560"/>
      <c r="S101" s="560"/>
      <c r="T101" s="560"/>
      <c r="U101" s="560"/>
      <c r="V101" s="560"/>
      <c r="W101" s="560"/>
      <c r="X101" s="560"/>
      <c r="Y101" s="560"/>
      <c r="Z101" s="560"/>
      <c r="AA101" s="560"/>
      <c r="AB101" s="560"/>
      <c r="AC101" s="560"/>
      <c r="AD101" s="560"/>
      <c r="AE101" s="560"/>
    </row>
    <row r="102" spans="1:31" s="561" customFormat="1">
      <c r="A102" s="2"/>
      <c r="B102" s="2"/>
      <c r="C102" s="583"/>
      <c r="D102" s="583"/>
      <c r="E102" s="2"/>
      <c r="F102" s="3"/>
      <c r="G102" s="560"/>
      <c r="H102" s="560"/>
      <c r="I102" s="560"/>
      <c r="J102" s="560"/>
      <c r="K102" s="560"/>
      <c r="L102" s="560"/>
      <c r="M102" s="560"/>
      <c r="O102" s="560"/>
      <c r="P102" s="560"/>
      <c r="Q102" s="560"/>
      <c r="R102" s="560"/>
      <c r="S102" s="560"/>
      <c r="T102" s="560"/>
      <c r="U102" s="560"/>
      <c r="V102" s="560"/>
      <c r="W102" s="560"/>
      <c r="X102" s="560"/>
      <c r="Y102" s="560"/>
      <c r="Z102" s="560"/>
      <c r="AA102" s="560"/>
      <c r="AB102" s="560"/>
      <c r="AC102" s="560"/>
      <c r="AD102" s="560"/>
      <c r="AE102" s="560"/>
    </row>
    <row r="103" spans="1:31" s="561" customFormat="1">
      <c r="A103" s="2"/>
      <c r="B103" s="2"/>
      <c r="C103" s="583"/>
      <c r="D103" s="583"/>
      <c r="E103" s="2"/>
      <c r="F103" s="3"/>
      <c r="G103" s="560"/>
      <c r="H103" s="560"/>
      <c r="I103" s="560"/>
      <c r="J103" s="560"/>
      <c r="K103" s="560"/>
      <c r="L103" s="560"/>
      <c r="M103" s="560"/>
      <c r="O103" s="560"/>
      <c r="P103" s="560"/>
      <c r="Q103" s="560"/>
      <c r="R103" s="560"/>
      <c r="S103" s="560"/>
      <c r="T103" s="560"/>
      <c r="U103" s="560"/>
      <c r="V103" s="560"/>
      <c r="W103" s="560"/>
      <c r="X103" s="560"/>
      <c r="Y103" s="560"/>
      <c r="Z103" s="560"/>
      <c r="AA103" s="560"/>
      <c r="AB103" s="560"/>
      <c r="AC103" s="560"/>
      <c r="AD103" s="560"/>
      <c r="AE103" s="560"/>
    </row>
    <row r="104" spans="1:31" s="561" customFormat="1">
      <c r="A104" s="2"/>
      <c r="B104" s="2"/>
      <c r="C104" s="583"/>
      <c r="D104" s="583"/>
      <c r="E104" s="2"/>
      <c r="F104" s="3"/>
      <c r="G104" s="560"/>
      <c r="H104" s="560"/>
      <c r="I104" s="560"/>
      <c r="J104" s="560"/>
      <c r="K104" s="560"/>
      <c r="L104" s="560"/>
      <c r="M104" s="560"/>
      <c r="O104" s="560"/>
      <c r="P104" s="560"/>
      <c r="Q104" s="560"/>
      <c r="R104" s="560"/>
      <c r="S104" s="560"/>
      <c r="T104" s="560"/>
      <c r="U104" s="560"/>
      <c r="V104" s="560"/>
      <c r="W104" s="560"/>
      <c r="X104" s="560"/>
      <c r="Y104" s="560"/>
      <c r="Z104" s="560"/>
      <c r="AA104" s="560"/>
      <c r="AB104" s="560"/>
      <c r="AC104" s="560"/>
      <c r="AD104" s="560"/>
      <c r="AE104" s="560"/>
    </row>
    <row r="105" spans="1:31" s="561" customFormat="1">
      <c r="A105" s="2"/>
      <c r="B105" s="2"/>
      <c r="C105" s="583"/>
      <c r="D105" s="583"/>
      <c r="E105" s="2"/>
      <c r="F105" s="3"/>
      <c r="G105" s="560"/>
      <c r="H105" s="560"/>
      <c r="I105" s="560"/>
      <c r="J105" s="560"/>
      <c r="K105" s="560"/>
      <c r="L105" s="560"/>
      <c r="M105" s="560"/>
      <c r="O105" s="560"/>
      <c r="P105" s="560"/>
      <c r="Q105" s="560"/>
      <c r="R105" s="560"/>
      <c r="S105" s="560"/>
      <c r="T105" s="560"/>
      <c r="U105" s="560"/>
      <c r="V105" s="560"/>
      <c r="W105" s="560"/>
      <c r="X105" s="560"/>
      <c r="Y105" s="560"/>
      <c r="Z105" s="560"/>
      <c r="AA105" s="560"/>
      <c r="AB105" s="560"/>
      <c r="AC105" s="560"/>
      <c r="AD105" s="560"/>
      <c r="AE105" s="560"/>
    </row>
    <row r="106" spans="1:31" s="561" customFormat="1">
      <c r="A106" s="2"/>
      <c r="B106" s="2"/>
      <c r="C106" s="583"/>
      <c r="D106" s="583"/>
      <c r="E106" s="2"/>
      <c r="F106" s="3"/>
      <c r="G106" s="560"/>
      <c r="H106" s="560"/>
      <c r="I106" s="560"/>
      <c r="J106" s="560"/>
      <c r="K106" s="560"/>
      <c r="L106" s="560"/>
      <c r="M106" s="560"/>
      <c r="O106" s="560"/>
      <c r="P106" s="560"/>
      <c r="Q106" s="560"/>
      <c r="R106" s="560"/>
      <c r="S106" s="560"/>
      <c r="T106" s="560"/>
      <c r="U106" s="560"/>
      <c r="V106" s="560"/>
      <c r="W106" s="560"/>
      <c r="X106" s="560"/>
      <c r="Y106" s="560"/>
      <c r="Z106" s="560"/>
      <c r="AA106" s="560"/>
      <c r="AB106" s="560"/>
      <c r="AC106" s="560"/>
      <c r="AD106" s="560"/>
      <c r="AE106" s="560"/>
    </row>
    <row r="107" spans="1:31" s="561" customFormat="1">
      <c r="A107" s="2"/>
      <c r="B107" s="2"/>
      <c r="C107" s="583"/>
      <c r="D107" s="583"/>
      <c r="E107" s="2"/>
      <c r="F107" s="3"/>
      <c r="G107" s="560"/>
      <c r="H107" s="560"/>
      <c r="I107" s="560"/>
      <c r="J107" s="560"/>
      <c r="K107" s="560"/>
      <c r="L107" s="560"/>
      <c r="M107" s="560"/>
      <c r="O107" s="560"/>
      <c r="P107" s="560"/>
      <c r="Q107" s="560"/>
      <c r="R107" s="560"/>
      <c r="S107" s="560"/>
      <c r="T107" s="560"/>
      <c r="U107" s="560"/>
      <c r="V107" s="560"/>
      <c r="W107" s="560"/>
      <c r="X107" s="560"/>
      <c r="Y107" s="560"/>
      <c r="Z107" s="560"/>
      <c r="AA107" s="560"/>
      <c r="AB107" s="560"/>
      <c r="AC107" s="560"/>
      <c r="AD107" s="560"/>
      <c r="AE107" s="560"/>
    </row>
    <row r="108" spans="1:31" s="561" customFormat="1">
      <c r="A108" s="2"/>
      <c r="B108" s="2"/>
      <c r="C108" s="583"/>
      <c r="D108" s="583"/>
      <c r="E108" s="2"/>
      <c r="F108" s="3"/>
      <c r="G108" s="560"/>
      <c r="H108" s="560"/>
      <c r="I108" s="560"/>
      <c r="J108" s="560"/>
      <c r="K108" s="560"/>
      <c r="L108" s="560"/>
      <c r="M108" s="560"/>
      <c r="O108" s="560"/>
      <c r="P108" s="560"/>
      <c r="Q108" s="560"/>
      <c r="R108" s="560"/>
      <c r="S108" s="560"/>
      <c r="T108" s="560"/>
      <c r="U108" s="560"/>
      <c r="V108" s="560"/>
      <c r="W108" s="560"/>
      <c r="X108" s="560"/>
      <c r="Y108" s="560"/>
      <c r="Z108" s="560"/>
      <c r="AA108" s="560"/>
      <c r="AB108" s="560"/>
      <c r="AC108" s="560"/>
      <c r="AD108" s="560"/>
      <c r="AE108" s="560"/>
    </row>
    <row r="109" spans="1:31" s="561" customFormat="1">
      <c r="A109" s="2"/>
      <c r="B109" s="2"/>
      <c r="C109" s="583"/>
      <c r="D109" s="583"/>
      <c r="E109" s="2"/>
      <c r="F109" s="3"/>
      <c r="G109" s="560"/>
      <c r="H109" s="560"/>
      <c r="I109" s="560"/>
      <c r="J109" s="560"/>
      <c r="K109" s="560"/>
      <c r="L109" s="560"/>
      <c r="M109" s="560"/>
      <c r="O109" s="560"/>
      <c r="P109" s="560"/>
      <c r="Q109" s="560"/>
      <c r="R109" s="560"/>
      <c r="S109" s="560"/>
      <c r="T109" s="560"/>
      <c r="U109" s="560"/>
      <c r="V109" s="560"/>
      <c r="W109" s="560"/>
      <c r="X109" s="560"/>
      <c r="Y109" s="560"/>
      <c r="Z109" s="560"/>
      <c r="AA109" s="560"/>
      <c r="AB109" s="560"/>
      <c r="AC109" s="560"/>
      <c r="AD109" s="560"/>
      <c r="AE109" s="560"/>
    </row>
    <row r="110" spans="1:31" s="561" customFormat="1">
      <c r="A110" s="2"/>
      <c r="B110" s="2"/>
      <c r="C110" s="583"/>
      <c r="D110" s="583"/>
      <c r="E110" s="2"/>
      <c r="F110" s="3"/>
      <c r="G110" s="560"/>
      <c r="H110" s="560"/>
      <c r="I110" s="560"/>
      <c r="J110" s="560"/>
      <c r="K110" s="560"/>
      <c r="L110" s="560"/>
      <c r="M110" s="560"/>
      <c r="O110" s="560"/>
      <c r="P110" s="560"/>
      <c r="Q110" s="560"/>
      <c r="R110" s="560"/>
      <c r="S110" s="560"/>
      <c r="T110" s="560"/>
      <c r="U110" s="560"/>
      <c r="V110" s="560"/>
      <c r="W110" s="560"/>
      <c r="X110" s="560"/>
      <c r="Y110" s="560"/>
      <c r="Z110" s="560"/>
      <c r="AA110" s="560"/>
      <c r="AB110" s="560"/>
      <c r="AC110" s="560"/>
      <c r="AD110" s="560"/>
      <c r="AE110" s="560"/>
    </row>
    <row r="111" spans="1:31" s="561" customFormat="1">
      <c r="A111" s="2"/>
      <c r="B111" s="2"/>
      <c r="C111" s="583"/>
      <c r="D111" s="583"/>
      <c r="E111" s="2"/>
      <c r="F111" s="3"/>
      <c r="G111" s="560"/>
      <c r="H111" s="560"/>
      <c r="I111" s="560"/>
      <c r="J111" s="560"/>
      <c r="K111" s="560"/>
      <c r="L111" s="560"/>
      <c r="M111" s="560"/>
      <c r="O111" s="560"/>
      <c r="P111" s="560"/>
      <c r="Q111" s="560"/>
      <c r="R111" s="560"/>
      <c r="S111" s="560"/>
      <c r="T111" s="560"/>
      <c r="U111" s="560"/>
      <c r="V111" s="560"/>
      <c r="W111" s="560"/>
      <c r="X111" s="560"/>
      <c r="Y111" s="560"/>
      <c r="Z111" s="560"/>
      <c r="AA111" s="560"/>
      <c r="AB111" s="560"/>
      <c r="AC111" s="560"/>
      <c r="AD111" s="560"/>
      <c r="AE111" s="560"/>
    </row>
    <row r="112" spans="1:31" s="561" customFormat="1">
      <c r="A112" s="2"/>
      <c r="B112" s="2"/>
      <c r="C112" s="583"/>
      <c r="D112" s="583"/>
      <c r="E112" s="2"/>
      <c r="F112" s="3"/>
      <c r="G112" s="560"/>
      <c r="H112" s="560"/>
      <c r="I112" s="560"/>
      <c r="J112" s="560"/>
      <c r="K112" s="560"/>
      <c r="L112" s="560"/>
      <c r="M112" s="560"/>
      <c r="O112" s="560"/>
      <c r="P112" s="560"/>
      <c r="Q112" s="560"/>
      <c r="R112" s="560"/>
      <c r="S112" s="560"/>
      <c r="T112" s="560"/>
      <c r="U112" s="560"/>
      <c r="V112" s="560"/>
      <c r="W112" s="560"/>
      <c r="X112" s="560"/>
      <c r="Y112" s="560"/>
      <c r="Z112" s="560"/>
      <c r="AA112" s="560"/>
      <c r="AB112" s="560"/>
      <c r="AC112" s="560"/>
      <c r="AD112" s="560"/>
      <c r="AE112" s="560"/>
    </row>
    <row r="113" spans="1:31" s="561" customFormat="1">
      <c r="A113" s="2"/>
      <c r="B113" s="2"/>
      <c r="C113" s="583"/>
      <c r="D113" s="583"/>
      <c r="E113" s="2"/>
      <c r="F113" s="3"/>
      <c r="G113" s="560"/>
      <c r="H113" s="560"/>
      <c r="I113" s="560"/>
      <c r="J113" s="560"/>
      <c r="K113" s="560"/>
      <c r="L113" s="560"/>
      <c r="M113" s="560"/>
      <c r="O113" s="560"/>
      <c r="P113" s="560"/>
      <c r="Q113" s="560"/>
      <c r="R113" s="560"/>
      <c r="S113" s="560"/>
      <c r="T113" s="560"/>
      <c r="U113" s="560"/>
      <c r="V113" s="560"/>
      <c r="W113" s="560"/>
      <c r="X113" s="560"/>
      <c r="Y113" s="560"/>
      <c r="Z113" s="560"/>
      <c r="AA113" s="560"/>
      <c r="AB113" s="560"/>
      <c r="AC113" s="560"/>
      <c r="AD113" s="560"/>
      <c r="AE113" s="560"/>
    </row>
    <row r="114" spans="1:31" s="561" customFormat="1">
      <c r="A114" s="2"/>
      <c r="B114" s="2"/>
      <c r="C114" s="583"/>
      <c r="D114" s="583"/>
      <c r="E114" s="2"/>
      <c r="F114" s="3"/>
      <c r="G114" s="560"/>
      <c r="H114" s="560"/>
      <c r="I114" s="560"/>
      <c r="J114" s="560"/>
      <c r="K114" s="560"/>
      <c r="L114" s="560"/>
      <c r="M114" s="560"/>
      <c r="O114" s="560"/>
      <c r="P114" s="560"/>
      <c r="Q114" s="560"/>
      <c r="R114" s="560"/>
      <c r="S114" s="560"/>
      <c r="T114" s="560"/>
      <c r="U114" s="560"/>
      <c r="V114" s="560"/>
      <c r="W114" s="560"/>
      <c r="X114" s="560"/>
      <c r="Y114" s="560"/>
      <c r="Z114" s="560"/>
      <c r="AA114" s="560"/>
      <c r="AB114" s="560"/>
      <c r="AC114" s="560"/>
      <c r="AD114" s="560"/>
      <c r="AE114" s="560"/>
    </row>
    <row r="115" spans="1:31" s="561" customFormat="1">
      <c r="A115" s="2"/>
      <c r="B115" s="2"/>
      <c r="C115" s="583"/>
      <c r="D115" s="583"/>
      <c r="E115" s="2"/>
      <c r="F115" s="3"/>
      <c r="G115" s="560"/>
      <c r="H115" s="560"/>
      <c r="I115" s="560"/>
      <c r="J115" s="560"/>
      <c r="K115" s="560"/>
      <c r="L115" s="560"/>
      <c r="M115" s="560"/>
      <c r="O115" s="560"/>
      <c r="P115" s="560"/>
      <c r="Q115" s="560"/>
      <c r="R115" s="560"/>
      <c r="S115" s="560"/>
      <c r="T115" s="560"/>
      <c r="U115" s="560"/>
      <c r="V115" s="560"/>
      <c r="W115" s="560"/>
      <c r="X115" s="560"/>
      <c r="Y115" s="560"/>
      <c r="Z115" s="560"/>
      <c r="AA115" s="560"/>
      <c r="AB115" s="560"/>
      <c r="AC115" s="560"/>
      <c r="AD115" s="560"/>
      <c r="AE115" s="560"/>
    </row>
    <row r="116" spans="1:31" s="561" customFormat="1">
      <c r="A116" s="2"/>
      <c r="B116" s="2"/>
      <c r="C116" s="583"/>
      <c r="D116" s="583"/>
      <c r="E116" s="2"/>
      <c r="F116" s="3"/>
      <c r="G116" s="560"/>
      <c r="H116" s="560"/>
      <c r="I116" s="560"/>
      <c r="J116" s="560"/>
      <c r="K116" s="560"/>
      <c r="L116" s="560"/>
      <c r="M116" s="560"/>
      <c r="O116" s="560"/>
      <c r="P116" s="560"/>
      <c r="Q116" s="560"/>
      <c r="R116" s="560"/>
      <c r="S116" s="560"/>
      <c r="T116" s="560"/>
      <c r="U116" s="560"/>
      <c r="V116" s="560"/>
      <c r="W116" s="560"/>
      <c r="X116" s="560"/>
      <c r="Y116" s="560"/>
      <c r="Z116" s="560"/>
      <c r="AA116" s="560"/>
      <c r="AB116" s="560"/>
      <c r="AC116" s="560"/>
      <c r="AD116" s="560"/>
      <c r="AE116" s="560"/>
    </row>
    <row r="117" spans="1:31" s="561" customFormat="1">
      <c r="A117" s="2"/>
      <c r="B117" s="2"/>
      <c r="C117" s="583"/>
      <c r="D117" s="583"/>
      <c r="E117" s="2"/>
      <c r="F117" s="3"/>
      <c r="G117" s="560"/>
      <c r="H117" s="560"/>
      <c r="I117" s="560"/>
      <c r="J117" s="560"/>
      <c r="K117" s="560"/>
      <c r="L117" s="560"/>
      <c r="M117" s="560"/>
      <c r="O117" s="560"/>
      <c r="P117" s="560"/>
      <c r="Q117" s="560"/>
      <c r="R117" s="560"/>
      <c r="S117" s="560"/>
      <c r="T117" s="560"/>
      <c r="U117" s="560"/>
      <c r="V117" s="560"/>
      <c r="W117" s="560"/>
      <c r="X117" s="560"/>
      <c r="Y117" s="560"/>
      <c r="Z117" s="560"/>
      <c r="AA117" s="560"/>
      <c r="AB117" s="560"/>
      <c r="AC117" s="560"/>
      <c r="AD117" s="560"/>
      <c r="AE117" s="560"/>
    </row>
    <row r="118" spans="1:31" s="561" customFormat="1">
      <c r="A118" s="2"/>
      <c r="B118" s="2"/>
      <c r="C118" s="583"/>
      <c r="D118" s="583"/>
      <c r="E118" s="2"/>
      <c r="F118" s="3"/>
      <c r="G118" s="560"/>
      <c r="H118" s="560"/>
      <c r="I118" s="560"/>
      <c r="J118" s="560"/>
      <c r="K118" s="560"/>
      <c r="L118" s="560"/>
      <c r="M118" s="560"/>
      <c r="O118" s="560"/>
      <c r="P118" s="560"/>
      <c r="Q118" s="560"/>
      <c r="R118" s="560"/>
      <c r="S118" s="560"/>
      <c r="T118" s="560"/>
      <c r="U118" s="560"/>
      <c r="V118" s="560"/>
      <c r="W118" s="560"/>
      <c r="X118" s="560"/>
      <c r="Y118" s="560"/>
      <c r="Z118" s="560"/>
      <c r="AA118" s="560"/>
      <c r="AB118" s="560"/>
      <c r="AC118" s="560"/>
      <c r="AD118" s="560"/>
      <c r="AE118" s="560"/>
    </row>
    <row r="119" spans="1:31" s="561" customFormat="1">
      <c r="A119" s="2"/>
      <c r="B119" s="2"/>
      <c r="C119" s="583"/>
      <c r="D119" s="583"/>
      <c r="E119" s="2"/>
      <c r="F119" s="3"/>
      <c r="G119" s="560"/>
      <c r="H119" s="560"/>
      <c r="I119" s="560"/>
      <c r="J119" s="560"/>
      <c r="K119" s="560"/>
      <c r="L119" s="560"/>
      <c r="M119" s="560"/>
      <c r="O119" s="560"/>
      <c r="P119" s="560"/>
      <c r="Q119" s="560"/>
      <c r="R119" s="560"/>
      <c r="S119" s="560"/>
      <c r="T119" s="560"/>
      <c r="U119" s="560"/>
      <c r="V119" s="560"/>
      <c r="W119" s="560"/>
      <c r="X119" s="560"/>
      <c r="Y119" s="560"/>
      <c r="Z119" s="560"/>
      <c r="AA119" s="560"/>
      <c r="AB119" s="560"/>
      <c r="AC119" s="560"/>
      <c r="AD119" s="560"/>
      <c r="AE119" s="560"/>
    </row>
    <row r="120" spans="1:31" s="561" customFormat="1">
      <c r="A120" s="2"/>
      <c r="B120" s="2"/>
      <c r="C120" s="583"/>
      <c r="D120" s="583"/>
      <c r="E120" s="2"/>
      <c r="F120" s="3"/>
      <c r="G120" s="560"/>
      <c r="H120" s="560"/>
      <c r="I120" s="560"/>
      <c r="J120" s="560"/>
      <c r="K120" s="560"/>
      <c r="L120" s="560"/>
      <c r="M120" s="560"/>
      <c r="O120" s="560"/>
      <c r="P120" s="560"/>
      <c r="Q120" s="560"/>
      <c r="R120" s="560"/>
      <c r="S120" s="560"/>
      <c r="T120" s="560"/>
      <c r="U120" s="560"/>
      <c r="V120" s="560"/>
      <c r="W120" s="560"/>
      <c r="X120" s="560"/>
      <c r="Y120" s="560"/>
      <c r="Z120" s="560"/>
      <c r="AA120" s="560"/>
      <c r="AB120" s="560"/>
      <c r="AC120" s="560"/>
      <c r="AD120" s="560"/>
      <c r="AE120" s="560"/>
    </row>
    <row r="121" spans="1:31" s="561" customFormat="1">
      <c r="A121" s="2"/>
      <c r="B121" s="2"/>
      <c r="C121" s="583"/>
      <c r="D121" s="583"/>
      <c r="E121" s="2"/>
      <c r="F121" s="3"/>
      <c r="G121" s="560"/>
      <c r="H121" s="560"/>
      <c r="I121" s="560"/>
      <c r="J121" s="560"/>
      <c r="K121" s="560"/>
      <c r="L121" s="560"/>
      <c r="M121" s="560"/>
      <c r="O121" s="560"/>
      <c r="P121" s="560"/>
      <c r="Q121" s="560"/>
      <c r="R121" s="560"/>
      <c r="S121" s="560"/>
      <c r="T121" s="560"/>
      <c r="U121" s="560"/>
      <c r="V121" s="560"/>
      <c r="W121" s="560"/>
      <c r="X121" s="560"/>
      <c r="Y121" s="560"/>
      <c r="Z121" s="560"/>
      <c r="AA121" s="560"/>
      <c r="AB121" s="560"/>
      <c r="AC121" s="560"/>
      <c r="AD121" s="560"/>
      <c r="AE121" s="560"/>
    </row>
    <row r="122" spans="1:31" s="561" customFormat="1">
      <c r="A122" s="2"/>
      <c r="B122" s="2"/>
      <c r="C122" s="583"/>
      <c r="D122" s="583"/>
      <c r="E122" s="2"/>
      <c r="F122" s="3"/>
      <c r="G122" s="560"/>
      <c r="H122" s="560"/>
      <c r="I122" s="560"/>
      <c r="J122" s="560"/>
      <c r="K122" s="560"/>
      <c r="L122" s="560"/>
      <c r="M122" s="560"/>
      <c r="O122" s="560"/>
      <c r="P122" s="560"/>
      <c r="Q122" s="560"/>
      <c r="R122" s="560"/>
      <c r="S122" s="560"/>
      <c r="T122" s="560"/>
      <c r="U122" s="560"/>
      <c r="V122" s="560"/>
      <c r="W122" s="560"/>
      <c r="X122" s="560"/>
      <c r="Y122" s="560"/>
      <c r="Z122" s="560"/>
      <c r="AA122" s="560"/>
      <c r="AB122" s="560"/>
      <c r="AC122" s="560"/>
      <c r="AD122" s="560"/>
      <c r="AE122" s="560"/>
    </row>
    <row r="123" spans="1:31" s="561" customFormat="1">
      <c r="A123" s="2"/>
      <c r="B123" s="2"/>
      <c r="C123" s="583"/>
      <c r="D123" s="583"/>
      <c r="E123" s="2"/>
      <c r="F123" s="3"/>
      <c r="G123" s="560"/>
      <c r="H123" s="560"/>
      <c r="I123" s="560"/>
      <c r="J123" s="560"/>
      <c r="K123" s="560"/>
      <c r="L123" s="560"/>
      <c r="M123" s="560"/>
      <c r="O123" s="560"/>
      <c r="P123" s="560"/>
      <c r="Q123" s="560"/>
      <c r="R123" s="560"/>
      <c r="S123" s="560"/>
      <c r="T123" s="560"/>
      <c r="U123" s="560"/>
      <c r="V123" s="560"/>
      <c r="W123" s="560"/>
      <c r="X123" s="560"/>
      <c r="Y123" s="560"/>
      <c r="Z123" s="560"/>
      <c r="AA123" s="560"/>
      <c r="AB123" s="560"/>
      <c r="AC123" s="560"/>
      <c r="AD123" s="560"/>
      <c r="AE123" s="560"/>
    </row>
    <row r="124" spans="1:31" s="561" customFormat="1">
      <c r="A124" s="2"/>
      <c r="B124" s="2"/>
      <c r="C124" s="583"/>
      <c r="D124" s="583"/>
      <c r="E124" s="2"/>
      <c r="F124" s="3"/>
      <c r="G124" s="560"/>
      <c r="H124" s="560"/>
      <c r="I124" s="560"/>
      <c r="J124" s="560"/>
      <c r="K124" s="560"/>
      <c r="L124" s="560"/>
      <c r="M124" s="560"/>
      <c r="O124" s="560"/>
      <c r="P124" s="560"/>
      <c r="Q124" s="560"/>
      <c r="R124" s="560"/>
      <c r="S124" s="560"/>
      <c r="T124" s="560"/>
      <c r="U124" s="560"/>
      <c r="V124" s="560"/>
      <c r="W124" s="560"/>
      <c r="X124" s="560"/>
      <c r="Y124" s="560"/>
      <c r="Z124" s="560"/>
      <c r="AA124" s="560"/>
      <c r="AB124" s="560"/>
      <c r="AC124" s="560"/>
      <c r="AD124" s="560"/>
      <c r="AE124" s="560"/>
    </row>
    <row r="125" spans="1:31" s="561" customFormat="1">
      <c r="A125" s="2"/>
      <c r="B125" s="2"/>
      <c r="C125" s="583"/>
      <c r="D125" s="583"/>
      <c r="E125" s="2"/>
      <c r="F125" s="3"/>
      <c r="G125" s="560"/>
      <c r="H125" s="560"/>
      <c r="I125" s="560"/>
      <c r="J125" s="560"/>
      <c r="K125" s="560"/>
      <c r="L125" s="560"/>
      <c r="M125" s="560"/>
      <c r="O125" s="560"/>
      <c r="P125" s="560"/>
      <c r="Q125" s="560"/>
      <c r="R125" s="560"/>
      <c r="S125" s="560"/>
      <c r="T125" s="560"/>
      <c r="U125" s="560"/>
      <c r="V125" s="560"/>
      <c r="W125" s="560"/>
      <c r="X125" s="560"/>
      <c r="Y125" s="560"/>
      <c r="Z125" s="560"/>
      <c r="AA125" s="560"/>
      <c r="AB125" s="560"/>
      <c r="AC125" s="560"/>
      <c r="AD125" s="560"/>
      <c r="AE125" s="560"/>
    </row>
    <row r="126" spans="1:31" s="561" customFormat="1">
      <c r="A126" s="2"/>
      <c r="B126" s="2"/>
      <c r="C126" s="583"/>
      <c r="D126" s="583"/>
      <c r="E126" s="2"/>
      <c r="F126" s="3"/>
      <c r="G126" s="560"/>
      <c r="H126" s="560"/>
      <c r="I126" s="560"/>
      <c r="J126" s="560"/>
      <c r="K126" s="560"/>
      <c r="L126" s="560"/>
      <c r="M126" s="560"/>
      <c r="O126" s="560"/>
      <c r="P126" s="560"/>
      <c r="Q126" s="560"/>
      <c r="R126" s="560"/>
      <c r="S126" s="560"/>
      <c r="T126" s="560"/>
      <c r="U126" s="560"/>
      <c r="V126" s="560"/>
      <c r="W126" s="560"/>
      <c r="X126" s="560"/>
      <c r="Y126" s="560"/>
      <c r="Z126" s="560"/>
      <c r="AA126" s="560"/>
      <c r="AB126" s="560"/>
      <c r="AC126" s="560"/>
      <c r="AD126" s="560"/>
      <c r="AE126" s="560"/>
    </row>
    <row r="127" spans="1:31" s="561" customFormat="1">
      <c r="A127" s="2"/>
      <c r="B127" s="2"/>
      <c r="C127" s="583"/>
      <c r="D127" s="583"/>
      <c r="E127" s="2"/>
      <c r="F127" s="3"/>
      <c r="G127" s="560"/>
      <c r="H127" s="560"/>
      <c r="I127" s="560"/>
      <c r="J127" s="560"/>
      <c r="K127" s="560"/>
      <c r="L127" s="560"/>
      <c r="M127" s="560"/>
      <c r="O127" s="560"/>
      <c r="P127" s="560"/>
      <c r="Q127" s="560"/>
      <c r="R127" s="560"/>
      <c r="S127" s="560"/>
      <c r="T127" s="560"/>
      <c r="U127" s="560"/>
      <c r="V127" s="560"/>
      <c r="W127" s="560"/>
      <c r="X127" s="560"/>
      <c r="Y127" s="560"/>
      <c r="Z127" s="560"/>
      <c r="AA127" s="560"/>
      <c r="AB127" s="560"/>
      <c r="AC127" s="560"/>
      <c r="AD127" s="560"/>
      <c r="AE127" s="560"/>
    </row>
    <row r="128" spans="1:31" s="561" customFormat="1">
      <c r="A128" s="2"/>
      <c r="B128" s="2"/>
      <c r="C128" s="583"/>
      <c r="D128" s="583"/>
      <c r="E128" s="2"/>
      <c r="F128" s="3"/>
      <c r="G128" s="560"/>
      <c r="H128" s="560"/>
      <c r="I128" s="560"/>
      <c r="J128" s="560"/>
      <c r="K128" s="560"/>
      <c r="L128" s="560"/>
      <c r="M128" s="560"/>
      <c r="O128" s="560"/>
      <c r="P128" s="560"/>
      <c r="Q128" s="560"/>
      <c r="R128" s="560"/>
      <c r="S128" s="560"/>
      <c r="T128" s="560"/>
      <c r="U128" s="560"/>
      <c r="V128" s="560"/>
      <c r="W128" s="560"/>
      <c r="X128" s="560"/>
      <c r="Y128" s="560"/>
      <c r="Z128" s="560"/>
      <c r="AA128" s="560"/>
      <c r="AB128" s="560"/>
      <c r="AC128" s="560"/>
      <c r="AD128" s="560"/>
      <c r="AE128" s="560"/>
    </row>
    <row r="129" spans="1:31" s="561" customFormat="1">
      <c r="A129" s="2"/>
      <c r="B129" s="2"/>
      <c r="C129" s="583"/>
      <c r="D129" s="583"/>
      <c r="E129" s="2"/>
      <c r="F129" s="3"/>
      <c r="G129" s="560"/>
      <c r="H129" s="560"/>
      <c r="I129" s="560"/>
      <c r="J129" s="560"/>
      <c r="K129" s="560"/>
      <c r="L129" s="560"/>
      <c r="M129" s="560"/>
      <c r="O129" s="560"/>
      <c r="P129" s="560"/>
      <c r="Q129" s="560"/>
      <c r="R129" s="560"/>
      <c r="S129" s="560"/>
      <c r="T129" s="560"/>
      <c r="U129" s="560"/>
      <c r="V129" s="560"/>
      <c r="W129" s="560"/>
      <c r="X129" s="560"/>
      <c r="Y129" s="560"/>
      <c r="Z129" s="560"/>
      <c r="AA129" s="560"/>
      <c r="AB129" s="560"/>
      <c r="AC129" s="560"/>
      <c r="AD129" s="560"/>
      <c r="AE129" s="560"/>
    </row>
    <row r="130" spans="1:31" s="561" customFormat="1">
      <c r="A130" s="2"/>
      <c r="B130" s="2"/>
      <c r="C130" s="583"/>
      <c r="D130" s="583"/>
      <c r="E130" s="2"/>
      <c r="F130" s="3"/>
      <c r="G130" s="560"/>
      <c r="H130" s="560"/>
      <c r="I130" s="560"/>
      <c r="J130" s="560"/>
      <c r="K130" s="560"/>
      <c r="L130" s="560"/>
      <c r="M130" s="560"/>
      <c r="O130" s="560"/>
      <c r="P130" s="560"/>
      <c r="Q130" s="560"/>
      <c r="R130" s="560"/>
      <c r="S130" s="560"/>
      <c r="T130" s="560"/>
      <c r="U130" s="560"/>
      <c r="V130" s="560"/>
      <c r="W130" s="560"/>
      <c r="X130" s="560"/>
      <c r="Y130" s="560"/>
      <c r="Z130" s="560"/>
      <c r="AA130" s="560"/>
      <c r="AB130" s="560"/>
      <c r="AC130" s="560"/>
      <c r="AD130" s="560"/>
      <c r="AE130" s="560"/>
    </row>
    <row r="131" spans="1:31" s="561" customFormat="1">
      <c r="A131" s="2"/>
      <c r="B131" s="2"/>
      <c r="C131" s="583"/>
      <c r="D131" s="583"/>
      <c r="E131" s="2"/>
      <c r="F131" s="3"/>
      <c r="G131" s="560"/>
      <c r="H131" s="560"/>
      <c r="I131" s="560"/>
      <c r="J131" s="560"/>
      <c r="K131" s="560"/>
      <c r="L131" s="560"/>
      <c r="M131" s="560"/>
      <c r="O131" s="560"/>
      <c r="P131" s="560"/>
      <c r="Q131" s="560"/>
      <c r="R131" s="560"/>
      <c r="S131" s="560"/>
      <c r="T131" s="560"/>
      <c r="U131" s="560"/>
      <c r="V131" s="560"/>
      <c r="W131" s="560"/>
      <c r="X131" s="560"/>
      <c r="Y131" s="560"/>
      <c r="Z131" s="560"/>
      <c r="AA131" s="560"/>
      <c r="AB131" s="560"/>
      <c r="AC131" s="560"/>
      <c r="AD131" s="560"/>
      <c r="AE131" s="560"/>
    </row>
    <row r="132" spans="1:31" s="561" customFormat="1">
      <c r="A132" s="2"/>
      <c r="B132" s="2"/>
      <c r="C132" s="583"/>
      <c r="D132" s="583"/>
      <c r="E132" s="2"/>
      <c r="F132" s="3"/>
      <c r="G132" s="560"/>
      <c r="H132" s="560"/>
      <c r="I132" s="560"/>
      <c r="J132" s="560"/>
      <c r="K132" s="560"/>
      <c r="L132" s="560"/>
      <c r="M132" s="560"/>
      <c r="O132" s="560"/>
      <c r="P132" s="560"/>
      <c r="Q132" s="560"/>
      <c r="R132" s="560"/>
      <c r="S132" s="560"/>
      <c r="T132" s="560"/>
      <c r="U132" s="560"/>
      <c r="V132" s="560"/>
      <c r="W132" s="560"/>
      <c r="X132" s="560"/>
      <c r="Y132" s="560"/>
      <c r="Z132" s="560"/>
      <c r="AA132" s="560"/>
      <c r="AB132" s="560"/>
      <c r="AC132" s="560"/>
      <c r="AD132" s="560"/>
      <c r="AE132" s="560"/>
    </row>
    <row r="133" spans="1:31" s="561" customFormat="1">
      <c r="A133" s="2"/>
      <c r="B133" s="2"/>
      <c r="C133" s="583"/>
      <c r="D133" s="583"/>
      <c r="E133" s="2"/>
      <c r="F133" s="3"/>
      <c r="G133" s="560"/>
      <c r="H133" s="560"/>
      <c r="I133" s="560"/>
      <c r="J133" s="560"/>
      <c r="K133" s="560"/>
      <c r="L133" s="560"/>
      <c r="M133" s="560"/>
      <c r="O133" s="560"/>
      <c r="P133" s="560"/>
      <c r="Q133" s="560"/>
      <c r="R133" s="560"/>
      <c r="S133" s="560"/>
      <c r="T133" s="560"/>
      <c r="U133" s="560"/>
      <c r="V133" s="560"/>
      <c r="W133" s="560"/>
      <c r="X133" s="560"/>
      <c r="Y133" s="560"/>
      <c r="Z133" s="560"/>
      <c r="AA133" s="560"/>
      <c r="AB133" s="560"/>
      <c r="AC133" s="560"/>
      <c r="AD133" s="560"/>
      <c r="AE133" s="560"/>
    </row>
    <row r="134" spans="1:31" s="561" customFormat="1">
      <c r="A134" s="2"/>
      <c r="B134" s="2"/>
      <c r="C134" s="583"/>
      <c r="D134" s="583"/>
      <c r="E134" s="2"/>
      <c r="F134" s="3"/>
      <c r="G134" s="560"/>
      <c r="H134" s="560"/>
      <c r="I134" s="560"/>
      <c r="J134" s="560"/>
      <c r="K134" s="560"/>
      <c r="L134" s="560"/>
      <c r="M134" s="560"/>
      <c r="O134" s="560"/>
      <c r="P134" s="560"/>
      <c r="Q134" s="560"/>
      <c r="R134" s="560"/>
      <c r="S134" s="560"/>
      <c r="T134" s="560"/>
      <c r="U134" s="560"/>
      <c r="V134" s="560"/>
      <c r="W134" s="560"/>
      <c r="X134" s="560"/>
      <c r="Y134" s="560"/>
      <c r="Z134" s="560"/>
      <c r="AA134" s="560"/>
      <c r="AB134" s="560"/>
      <c r="AC134" s="560"/>
      <c r="AD134" s="560"/>
      <c r="AE134" s="560"/>
    </row>
    <row r="135" spans="1:31" s="561" customFormat="1">
      <c r="A135" s="2"/>
      <c r="B135" s="2"/>
      <c r="C135" s="583"/>
      <c r="D135" s="583"/>
      <c r="E135" s="2"/>
      <c r="F135" s="3"/>
      <c r="G135" s="560"/>
      <c r="H135" s="560"/>
      <c r="I135" s="560"/>
      <c r="J135" s="560"/>
      <c r="K135" s="560"/>
      <c r="L135" s="560"/>
      <c r="M135" s="560"/>
      <c r="O135" s="560"/>
      <c r="P135" s="560"/>
      <c r="Q135" s="560"/>
      <c r="R135" s="560"/>
      <c r="S135" s="560"/>
      <c r="T135" s="560"/>
      <c r="U135" s="560"/>
      <c r="V135" s="560"/>
      <c r="W135" s="560"/>
      <c r="X135" s="560"/>
      <c r="Y135" s="560"/>
      <c r="Z135" s="560"/>
      <c r="AA135" s="560"/>
      <c r="AB135" s="560"/>
      <c r="AC135" s="560"/>
      <c r="AD135" s="560"/>
      <c r="AE135" s="560"/>
    </row>
  </sheetData>
  <sheetProtection algorithmName="SHA-512" hashValue="79i/xj677AjsrTKH6IdsjVebN+PEfEr1YmSbnrHyLZCX28F06a1MJUm6mJ6Ed06Hq2ja7Ze1H3rALv4EN8523g==" saltValue="vLo/rvl8M4QRGpj+InsQGA==" spinCount="100000" sheet="1" formatCells="0" formatColumns="0" formatRows="0" insertColumns="0" sort="0" autoFilter="0" pivotTables="0"/>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E178-88F1-49BC-BB8F-FB4A9EA3512D}">
  <dimension ref="A1:AV165"/>
  <sheetViews>
    <sheetView zoomScale="90" zoomScaleNormal="90" workbookViewId="0">
      <selection sqref="A1:XFD1048576"/>
    </sheetView>
  </sheetViews>
  <sheetFormatPr defaultColWidth="9.109375" defaultRowHeight="15.6"/>
  <cols>
    <col min="1" max="1" width="3.6640625" style="2" customWidth="1"/>
    <col min="2" max="2" width="44.109375" style="2" customWidth="1"/>
    <col min="3" max="4" width="25.6640625" style="583" customWidth="1"/>
    <col min="5" max="5" width="18.6640625" style="2" customWidth="1"/>
    <col min="6" max="6" width="1.6640625" style="3" customWidth="1"/>
    <col min="7" max="7" width="3.6640625" style="560" customWidth="1"/>
    <col min="8" max="9" width="18.6640625" style="560" customWidth="1"/>
    <col min="10" max="11" width="25.6640625" style="560" customWidth="1"/>
    <col min="12" max="12" width="18.6640625" style="560" customWidth="1"/>
    <col min="13" max="13" width="8.6640625" style="560" customWidth="1"/>
    <col min="14" max="14" width="1.6640625" style="561" customWidth="1"/>
    <col min="15" max="15" width="3.6640625" style="560" customWidth="1"/>
    <col min="16" max="17" width="18.6640625" style="560" customWidth="1"/>
    <col min="18" max="19" width="25.6640625" style="560" customWidth="1"/>
    <col min="20" max="20" width="18.6640625" style="560" customWidth="1"/>
    <col min="21" max="21" width="8.6640625" style="560" customWidth="1"/>
    <col min="22" max="22" width="1.6640625" style="561" customWidth="1"/>
    <col min="23" max="16384" width="9.109375" style="4"/>
  </cols>
  <sheetData>
    <row r="1" spans="1:48">
      <c r="A1" s="1" t="s">
        <v>1731</v>
      </c>
      <c r="G1" s="1" t="s">
        <v>1731</v>
      </c>
      <c r="H1" s="687"/>
      <c r="I1" s="687"/>
      <c r="J1" s="687"/>
      <c r="K1" s="687"/>
      <c r="L1" s="687"/>
      <c r="M1" s="687"/>
      <c r="O1" s="1" t="s">
        <v>1731</v>
      </c>
      <c r="P1" s="687"/>
      <c r="Q1" s="687"/>
      <c r="R1" s="687"/>
      <c r="S1" s="687"/>
      <c r="T1" s="687"/>
      <c r="U1" s="687"/>
    </row>
    <row r="2" spans="1:48">
      <c r="A2" s="1" t="s">
        <v>732</v>
      </c>
      <c r="G2" s="1" t="s">
        <v>732</v>
      </c>
      <c r="H2" s="687"/>
      <c r="I2" s="687"/>
      <c r="J2" s="687"/>
      <c r="K2" s="687"/>
      <c r="L2" s="687"/>
      <c r="M2" s="687"/>
      <c r="O2" s="1" t="s">
        <v>732</v>
      </c>
      <c r="P2" s="687"/>
      <c r="Q2" s="687"/>
      <c r="R2" s="687"/>
      <c r="S2" s="687"/>
      <c r="T2" s="687"/>
      <c r="U2" s="687"/>
    </row>
    <row r="3" spans="1:48">
      <c r="A3" s="1" t="s">
        <v>1730</v>
      </c>
      <c r="G3" s="1" t="s">
        <v>1730</v>
      </c>
      <c r="H3" s="687"/>
      <c r="I3" s="687"/>
      <c r="J3" s="687"/>
      <c r="K3" s="687"/>
      <c r="L3" s="687"/>
      <c r="M3" s="687"/>
      <c r="O3" s="1" t="s">
        <v>1730</v>
      </c>
      <c r="P3" s="687"/>
      <c r="Q3" s="687"/>
      <c r="R3" s="687"/>
      <c r="S3" s="687"/>
      <c r="T3" s="687"/>
      <c r="U3" s="687"/>
    </row>
    <row r="4" spans="1:48">
      <c r="G4" s="687"/>
      <c r="H4" s="687"/>
      <c r="I4" s="687"/>
      <c r="J4" s="687"/>
      <c r="K4" s="687"/>
      <c r="L4" s="687"/>
      <c r="M4" s="687"/>
      <c r="O4" s="687"/>
      <c r="P4" s="687"/>
      <c r="Q4" s="687"/>
      <c r="R4" s="687"/>
      <c r="S4" s="687"/>
      <c r="T4" s="687"/>
      <c r="U4" s="687"/>
    </row>
    <row r="5" spans="1:48" ht="16.2">
      <c r="A5" s="6" t="s">
        <v>697</v>
      </c>
      <c r="G5" s="688" t="s">
        <v>696</v>
      </c>
      <c r="H5" s="687"/>
      <c r="I5" s="687"/>
      <c r="J5" s="687"/>
      <c r="K5" s="687"/>
      <c r="L5" s="687"/>
      <c r="M5" s="687"/>
      <c r="O5" s="688" t="s">
        <v>786</v>
      </c>
      <c r="P5" s="687"/>
      <c r="Q5" s="687"/>
      <c r="R5" s="687"/>
      <c r="S5" s="687"/>
      <c r="T5" s="687"/>
      <c r="U5" s="687"/>
    </row>
    <row r="6" spans="1:48">
      <c r="G6" s="687"/>
      <c r="H6" s="687"/>
      <c r="I6" s="687"/>
      <c r="J6" s="687"/>
      <c r="K6" s="687"/>
      <c r="L6" s="687"/>
      <c r="M6" s="687"/>
      <c r="O6" s="687"/>
      <c r="P6" s="687"/>
      <c r="Q6" s="687"/>
      <c r="R6" s="687"/>
      <c r="S6" s="687"/>
      <c r="T6" s="687"/>
      <c r="U6" s="687"/>
    </row>
    <row r="7" spans="1:48">
      <c r="B7" s="2" t="s">
        <v>1729</v>
      </c>
      <c r="G7" s="687" t="s">
        <v>246</v>
      </c>
      <c r="H7" s="687" t="s">
        <v>1728</v>
      </c>
      <c r="I7" s="687"/>
      <c r="J7" s="687"/>
      <c r="K7" s="687"/>
      <c r="L7" s="687"/>
      <c r="M7" s="687"/>
      <c r="O7" s="687" t="s">
        <v>6</v>
      </c>
      <c r="P7" s="687" t="s">
        <v>1727</v>
      </c>
      <c r="Q7" s="687"/>
      <c r="R7" s="687"/>
      <c r="S7" s="687"/>
      <c r="T7" s="687"/>
      <c r="U7" s="687"/>
    </row>
    <row r="8" spans="1:48">
      <c r="B8" s="2" t="s">
        <v>1726</v>
      </c>
      <c r="G8" s="687"/>
      <c r="H8" s="687"/>
      <c r="I8" s="687"/>
      <c r="J8" s="687"/>
      <c r="K8" s="687"/>
      <c r="L8" s="687"/>
      <c r="M8" s="687"/>
      <c r="O8" s="687"/>
      <c r="P8" s="687"/>
      <c r="Q8" s="687"/>
      <c r="R8" s="687"/>
      <c r="S8" s="687"/>
      <c r="T8" s="687"/>
      <c r="U8" s="687"/>
    </row>
    <row r="9" spans="1:48">
      <c r="G9" s="687"/>
      <c r="H9" s="687" t="s">
        <v>683</v>
      </c>
      <c r="I9" s="687"/>
      <c r="J9" s="687"/>
      <c r="K9" s="687"/>
      <c r="L9" s="687"/>
      <c r="M9" s="687"/>
      <c r="O9" s="687"/>
      <c r="P9" s="687" t="s">
        <v>683</v>
      </c>
      <c r="Q9" s="687"/>
      <c r="R9" s="687"/>
      <c r="S9" s="687"/>
      <c r="T9" s="687"/>
      <c r="U9" s="687"/>
    </row>
    <row r="10" spans="1:48">
      <c r="B10" s="2" t="s">
        <v>1725</v>
      </c>
      <c r="G10" s="687"/>
      <c r="H10" s="687"/>
      <c r="I10" s="687"/>
      <c r="J10" s="687"/>
      <c r="K10" s="687"/>
      <c r="L10" s="687"/>
      <c r="M10" s="687"/>
      <c r="O10" s="687"/>
      <c r="P10" s="687"/>
      <c r="Q10" s="687"/>
      <c r="R10" s="687"/>
      <c r="S10" s="687"/>
      <c r="T10" s="687"/>
      <c r="U10" s="687"/>
    </row>
    <row r="11" spans="1:48">
      <c r="G11" s="673"/>
      <c r="H11" s="673"/>
      <c r="I11" s="673"/>
      <c r="J11" s="676"/>
      <c r="K11" s="676"/>
      <c r="L11" s="673"/>
      <c r="M11" s="673"/>
      <c r="N11" s="674"/>
      <c r="O11" s="673"/>
      <c r="P11" s="673"/>
      <c r="Q11" s="673"/>
      <c r="R11" s="676"/>
      <c r="S11" s="676"/>
      <c r="T11" s="673"/>
      <c r="U11" s="673"/>
      <c r="V11" s="674"/>
      <c r="W11" s="1027"/>
      <c r="X11" s="1027"/>
      <c r="Y11" s="1027"/>
      <c r="Z11" s="1027"/>
      <c r="AA11" s="1027"/>
      <c r="AB11" s="1027"/>
      <c r="AC11" s="1027"/>
      <c r="AD11" s="1027"/>
      <c r="AE11" s="1027"/>
      <c r="AF11" s="1027"/>
      <c r="AG11" s="1027"/>
      <c r="AH11" s="1027"/>
      <c r="AI11" s="1027"/>
      <c r="AJ11" s="1027"/>
      <c r="AK11" s="1027"/>
      <c r="AL11" s="1027"/>
      <c r="AM11" s="1027"/>
      <c r="AN11" s="1027"/>
      <c r="AO11" s="1027"/>
      <c r="AP11" s="1027"/>
      <c r="AQ11" s="1027"/>
      <c r="AR11" s="1027"/>
      <c r="AS11" s="1027"/>
      <c r="AT11" s="1027"/>
      <c r="AU11" s="1027"/>
      <c r="AV11" s="1027"/>
    </row>
    <row r="12" spans="1:48">
      <c r="B12" s="680"/>
      <c r="C12" s="1182" t="s">
        <v>1724</v>
      </c>
      <c r="D12" s="1182" t="s">
        <v>1723</v>
      </c>
      <c r="G12" s="673"/>
      <c r="H12" s="673"/>
      <c r="I12" s="673"/>
      <c r="J12" s="676"/>
      <c r="K12" s="676"/>
      <c r="L12" s="673"/>
      <c r="M12" s="673"/>
      <c r="N12" s="674"/>
      <c r="O12" s="673"/>
      <c r="P12" s="673"/>
      <c r="Q12" s="673"/>
      <c r="R12" s="676"/>
      <c r="S12" s="676"/>
      <c r="T12" s="673"/>
      <c r="U12" s="673"/>
      <c r="V12" s="674"/>
      <c r="W12" s="1027"/>
      <c r="X12" s="1027"/>
      <c r="Y12" s="1027"/>
      <c r="Z12" s="1027"/>
      <c r="AA12" s="1027"/>
      <c r="AB12" s="1027"/>
      <c r="AC12" s="1027"/>
      <c r="AD12" s="1027"/>
      <c r="AE12" s="1027"/>
      <c r="AF12" s="1027"/>
      <c r="AG12" s="1027"/>
      <c r="AH12" s="1027"/>
      <c r="AI12" s="1027"/>
      <c r="AJ12" s="1027"/>
      <c r="AK12" s="1027"/>
      <c r="AL12" s="1027"/>
      <c r="AM12" s="1027"/>
      <c r="AN12" s="1027"/>
      <c r="AO12" s="1027"/>
      <c r="AP12" s="1027"/>
      <c r="AQ12" s="1027"/>
      <c r="AR12" s="1027"/>
      <c r="AS12" s="1027"/>
      <c r="AT12" s="1027"/>
      <c r="AU12" s="1027"/>
      <c r="AV12" s="1027"/>
    </row>
    <row r="13" spans="1:48">
      <c r="B13" s="1177" t="s">
        <v>1722</v>
      </c>
      <c r="C13" s="1174">
        <v>225780000</v>
      </c>
      <c r="D13" s="1174">
        <v>245970000</v>
      </c>
      <c r="G13" s="673"/>
      <c r="H13" s="673"/>
      <c r="I13" s="673"/>
      <c r="J13" s="676"/>
      <c r="K13" s="676"/>
      <c r="L13" s="673"/>
      <c r="M13" s="673"/>
      <c r="N13" s="674"/>
      <c r="O13" s="673"/>
      <c r="P13" s="673"/>
      <c r="Q13" s="673"/>
      <c r="R13" s="676"/>
      <c r="S13" s="676"/>
      <c r="T13" s="673"/>
      <c r="U13" s="673"/>
      <c r="V13" s="674"/>
      <c r="W13" s="1027"/>
      <c r="X13" s="1027"/>
      <c r="Y13" s="1027"/>
      <c r="Z13" s="1027"/>
      <c r="AA13" s="1027"/>
      <c r="AB13" s="1027"/>
      <c r="AC13" s="1027"/>
      <c r="AD13" s="1027"/>
      <c r="AE13" s="1027"/>
      <c r="AF13" s="1027"/>
      <c r="AG13" s="1027"/>
      <c r="AH13" s="1027"/>
      <c r="AI13" s="1027"/>
      <c r="AJ13" s="1027"/>
      <c r="AK13" s="1027"/>
      <c r="AL13" s="1027"/>
      <c r="AM13" s="1027"/>
      <c r="AN13" s="1027"/>
      <c r="AO13" s="1027"/>
      <c r="AP13" s="1027"/>
      <c r="AQ13" s="1027"/>
      <c r="AR13" s="1027"/>
      <c r="AS13" s="1027"/>
      <c r="AT13" s="1027"/>
      <c r="AU13" s="1027"/>
      <c r="AV13" s="1027"/>
    </row>
    <row r="14" spans="1:48">
      <c r="B14" s="1177" t="s">
        <v>769</v>
      </c>
      <c r="C14" s="1174">
        <v>250650000</v>
      </c>
      <c r="D14" s="1174">
        <v>270450000</v>
      </c>
      <c r="G14" s="673"/>
      <c r="H14" s="673"/>
      <c r="I14" s="673"/>
      <c r="J14" s="673"/>
      <c r="K14" s="673"/>
      <c r="L14" s="673"/>
      <c r="M14" s="673"/>
      <c r="N14" s="674"/>
      <c r="O14" s="673"/>
      <c r="P14" s="673"/>
      <c r="Q14" s="673"/>
      <c r="R14" s="673"/>
      <c r="S14" s="673"/>
      <c r="T14" s="673"/>
      <c r="U14" s="673"/>
      <c r="V14" s="674"/>
      <c r="W14" s="1027"/>
      <c r="X14" s="1027"/>
      <c r="Y14" s="1027"/>
      <c r="Z14" s="1027"/>
      <c r="AA14" s="1027"/>
      <c r="AB14" s="1027"/>
      <c r="AC14" s="1027"/>
      <c r="AD14" s="1027"/>
      <c r="AE14" s="1027"/>
      <c r="AF14" s="1027"/>
      <c r="AG14" s="1027"/>
      <c r="AH14" s="1027"/>
      <c r="AI14" s="1027"/>
      <c r="AJ14" s="1027"/>
      <c r="AK14" s="1027"/>
      <c r="AL14" s="1027"/>
      <c r="AM14" s="1027"/>
      <c r="AN14" s="1027"/>
      <c r="AO14" s="1027"/>
      <c r="AP14" s="1027"/>
      <c r="AQ14" s="1027"/>
      <c r="AR14" s="1027"/>
      <c r="AS14" s="1027"/>
      <c r="AT14" s="1027"/>
      <c r="AU14" s="1027"/>
      <c r="AV14" s="1027"/>
    </row>
    <row r="15" spans="1:48">
      <c r="B15" s="1177" t="s">
        <v>1721</v>
      </c>
      <c r="C15" s="1174">
        <v>-40150000</v>
      </c>
      <c r="D15" s="1174"/>
      <c r="G15" s="673"/>
      <c r="H15" s="673"/>
      <c r="I15" s="673"/>
      <c r="J15" s="675"/>
      <c r="K15" s="675"/>
      <c r="L15" s="673"/>
      <c r="M15" s="673"/>
      <c r="N15" s="674"/>
      <c r="O15" s="673"/>
      <c r="P15" s="673"/>
      <c r="Q15" s="673"/>
      <c r="R15" s="675"/>
      <c r="S15" s="675"/>
      <c r="T15" s="673"/>
      <c r="U15" s="673"/>
      <c r="V15" s="674"/>
      <c r="W15" s="1027"/>
      <c r="X15" s="1027"/>
      <c r="Y15" s="1027"/>
      <c r="Z15" s="1027"/>
      <c r="AA15" s="1027"/>
      <c r="AB15" s="1027"/>
      <c r="AC15" s="1027"/>
      <c r="AD15" s="1027"/>
      <c r="AE15" s="1027"/>
      <c r="AF15" s="1027"/>
      <c r="AG15" s="1027"/>
      <c r="AH15" s="1027"/>
      <c r="AI15" s="1027"/>
      <c r="AJ15" s="1027"/>
      <c r="AK15" s="1027"/>
      <c r="AL15" s="1027"/>
      <c r="AM15" s="1027"/>
      <c r="AN15" s="1027"/>
      <c r="AO15" s="1027"/>
      <c r="AP15" s="1027"/>
      <c r="AQ15" s="1027"/>
      <c r="AR15" s="1027"/>
      <c r="AS15" s="1027"/>
      <c r="AT15" s="1027"/>
      <c r="AU15" s="1027"/>
      <c r="AV15" s="1027"/>
    </row>
    <row r="16" spans="1:48">
      <c r="B16" s="1177" t="s">
        <v>1720</v>
      </c>
      <c r="C16" s="1174"/>
      <c r="D16" s="1181">
        <v>0.48199999999999998</v>
      </c>
      <c r="G16" s="673"/>
      <c r="H16" s="673"/>
      <c r="I16" s="673"/>
      <c r="J16" s="673"/>
      <c r="K16" s="673"/>
      <c r="L16" s="673"/>
      <c r="M16" s="673"/>
      <c r="N16" s="674"/>
      <c r="O16" s="673"/>
      <c r="P16" s="673"/>
      <c r="Q16" s="673"/>
      <c r="R16" s="673"/>
      <c r="S16" s="686"/>
      <c r="T16" s="673"/>
      <c r="U16" s="673"/>
      <c r="V16" s="674"/>
      <c r="W16" s="1027"/>
      <c r="X16" s="1027"/>
      <c r="Y16" s="1027"/>
      <c r="Z16" s="1027"/>
      <c r="AA16" s="1027"/>
      <c r="AB16" s="1027"/>
      <c r="AC16" s="1027"/>
      <c r="AD16" s="1027"/>
      <c r="AE16" s="1027"/>
      <c r="AF16" s="1027"/>
      <c r="AG16" s="1027"/>
      <c r="AH16" s="1027"/>
      <c r="AI16" s="1027"/>
      <c r="AJ16" s="1027"/>
      <c r="AK16" s="1027"/>
      <c r="AL16" s="1027"/>
      <c r="AM16" s="1027"/>
      <c r="AN16" s="1027"/>
      <c r="AO16" s="1027"/>
      <c r="AP16" s="1027"/>
      <c r="AQ16" s="1027"/>
      <c r="AR16" s="1027"/>
      <c r="AS16" s="1027"/>
      <c r="AT16" s="1027"/>
      <c r="AU16" s="1027"/>
      <c r="AV16" s="1027"/>
    </row>
    <row r="17" spans="1:48">
      <c r="B17" s="1180" t="s">
        <v>771</v>
      </c>
      <c r="C17" s="1179">
        <v>4.4999999999999998E-2</v>
      </c>
      <c r="D17" s="1179">
        <v>4.4999999999999998E-2</v>
      </c>
      <c r="G17" s="673"/>
      <c r="H17" s="1030"/>
      <c r="I17" s="673"/>
      <c r="J17" s="675"/>
      <c r="K17" s="675"/>
      <c r="L17" s="673"/>
      <c r="M17" s="673"/>
      <c r="N17" s="674"/>
      <c r="O17" s="673"/>
      <c r="P17" s="673"/>
      <c r="Q17" s="673"/>
      <c r="R17" s="675"/>
      <c r="S17" s="686"/>
      <c r="T17" s="673"/>
      <c r="U17" s="673"/>
      <c r="V17" s="674"/>
      <c r="W17" s="1027"/>
      <c r="X17" s="1027"/>
      <c r="Y17" s="1027"/>
      <c r="Z17" s="1027"/>
      <c r="AA17" s="1027"/>
      <c r="AB17" s="1027"/>
      <c r="AC17" s="1027"/>
      <c r="AD17" s="1027"/>
      <c r="AE17" s="1027"/>
      <c r="AF17" s="1027"/>
      <c r="AG17" s="1027"/>
      <c r="AH17" s="1027"/>
      <c r="AI17" s="1027"/>
      <c r="AJ17" s="1027"/>
      <c r="AK17" s="1027"/>
      <c r="AL17" s="1027"/>
      <c r="AM17" s="1027"/>
      <c r="AN17" s="1027"/>
      <c r="AO17" s="1027"/>
      <c r="AP17" s="1027"/>
      <c r="AQ17" s="1027"/>
      <c r="AR17" s="1027"/>
      <c r="AS17" s="1027"/>
      <c r="AT17" s="1027"/>
      <c r="AU17" s="1027"/>
      <c r="AV17" s="1027"/>
    </row>
    <row r="18" spans="1:48">
      <c r="B18" s="1177" t="s">
        <v>1719</v>
      </c>
      <c r="C18" s="1178">
        <v>0.06</v>
      </c>
      <c r="D18" s="1178">
        <v>0.06</v>
      </c>
      <c r="G18" s="673"/>
      <c r="H18" s="673"/>
      <c r="I18" s="673"/>
      <c r="J18" s="675"/>
      <c r="K18" s="675"/>
      <c r="L18" s="673"/>
      <c r="M18" s="673"/>
      <c r="N18" s="674"/>
      <c r="O18" s="673"/>
      <c r="P18" s="673"/>
      <c r="Q18" s="673"/>
      <c r="R18" s="673"/>
      <c r="S18" s="675"/>
      <c r="T18" s="673"/>
      <c r="U18" s="673"/>
      <c r="V18" s="674"/>
      <c r="W18" s="1027"/>
      <c r="X18" s="1027"/>
      <c r="Y18" s="1027"/>
      <c r="Z18" s="1027"/>
      <c r="AA18" s="1027"/>
      <c r="AB18" s="1027"/>
      <c r="AC18" s="1027"/>
      <c r="AD18" s="1027"/>
      <c r="AE18" s="1027"/>
      <c r="AF18" s="1027"/>
      <c r="AG18" s="1027"/>
      <c r="AH18" s="1027"/>
      <c r="AI18" s="1027"/>
      <c r="AJ18" s="1027"/>
      <c r="AK18" s="1027"/>
      <c r="AL18" s="1027"/>
      <c r="AM18" s="1027"/>
      <c r="AN18" s="1027"/>
      <c r="AO18" s="1027"/>
      <c r="AP18" s="1027"/>
      <c r="AQ18" s="1027"/>
      <c r="AR18" s="1027"/>
      <c r="AS18" s="1027"/>
      <c r="AT18" s="1027"/>
      <c r="AU18" s="1027"/>
      <c r="AV18" s="1027"/>
    </row>
    <row r="19" spans="1:48">
      <c r="B19" s="1177" t="s">
        <v>758</v>
      </c>
      <c r="C19" s="1176">
        <v>12.5</v>
      </c>
      <c r="D19" s="1176">
        <v>13.1</v>
      </c>
      <c r="G19" s="673"/>
      <c r="H19" s="673"/>
      <c r="I19" s="673"/>
      <c r="J19" s="675"/>
      <c r="K19" s="675"/>
      <c r="L19" s="673"/>
      <c r="M19" s="673"/>
      <c r="N19" s="674"/>
      <c r="O19" s="673"/>
      <c r="P19" s="673"/>
      <c r="Q19" s="673"/>
      <c r="R19" s="675"/>
      <c r="S19" s="675"/>
      <c r="T19" s="673"/>
      <c r="U19" s="673"/>
      <c r="V19" s="674"/>
      <c r="W19" s="1027"/>
      <c r="X19" s="1027"/>
      <c r="Y19" s="1027"/>
      <c r="Z19" s="1027"/>
      <c r="AA19" s="1027"/>
      <c r="AB19" s="1027"/>
      <c r="AC19" s="1027"/>
      <c r="AD19" s="1027"/>
      <c r="AE19" s="1027"/>
      <c r="AF19" s="1027"/>
      <c r="AG19" s="1027"/>
      <c r="AH19" s="1027"/>
      <c r="AI19" s="1027"/>
      <c r="AJ19" s="1027"/>
      <c r="AK19" s="1027"/>
      <c r="AL19" s="1027"/>
      <c r="AM19" s="1027"/>
      <c r="AN19" s="1027"/>
      <c r="AO19" s="1027"/>
      <c r="AP19" s="1027"/>
      <c r="AQ19" s="1027"/>
      <c r="AR19" s="1027"/>
      <c r="AS19" s="1027"/>
      <c r="AT19" s="1027"/>
      <c r="AU19" s="1027"/>
      <c r="AV19" s="1027"/>
    </row>
    <row r="20" spans="1:48" ht="35.4" customHeight="1">
      <c r="B20" s="680" t="s">
        <v>805</v>
      </c>
      <c r="C20" s="1680" t="s">
        <v>1718</v>
      </c>
      <c r="D20" s="1681"/>
      <c r="G20" s="673"/>
      <c r="H20" s="673"/>
      <c r="I20" s="673"/>
      <c r="J20" s="673"/>
      <c r="K20" s="673"/>
      <c r="L20" s="673"/>
      <c r="M20" s="673"/>
      <c r="N20" s="674"/>
      <c r="O20" s="673"/>
      <c r="P20" s="673"/>
      <c r="Q20" s="673"/>
      <c r="R20" s="675"/>
      <c r="S20" s="675"/>
      <c r="T20" s="673"/>
      <c r="U20" s="673"/>
      <c r="V20" s="674"/>
      <c r="W20" s="1027"/>
      <c r="X20" s="1027"/>
      <c r="Y20" s="1027"/>
      <c r="Z20" s="1027"/>
      <c r="AA20" s="1027"/>
      <c r="AB20" s="1027"/>
      <c r="AC20" s="1027"/>
      <c r="AD20" s="1027"/>
      <c r="AE20" s="1027"/>
      <c r="AF20" s="1027"/>
      <c r="AG20" s="1027"/>
      <c r="AH20" s="1027"/>
      <c r="AI20" s="1027"/>
      <c r="AJ20" s="1027"/>
      <c r="AK20" s="1027"/>
      <c r="AL20" s="1027"/>
      <c r="AM20" s="1027"/>
      <c r="AN20" s="1027"/>
      <c r="AO20" s="1027"/>
      <c r="AP20" s="1027"/>
      <c r="AQ20" s="1027"/>
      <c r="AR20" s="1027"/>
      <c r="AS20" s="1027"/>
      <c r="AT20" s="1027"/>
      <c r="AU20" s="1027"/>
      <c r="AV20" s="1027"/>
    </row>
    <row r="21" spans="1:48">
      <c r="G21" s="673"/>
      <c r="H21" s="673"/>
      <c r="I21" s="673"/>
      <c r="J21" s="673"/>
      <c r="K21" s="673"/>
      <c r="L21" s="673"/>
      <c r="M21" s="673"/>
      <c r="N21" s="674"/>
      <c r="O21" s="673"/>
      <c r="P21" s="673"/>
      <c r="Q21" s="673"/>
      <c r="R21" s="675"/>
      <c r="S21" s="673"/>
      <c r="T21" s="673"/>
      <c r="U21" s="673"/>
      <c r="V21" s="674"/>
      <c r="W21" s="1027"/>
      <c r="X21" s="1027"/>
      <c r="Y21" s="1027"/>
      <c r="Z21" s="1027"/>
      <c r="AA21" s="1027"/>
      <c r="AB21" s="1027"/>
      <c r="AC21" s="1027"/>
      <c r="AD21" s="1027"/>
      <c r="AE21" s="1027"/>
      <c r="AF21" s="1027"/>
      <c r="AG21" s="1027"/>
      <c r="AH21" s="1027"/>
      <c r="AI21" s="1027"/>
      <c r="AJ21" s="1027"/>
      <c r="AK21" s="1027"/>
      <c r="AL21" s="1027"/>
      <c r="AM21" s="1027"/>
      <c r="AN21" s="1027"/>
      <c r="AO21" s="1027"/>
      <c r="AP21" s="1027"/>
      <c r="AQ21" s="1027"/>
      <c r="AR21" s="1027"/>
      <c r="AS21" s="1027"/>
      <c r="AT21" s="1027"/>
      <c r="AU21" s="1027"/>
      <c r="AV21" s="1027"/>
    </row>
    <row r="22" spans="1:48">
      <c r="G22" s="673"/>
      <c r="H22" s="673"/>
      <c r="I22" s="673"/>
      <c r="J22" s="673"/>
      <c r="K22" s="673"/>
      <c r="L22" s="673"/>
      <c r="M22" s="673"/>
      <c r="N22" s="674"/>
      <c r="O22" s="673"/>
      <c r="P22" s="673"/>
      <c r="Q22" s="673"/>
      <c r="R22" s="673"/>
      <c r="S22" s="676"/>
      <c r="T22" s="673"/>
      <c r="U22" s="673"/>
      <c r="V22" s="674"/>
      <c r="W22" s="1027"/>
      <c r="X22" s="1027"/>
      <c r="Y22" s="1027"/>
      <c r="Z22" s="1027"/>
      <c r="AA22" s="1027"/>
      <c r="AB22" s="1027"/>
      <c r="AC22" s="1027"/>
      <c r="AD22" s="1027"/>
      <c r="AE22" s="1027"/>
      <c r="AF22" s="1027"/>
      <c r="AG22" s="1027"/>
      <c r="AH22" s="1027"/>
      <c r="AI22" s="1027"/>
      <c r="AJ22" s="1027"/>
      <c r="AK22" s="1027"/>
      <c r="AL22" s="1027"/>
      <c r="AM22" s="1027"/>
      <c r="AN22" s="1027"/>
      <c r="AO22" s="1027"/>
      <c r="AP22" s="1027"/>
      <c r="AQ22" s="1027"/>
      <c r="AR22" s="1027"/>
      <c r="AS22" s="1027"/>
      <c r="AT22" s="1027"/>
      <c r="AU22" s="1027"/>
      <c r="AV22" s="1027"/>
    </row>
    <row r="23" spans="1:48">
      <c r="B23" s="680"/>
      <c r="C23" s="1175">
        <v>2024</v>
      </c>
      <c r="D23" s="1175">
        <v>2025</v>
      </c>
      <c r="G23" s="673"/>
      <c r="H23" s="673"/>
      <c r="I23" s="673"/>
      <c r="J23" s="673"/>
      <c r="K23" s="673"/>
      <c r="L23" s="673"/>
      <c r="M23" s="673"/>
      <c r="N23" s="674"/>
      <c r="O23" s="673"/>
      <c r="P23" s="673"/>
      <c r="Q23" s="673"/>
      <c r="R23" s="675"/>
      <c r="S23" s="673"/>
      <c r="T23" s="673"/>
      <c r="U23" s="673"/>
      <c r="V23" s="674"/>
      <c r="W23" s="1027"/>
      <c r="X23" s="1027"/>
      <c r="Y23" s="1027"/>
      <c r="Z23" s="1027"/>
      <c r="AA23" s="1027"/>
      <c r="AB23" s="1027"/>
      <c r="AC23" s="1027"/>
      <c r="AD23" s="1027"/>
      <c r="AE23" s="1027"/>
      <c r="AF23" s="1027"/>
      <c r="AG23" s="1027"/>
      <c r="AH23" s="1027"/>
      <c r="AI23" s="1027"/>
      <c r="AJ23" s="1027"/>
      <c r="AK23" s="1027"/>
      <c r="AL23" s="1027"/>
      <c r="AM23" s="1027"/>
      <c r="AN23" s="1027"/>
      <c r="AO23" s="1027"/>
      <c r="AP23" s="1027"/>
      <c r="AQ23" s="1027"/>
      <c r="AR23" s="1027"/>
      <c r="AS23" s="1027"/>
      <c r="AT23" s="1027"/>
      <c r="AU23" s="1027"/>
      <c r="AV23" s="1027"/>
    </row>
    <row r="24" spans="1:48">
      <c r="B24" s="680" t="s">
        <v>1005</v>
      </c>
      <c r="C24" s="1174">
        <v>19870000</v>
      </c>
      <c r="D24" s="1174">
        <v>20480000</v>
      </c>
      <c r="G24" s="673"/>
      <c r="H24" s="673"/>
      <c r="I24" s="673"/>
      <c r="J24" s="676"/>
      <c r="K24" s="676"/>
      <c r="L24" s="673"/>
      <c r="M24" s="673"/>
      <c r="N24" s="674"/>
      <c r="O24" s="673"/>
      <c r="P24" s="673"/>
      <c r="Q24" s="673"/>
      <c r="R24" s="675"/>
      <c r="S24" s="675"/>
      <c r="T24" s="673"/>
      <c r="U24" s="673"/>
      <c r="V24" s="674"/>
      <c r="W24" s="1027"/>
      <c r="X24" s="1027"/>
      <c r="Y24" s="1027"/>
      <c r="Z24" s="1027"/>
      <c r="AA24" s="1027"/>
      <c r="AB24" s="1027"/>
      <c r="AC24" s="1027"/>
      <c r="AD24" s="1027"/>
      <c r="AE24" s="1027"/>
      <c r="AF24" s="1027"/>
      <c r="AG24" s="1027"/>
      <c r="AH24" s="1027"/>
      <c r="AI24" s="1027"/>
      <c r="AJ24" s="1027"/>
      <c r="AK24" s="1027"/>
      <c r="AL24" s="1027"/>
      <c r="AM24" s="1027"/>
      <c r="AN24" s="1027"/>
      <c r="AO24" s="1027"/>
      <c r="AP24" s="1027"/>
      <c r="AQ24" s="1027"/>
      <c r="AR24" s="1027"/>
      <c r="AS24" s="1027"/>
      <c r="AT24" s="1027"/>
      <c r="AU24" s="1027"/>
      <c r="AV24" s="1027"/>
    </row>
    <row r="25" spans="1:48">
      <c r="B25" s="680" t="s">
        <v>1717</v>
      </c>
      <c r="C25" s="1174">
        <v>9251000</v>
      </c>
      <c r="D25" s="1174">
        <v>8624000</v>
      </c>
      <c r="G25" s="673"/>
      <c r="H25" s="673"/>
      <c r="I25" s="673"/>
      <c r="J25" s="673"/>
      <c r="K25" s="673"/>
      <c r="L25" s="673"/>
      <c r="M25" s="673"/>
      <c r="N25" s="674"/>
      <c r="O25" s="673"/>
      <c r="P25" s="673"/>
      <c r="Q25" s="673"/>
      <c r="R25" s="675"/>
      <c r="S25" s="675"/>
      <c r="T25" s="673"/>
      <c r="U25" s="673"/>
      <c r="V25" s="674"/>
      <c r="W25" s="1027"/>
      <c r="X25" s="1027"/>
      <c r="Y25" s="1027"/>
      <c r="Z25" s="1027"/>
      <c r="AA25" s="1027"/>
      <c r="AB25" s="1027"/>
      <c r="AC25" s="1027"/>
      <c r="AD25" s="1027"/>
      <c r="AE25" s="1027"/>
      <c r="AF25" s="1027"/>
      <c r="AG25" s="1027"/>
      <c r="AH25" s="1027"/>
      <c r="AI25" s="1027"/>
      <c r="AJ25" s="1027"/>
      <c r="AK25" s="1027"/>
      <c r="AL25" s="1027"/>
      <c r="AM25" s="1027"/>
      <c r="AN25" s="1027"/>
      <c r="AO25" s="1027"/>
      <c r="AP25" s="1027"/>
      <c r="AQ25" s="1027"/>
      <c r="AR25" s="1027"/>
      <c r="AS25" s="1027"/>
      <c r="AT25" s="1027"/>
      <c r="AU25" s="1027"/>
      <c r="AV25" s="1027"/>
    </row>
    <row r="26" spans="1:48">
      <c r="B26" s="680" t="s">
        <v>1716</v>
      </c>
      <c r="C26" s="1174">
        <v>21550000</v>
      </c>
      <c r="D26" s="1174">
        <v>21550000</v>
      </c>
      <c r="G26" s="673"/>
      <c r="H26" s="673"/>
      <c r="I26" s="673"/>
      <c r="J26" s="675"/>
      <c r="K26" s="675"/>
      <c r="L26" s="673"/>
      <c r="M26" s="673"/>
      <c r="N26" s="674"/>
      <c r="O26" s="673"/>
      <c r="P26" s="673"/>
      <c r="Q26" s="673"/>
      <c r="R26" s="675"/>
      <c r="S26" s="675"/>
      <c r="T26" s="673"/>
      <c r="U26" s="673"/>
      <c r="V26" s="674"/>
      <c r="W26" s="1027"/>
      <c r="X26" s="1027"/>
      <c r="Y26" s="1027"/>
      <c r="Z26" s="1027"/>
      <c r="AA26" s="1027"/>
      <c r="AB26" s="1027"/>
      <c r="AC26" s="1027"/>
      <c r="AD26" s="1027"/>
      <c r="AE26" s="1027"/>
      <c r="AF26" s="1027"/>
      <c r="AG26" s="1027"/>
      <c r="AH26" s="1027"/>
      <c r="AI26" s="1027"/>
      <c r="AJ26" s="1027"/>
      <c r="AK26" s="1027"/>
      <c r="AL26" s="1027"/>
      <c r="AM26" s="1027"/>
      <c r="AN26" s="1027"/>
      <c r="AO26" s="1027"/>
      <c r="AP26" s="1027"/>
      <c r="AQ26" s="1027"/>
      <c r="AR26" s="1027"/>
      <c r="AS26" s="1027"/>
      <c r="AT26" s="1027"/>
      <c r="AU26" s="1027"/>
      <c r="AV26" s="1027"/>
    </row>
    <row r="27" spans="1:48">
      <c r="G27" s="673"/>
      <c r="H27" s="673"/>
      <c r="I27" s="673"/>
      <c r="J27" s="675"/>
      <c r="K27" s="675"/>
      <c r="L27" s="673"/>
      <c r="M27" s="673"/>
      <c r="N27" s="674"/>
      <c r="O27" s="673"/>
      <c r="P27" s="673"/>
      <c r="Q27" s="673"/>
      <c r="R27" s="675"/>
      <c r="S27" s="675"/>
      <c r="T27" s="673"/>
      <c r="U27" s="673"/>
      <c r="V27" s="674"/>
      <c r="W27" s="1027"/>
      <c r="X27" s="1027"/>
      <c r="Y27" s="1027"/>
      <c r="Z27" s="1027"/>
      <c r="AA27" s="1027"/>
      <c r="AB27" s="1027"/>
      <c r="AC27" s="1027"/>
      <c r="AD27" s="1027"/>
      <c r="AE27" s="1027"/>
      <c r="AF27" s="1027"/>
      <c r="AG27" s="1027"/>
      <c r="AH27" s="1027"/>
      <c r="AI27" s="1027"/>
      <c r="AJ27" s="1027"/>
      <c r="AK27" s="1027"/>
      <c r="AL27" s="1027"/>
      <c r="AM27" s="1027"/>
      <c r="AN27" s="1027"/>
      <c r="AO27" s="1027"/>
      <c r="AP27" s="1027"/>
      <c r="AQ27" s="1027"/>
      <c r="AR27" s="1027"/>
      <c r="AS27" s="1027"/>
      <c r="AT27" s="1027"/>
      <c r="AU27" s="1027"/>
      <c r="AV27" s="1027"/>
    </row>
    <row r="28" spans="1:48">
      <c r="G28" s="673"/>
      <c r="H28" s="673"/>
      <c r="I28" s="673"/>
      <c r="J28" s="675"/>
      <c r="K28" s="675"/>
      <c r="L28" s="673"/>
      <c r="M28" s="673"/>
      <c r="N28" s="674"/>
      <c r="O28" s="673"/>
      <c r="P28" s="673"/>
      <c r="Q28" s="673"/>
      <c r="R28" s="673"/>
      <c r="S28" s="673"/>
      <c r="T28" s="673"/>
      <c r="U28" s="673"/>
      <c r="V28" s="674"/>
      <c r="W28" s="1027"/>
      <c r="X28" s="1027"/>
      <c r="Y28" s="1027"/>
      <c r="Z28" s="1027"/>
      <c r="AA28" s="1027"/>
      <c r="AB28" s="1027"/>
      <c r="AC28" s="1027"/>
      <c r="AD28" s="1027"/>
      <c r="AE28" s="1027"/>
      <c r="AF28" s="1027"/>
      <c r="AG28" s="1027"/>
      <c r="AH28" s="1027"/>
      <c r="AI28" s="1027"/>
      <c r="AJ28" s="1027"/>
      <c r="AK28" s="1027"/>
      <c r="AL28" s="1027"/>
      <c r="AM28" s="1027"/>
      <c r="AN28" s="1027"/>
      <c r="AO28" s="1027"/>
      <c r="AP28" s="1027"/>
      <c r="AQ28" s="1027"/>
      <c r="AR28" s="1027"/>
      <c r="AS28" s="1027"/>
      <c r="AT28" s="1027"/>
      <c r="AU28" s="1027"/>
      <c r="AV28" s="1027"/>
    </row>
    <row r="29" spans="1:48">
      <c r="A29" s="594" t="s">
        <v>835</v>
      </c>
      <c r="G29" s="673"/>
      <c r="H29" s="673"/>
      <c r="I29" s="673"/>
      <c r="J29" s="675"/>
      <c r="K29" s="675"/>
      <c r="L29" s="673"/>
      <c r="M29" s="673"/>
      <c r="N29" s="674"/>
      <c r="O29" s="673"/>
      <c r="P29" s="673"/>
      <c r="Q29" s="673"/>
      <c r="R29" s="675"/>
      <c r="S29" s="675"/>
      <c r="T29" s="673"/>
      <c r="U29" s="673"/>
      <c r="V29" s="674"/>
      <c r="W29" s="1027"/>
      <c r="X29" s="1027"/>
      <c r="Y29" s="1027"/>
      <c r="Z29" s="1027"/>
      <c r="AA29" s="1027"/>
      <c r="AB29" s="1027"/>
      <c r="AC29" s="1027"/>
      <c r="AD29" s="1027"/>
      <c r="AE29" s="1027"/>
      <c r="AF29" s="1027"/>
      <c r="AG29" s="1027"/>
      <c r="AH29" s="1027"/>
      <c r="AI29" s="1027"/>
      <c r="AJ29" s="1027"/>
      <c r="AK29" s="1027"/>
      <c r="AL29" s="1027"/>
      <c r="AM29" s="1027"/>
      <c r="AN29" s="1027"/>
      <c r="AO29" s="1027"/>
      <c r="AP29" s="1027"/>
      <c r="AQ29" s="1027"/>
      <c r="AR29" s="1027"/>
      <c r="AS29" s="1027"/>
      <c r="AT29" s="1027"/>
      <c r="AU29" s="1027"/>
      <c r="AV29" s="1027"/>
    </row>
    <row r="30" spans="1:48">
      <c r="B30" s="682" t="s">
        <v>1715</v>
      </c>
      <c r="G30" s="673"/>
      <c r="H30" s="673"/>
      <c r="I30" s="673"/>
      <c r="J30" s="673"/>
      <c r="K30" s="673"/>
      <c r="L30" s="673"/>
      <c r="M30" s="673"/>
      <c r="N30" s="674"/>
      <c r="O30" s="673"/>
      <c r="P30" s="673"/>
      <c r="Q30" s="673"/>
      <c r="R30" s="675"/>
      <c r="S30" s="675"/>
      <c r="T30" s="673"/>
      <c r="U30" s="673"/>
      <c r="V30" s="674"/>
      <c r="W30" s="1027"/>
      <c r="X30" s="1027"/>
      <c r="Y30" s="1027"/>
      <c r="Z30" s="1027"/>
      <c r="AA30" s="1027"/>
      <c r="AB30" s="1027"/>
      <c r="AC30" s="1027"/>
      <c r="AD30" s="1027"/>
      <c r="AE30" s="1027"/>
      <c r="AF30" s="1027"/>
      <c r="AG30" s="1027"/>
      <c r="AH30" s="1027"/>
      <c r="AI30" s="1027"/>
      <c r="AJ30" s="1027"/>
      <c r="AK30" s="1027"/>
      <c r="AL30" s="1027"/>
      <c r="AM30" s="1027"/>
      <c r="AN30" s="1027"/>
      <c r="AO30" s="1027"/>
      <c r="AP30" s="1027"/>
      <c r="AQ30" s="1027"/>
      <c r="AR30" s="1027"/>
      <c r="AS30" s="1027"/>
      <c r="AT30" s="1027"/>
      <c r="AU30" s="1027"/>
      <c r="AV30" s="1027"/>
    </row>
    <row r="31" spans="1:48">
      <c r="A31" s="594"/>
      <c r="B31" s="682" t="s">
        <v>1714</v>
      </c>
      <c r="C31" s="681"/>
      <c r="D31" s="681"/>
      <c r="G31" s="673"/>
      <c r="H31" s="673"/>
      <c r="I31" s="673"/>
      <c r="J31" s="673"/>
      <c r="K31" s="673"/>
      <c r="L31" s="673"/>
      <c r="M31" s="673"/>
      <c r="N31" s="674"/>
      <c r="O31" s="673"/>
      <c r="P31" s="673"/>
      <c r="Q31" s="673"/>
      <c r="R31" s="675"/>
      <c r="S31" s="675"/>
      <c r="T31" s="673"/>
      <c r="U31" s="673"/>
      <c r="V31" s="674"/>
      <c r="W31" s="1027"/>
      <c r="X31" s="1027"/>
      <c r="Y31" s="1027"/>
      <c r="Z31" s="1027"/>
      <c r="AA31" s="1027"/>
      <c r="AB31" s="1027"/>
      <c r="AC31" s="1027"/>
      <c r="AD31" s="1027"/>
      <c r="AE31" s="1027"/>
      <c r="AF31" s="1027"/>
      <c r="AG31" s="1027"/>
      <c r="AH31" s="1027"/>
      <c r="AI31" s="1027"/>
      <c r="AJ31" s="1027"/>
      <c r="AK31" s="1027"/>
      <c r="AL31" s="1027"/>
      <c r="AM31" s="1027"/>
      <c r="AN31" s="1027"/>
      <c r="AO31" s="1027"/>
      <c r="AP31" s="1027"/>
      <c r="AQ31" s="1027"/>
      <c r="AR31" s="1027"/>
      <c r="AS31" s="1027"/>
      <c r="AT31" s="1027"/>
      <c r="AU31" s="1027"/>
      <c r="AV31" s="1027"/>
    </row>
    <row r="32" spans="1:48">
      <c r="B32" s="682"/>
      <c r="C32" s="681"/>
      <c r="D32" s="681"/>
      <c r="G32" s="673"/>
      <c r="H32" s="673"/>
      <c r="I32" s="673"/>
      <c r="J32" s="673"/>
      <c r="K32" s="673"/>
      <c r="L32" s="673"/>
      <c r="M32" s="673"/>
      <c r="N32" s="674"/>
      <c r="O32" s="673"/>
      <c r="P32" s="673"/>
      <c r="Q32" s="673"/>
      <c r="R32" s="675"/>
      <c r="S32" s="675"/>
      <c r="T32" s="673"/>
      <c r="U32" s="673"/>
      <c r="V32" s="674"/>
      <c r="W32" s="1027"/>
      <c r="X32" s="1027"/>
      <c r="Y32" s="1027"/>
      <c r="Z32" s="1027"/>
      <c r="AA32" s="1027"/>
      <c r="AB32" s="1027"/>
      <c r="AC32" s="1027"/>
      <c r="AD32" s="1027"/>
      <c r="AE32" s="1027"/>
      <c r="AF32" s="1027"/>
      <c r="AG32" s="1027"/>
      <c r="AH32" s="1027"/>
      <c r="AI32" s="1027"/>
      <c r="AJ32" s="1027"/>
      <c r="AK32" s="1027"/>
      <c r="AL32" s="1027"/>
      <c r="AM32" s="1027"/>
      <c r="AN32" s="1027"/>
      <c r="AO32" s="1027"/>
      <c r="AP32" s="1027"/>
      <c r="AQ32" s="1027"/>
      <c r="AR32" s="1027"/>
      <c r="AS32" s="1027"/>
      <c r="AT32" s="1027"/>
      <c r="AU32" s="1027"/>
      <c r="AV32" s="1027"/>
    </row>
    <row r="33" spans="2:48">
      <c r="B33" s="2" t="s">
        <v>1713</v>
      </c>
      <c r="D33" s="681"/>
      <c r="G33" s="673"/>
      <c r="H33" s="673"/>
      <c r="I33" s="673"/>
      <c r="J33" s="673"/>
      <c r="K33" s="673"/>
      <c r="L33" s="673"/>
      <c r="M33" s="673"/>
      <c r="N33" s="674"/>
      <c r="O33" s="673"/>
      <c r="P33" s="673"/>
      <c r="Q33" s="673"/>
      <c r="R33" s="675"/>
      <c r="S33" s="673"/>
      <c r="T33" s="673"/>
      <c r="U33" s="673"/>
      <c r="V33" s="674"/>
      <c r="W33" s="1027"/>
      <c r="X33" s="1027"/>
      <c r="Y33" s="1027"/>
      <c r="Z33" s="1027"/>
      <c r="AA33" s="1027"/>
      <c r="AB33" s="1027"/>
      <c r="AC33" s="1027"/>
      <c r="AD33" s="1027"/>
      <c r="AE33" s="1027"/>
      <c r="AF33" s="1027"/>
      <c r="AG33" s="1027"/>
      <c r="AH33" s="1027"/>
      <c r="AI33" s="1027"/>
      <c r="AJ33" s="1027"/>
      <c r="AK33" s="1027"/>
      <c r="AL33" s="1027"/>
      <c r="AM33" s="1027"/>
      <c r="AN33" s="1027"/>
      <c r="AO33" s="1027"/>
      <c r="AP33" s="1027"/>
      <c r="AQ33" s="1027"/>
      <c r="AR33" s="1027"/>
      <c r="AS33" s="1027"/>
      <c r="AT33" s="1027"/>
      <c r="AU33" s="1027"/>
      <c r="AV33" s="1027"/>
    </row>
    <row r="34" spans="2:48">
      <c r="G34" s="673"/>
      <c r="H34" s="673"/>
      <c r="I34" s="673"/>
      <c r="J34" s="675"/>
      <c r="K34" s="675"/>
      <c r="L34" s="673"/>
      <c r="M34" s="673"/>
      <c r="N34" s="674"/>
      <c r="O34" s="673"/>
      <c r="P34" s="673"/>
      <c r="Q34" s="673"/>
      <c r="R34" s="673"/>
      <c r="S34" s="675"/>
      <c r="T34" s="673"/>
      <c r="U34" s="673"/>
      <c r="V34" s="674"/>
      <c r="W34" s="1027"/>
      <c r="X34" s="1027"/>
      <c r="Y34" s="1027"/>
      <c r="Z34" s="1027"/>
      <c r="AA34" s="1027"/>
      <c r="AB34" s="1027"/>
      <c r="AC34" s="1027"/>
      <c r="AD34" s="1027"/>
      <c r="AE34" s="1027"/>
      <c r="AF34" s="1027"/>
      <c r="AG34" s="1027"/>
      <c r="AH34" s="1027"/>
      <c r="AI34" s="1027"/>
      <c r="AJ34" s="1027"/>
      <c r="AK34" s="1027"/>
      <c r="AL34" s="1027"/>
      <c r="AM34" s="1027"/>
      <c r="AN34" s="1027"/>
      <c r="AO34" s="1027"/>
      <c r="AP34" s="1027"/>
      <c r="AQ34" s="1027"/>
      <c r="AR34" s="1027"/>
      <c r="AS34" s="1027"/>
      <c r="AT34" s="1027"/>
      <c r="AU34" s="1027"/>
      <c r="AV34" s="1027"/>
    </row>
    <row r="35" spans="2:48">
      <c r="B35" s="680" t="s">
        <v>1712</v>
      </c>
      <c r="C35" s="1174">
        <v>252597000</v>
      </c>
      <c r="G35" s="673"/>
      <c r="H35" s="673"/>
      <c r="I35" s="673"/>
      <c r="J35" s="675"/>
      <c r="K35" s="675"/>
      <c r="L35" s="673"/>
      <c r="M35" s="673"/>
      <c r="N35" s="674"/>
      <c r="O35" s="673"/>
      <c r="P35" s="673"/>
      <c r="Q35" s="673"/>
      <c r="R35" s="675"/>
      <c r="S35" s="673"/>
      <c r="T35" s="673"/>
      <c r="U35" s="673"/>
      <c r="V35" s="674"/>
      <c r="W35" s="1027"/>
      <c r="X35" s="1027"/>
      <c r="Y35" s="1027"/>
      <c r="Z35" s="1027"/>
      <c r="AA35" s="1027"/>
      <c r="AB35" s="1027"/>
      <c r="AC35" s="1027"/>
      <c r="AD35" s="1027"/>
      <c r="AE35" s="1027"/>
      <c r="AF35" s="1027"/>
      <c r="AG35" s="1027"/>
      <c r="AH35" s="1027"/>
      <c r="AI35" s="1027"/>
      <c r="AJ35" s="1027"/>
      <c r="AK35" s="1027"/>
      <c r="AL35" s="1027"/>
      <c r="AM35" s="1027"/>
      <c r="AN35" s="1027"/>
      <c r="AO35" s="1027"/>
      <c r="AP35" s="1027"/>
      <c r="AQ35" s="1027"/>
      <c r="AR35" s="1027"/>
      <c r="AS35" s="1027"/>
      <c r="AT35" s="1027"/>
      <c r="AU35" s="1027"/>
      <c r="AV35" s="1027"/>
    </row>
    <row r="36" spans="2:48">
      <c r="B36" s="680" t="s">
        <v>1711</v>
      </c>
      <c r="C36" s="1174">
        <v>2156000</v>
      </c>
      <c r="D36" s="678"/>
      <c r="G36" s="673"/>
      <c r="H36" s="673"/>
      <c r="I36" s="673"/>
      <c r="J36" s="675"/>
      <c r="K36" s="675"/>
      <c r="L36" s="673"/>
      <c r="M36" s="673"/>
      <c r="N36" s="674"/>
      <c r="O36" s="673"/>
      <c r="P36" s="673"/>
      <c r="Q36" s="673"/>
      <c r="R36" s="673"/>
      <c r="S36" s="675"/>
      <c r="T36" s="673"/>
      <c r="U36" s="673"/>
      <c r="V36" s="674"/>
      <c r="W36" s="1027"/>
      <c r="X36" s="1027"/>
      <c r="Y36" s="1027"/>
      <c r="Z36" s="1027"/>
      <c r="AA36" s="1027"/>
      <c r="AB36" s="1027"/>
      <c r="AC36" s="1027"/>
      <c r="AD36" s="1027"/>
      <c r="AE36" s="1027"/>
      <c r="AF36" s="1027"/>
      <c r="AG36" s="1027"/>
      <c r="AH36" s="1027"/>
      <c r="AI36" s="1027"/>
      <c r="AJ36" s="1027"/>
      <c r="AK36" s="1027"/>
      <c r="AL36" s="1027"/>
      <c r="AM36" s="1027"/>
      <c r="AN36" s="1027"/>
      <c r="AO36" s="1027"/>
      <c r="AP36" s="1027"/>
      <c r="AQ36" s="1027"/>
      <c r="AR36" s="1027"/>
      <c r="AS36" s="1027"/>
      <c r="AT36" s="1027"/>
      <c r="AU36" s="1027"/>
      <c r="AV36" s="1027"/>
    </row>
    <row r="37" spans="2:48">
      <c r="B37" s="680" t="s">
        <v>113</v>
      </c>
      <c r="C37" s="1174">
        <v>5952000</v>
      </c>
      <c r="D37" s="678"/>
      <c r="G37" s="673"/>
      <c r="H37" s="673"/>
      <c r="I37" s="673"/>
      <c r="J37" s="675"/>
      <c r="K37" s="675"/>
      <c r="L37" s="673"/>
      <c r="M37" s="673"/>
      <c r="N37" s="674"/>
      <c r="O37" s="673"/>
      <c r="P37" s="673"/>
      <c r="Q37" s="673"/>
      <c r="R37" s="673"/>
      <c r="S37" s="675"/>
      <c r="T37" s="673"/>
      <c r="U37" s="673"/>
      <c r="V37" s="674"/>
      <c r="W37" s="1027"/>
      <c r="X37" s="1027"/>
      <c r="Y37" s="1027"/>
      <c r="Z37" s="1027"/>
      <c r="AA37" s="1027"/>
      <c r="AB37" s="1027"/>
      <c r="AC37" s="1027"/>
      <c r="AD37" s="1027"/>
      <c r="AE37" s="1027"/>
      <c r="AF37" s="1027"/>
      <c r="AG37" s="1027"/>
      <c r="AH37" s="1027"/>
      <c r="AI37" s="1027"/>
      <c r="AJ37" s="1027"/>
      <c r="AK37" s="1027"/>
      <c r="AL37" s="1027"/>
      <c r="AM37" s="1027"/>
      <c r="AN37" s="1027"/>
      <c r="AO37" s="1027"/>
      <c r="AP37" s="1027"/>
      <c r="AQ37" s="1027"/>
      <c r="AR37" s="1027"/>
      <c r="AS37" s="1027"/>
      <c r="AT37" s="1027"/>
      <c r="AU37" s="1027"/>
      <c r="AV37" s="1027"/>
    </row>
    <row r="38" spans="2:48">
      <c r="B38" s="680" t="s">
        <v>1710</v>
      </c>
      <c r="C38" s="1174">
        <v>142150000</v>
      </c>
      <c r="G38" s="673"/>
      <c r="H38" s="673"/>
      <c r="I38" s="673"/>
      <c r="J38" s="673"/>
      <c r="K38" s="673"/>
      <c r="L38" s="673"/>
      <c r="M38" s="673"/>
      <c r="N38" s="674"/>
      <c r="O38" s="673"/>
      <c r="P38" s="673"/>
      <c r="Q38" s="673"/>
      <c r="R38" s="673"/>
      <c r="S38" s="675"/>
      <c r="T38" s="673"/>
      <c r="U38" s="673"/>
      <c r="V38" s="674"/>
      <c r="W38" s="1027"/>
      <c r="X38" s="1027"/>
      <c r="Y38" s="1027"/>
      <c r="Z38" s="1027"/>
      <c r="AA38" s="1027"/>
      <c r="AB38" s="1027"/>
      <c r="AC38" s="1027"/>
      <c r="AD38" s="1027"/>
      <c r="AE38" s="1027"/>
      <c r="AF38" s="1027"/>
      <c r="AG38" s="1027"/>
      <c r="AH38" s="1027"/>
      <c r="AI38" s="1027"/>
      <c r="AJ38" s="1027"/>
      <c r="AK38" s="1027"/>
      <c r="AL38" s="1027"/>
      <c r="AM38" s="1027"/>
      <c r="AN38" s="1027"/>
      <c r="AO38" s="1027"/>
      <c r="AP38" s="1027"/>
      <c r="AQ38" s="1027"/>
      <c r="AR38" s="1027"/>
      <c r="AS38" s="1027"/>
      <c r="AT38" s="1027"/>
      <c r="AU38" s="1027"/>
      <c r="AV38" s="1027"/>
    </row>
    <row r="39" spans="2:48">
      <c r="G39" s="673"/>
      <c r="H39" s="673"/>
      <c r="I39" s="673"/>
      <c r="J39" s="675"/>
      <c r="K39" s="675"/>
      <c r="L39" s="673"/>
      <c r="M39" s="673"/>
      <c r="N39" s="674"/>
      <c r="O39" s="673"/>
      <c r="P39" s="673"/>
      <c r="Q39" s="673"/>
      <c r="R39" s="673"/>
      <c r="S39" s="675"/>
      <c r="T39" s="673"/>
      <c r="U39" s="673"/>
      <c r="V39" s="674"/>
      <c r="W39" s="1027"/>
      <c r="X39" s="1027"/>
      <c r="Y39" s="1027"/>
      <c r="Z39" s="1027"/>
      <c r="AA39" s="1027"/>
      <c r="AB39" s="1027"/>
      <c r="AC39" s="1027"/>
      <c r="AD39" s="1027"/>
      <c r="AE39" s="1027"/>
      <c r="AF39" s="1027"/>
      <c r="AG39" s="1027"/>
      <c r="AH39" s="1027"/>
      <c r="AI39" s="1027"/>
      <c r="AJ39" s="1027"/>
      <c r="AK39" s="1027"/>
      <c r="AL39" s="1027"/>
      <c r="AM39" s="1027"/>
      <c r="AN39" s="1027"/>
      <c r="AO39" s="1027"/>
      <c r="AP39" s="1027"/>
      <c r="AQ39" s="1027"/>
      <c r="AR39" s="1027"/>
      <c r="AS39" s="1027"/>
      <c r="AT39" s="1027"/>
      <c r="AU39" s="1027"/>
      <c r="AV39" s="1027"/>
    </row>
    <row r="40" spans="2:48">
      <c r="B40" s="2" t="s">
        <v>1709</v>
      </c>
      <c r="G40" s="673"/>
      <c r="H40" s="673"/>
      <c r="I40" s="673"/>
      <c r="J40" s="675"/>
      <c r="K40" s="675"/>
      <c r="L40" s="673"/>
      <c r="M40" s="673"/>
      <c r="N40" s="674"/>
      <c r="O40" s="673"/>
      <c r="P40" s="673"/>
      <c r="Q40" s="673"/>
      <c r="R40" s="673"/>
      <c r="S40" s="675"/>
      <c r="T40" s="673"/>
      <c r="U40" s="673"/>
      <c r="V40" s="674"/>
      <c r="W40" s="1027"/>
      <c r="X40" s="1027"/>
      <c r="Y40" s="1027"/>
      <c r="Z40" s="1027"/>
      <c r="AA40" s="1027"/>
      <c r="AB40" s="1027"/>
      <c r="AC40" s="1027"/>
      <c r="AD40" s="1027"/>
      <c r="AE40" s="1027"/>
      <c r="AF40" s="1027"/>
      <c r="AG40" s="1027"/>
      <c r="AH40" s="1027"/>
      <c r="AI40" s="1027"/>
      <c r="AJ40" s="1027"/>
      <c r="AK40" s="1027"/>
      <c r="AL40" s="1027"/>
      <c r="AM40" s="1027"/>
      <c r="AN40" s="1027"/>
      <c r="AO40" s="1027"/>
      <c r="AP40" s="1027"/>
      <c r="AQ40" s="1027"/>
      <c r="AR40" s="1027"/>
      <c r="AS40" s="1027"/>
      <c r="AT40" s="1027"/>
      <c r="AU40" s="1027"/>
      <c r="AV40" s="1027"/>
    </row>
    <row r="41" spans="2:48">
      <c r="B41" s="2" t="s">
        <v>1708</v>
      </c>
      <c r="G41" s="673"/>
      <c r="H41" s="673"/>
      <c r="I41" s="673"/>
      <c r="J41" s="673"/>
      <c r="K41" s="673"/>
      <c r="L41" s="673"/>
      <c r="M41" s="673"/>
      <c r="N41" s="674"/>
      <c r="O41" s="673"/>
      <c r="P41" s="673"/>
      <c r="Q41" s="673"/>
      <c r="R41" s="673"/>
      <c r="S41" s="673"/>
      <c r="T41" s="673"/>
      <c r="U41" s="673"/>
      <c r="V41" s="674"/>
      <c r="W41" s="1027"/>
      <c r="X41" s="1027"/>
      <c r="Y41" s="1027"/>
      <c r="Z41" s="1027"/>
      <c r="AA41" s="1027"/>
      <c r="AB41" s="1027"/>
      <c r="AC41" s="1027"/>
      <c r="AD41" s="1027"/>
      <c r="AE41" s="1027"/>
      <c r="AF41" s="1027"/>
      <c r="AG41" s="1027"/>
      <c r="AH41" s="1027"/>
      <c r="AI41" s="1027"/>
      <c r="AJ41" s="1027"/>
      <c r="AK41" s="1027"/>
      <c r="AL41" s="1027"/>
      <c r="AM41" s="1027"/>
      <c r="AN41" s="1027"/>
      <c r="AO41" s="1027"/>
      <c r="AP41" s="1027"/>
      <c r="AQ41" s="1027"/>
      <c r="AR41" s="1027"/>
      <c r="AS41" s="1027"/>
      <c r="AT41" s="1027"/>
      <c r="AU41" s="1027"/>
      <c r="AV41" s="1027"/>
    </row>
    <row r="42" spans="2:48">
      <c r="B42" s="2" t="s">
        <v>1707</v>
      </c>
      <c r="G42" s="673"/>
      <c r="H42" s="673"/>
      <c r="I42" s="673"/>
      <c r="J42" s="673"/>
      <c r="K42" s="673"/>
      <c r="L42" s="673"/>
      <c r="M42" s="673"/>
      <c r="N42" s="674"/>
      <c r="O42" s="673"/>
      <c r="P42" s="673"/>
      <c r="Q42" s="673"/>
      <c r="R42" s="675"/>
      <c r="S42" s="673"/>
      <c r="T42" s="673"/>
      <c r="U42" s="673"/>
      <c r="V42" s="674"/>
      <c r="W42" s="1027"/>
      <c r="X42" s="1027"/>
      <c r="Y42" s="1027"/>
      <c r="Z42" s="1027"/>
      <c r="AA42" s="1027"/>
      <c r="AB42" s="1027"/>
      <c r="AC42" s="1027"/>
      <c r="AD42" s="1027"/>
      <c r="AE42" s="1027"/>
      <c r="AF42" s="1027"/>
      <c r="AG42" s="1027"/>
      <c r="AH42" s="1027"/>
      <c r="AI42" s="1027"/>
      <c r="AJ42" s="1027"/>
      <c r="AK42" s="1027"/>
      <c r="AL42" s="1027"/>
      <c r="AM42" s="1027"/>
      <c r="AN42" s="1027"/>
      <c r="AO42" s="1027"/>
      <c r="AP42" s="1027"/>
      <c r="AQ42" s="1027"/>
      <c r="AR42" s="1027"/>
      <c r="AS42" s="1027"/>
      <c r="AT42" s="1027"/>
      <c r="AU42" s="1027"/>
      <c r="AV42" s="1027"/>
    </row>
    <row r="43" spans="2:48">
      <c r="B43" s="2" t="s">
        <v>1706</v>
      </c>
      <c r="G43" s="673"/>
      <c r="H43" s="673"/>
      <c r="I43" s="673"/>
      <c r="J43" s="673"/>
      <c r="K43" s="673"/>
      <c r="L43" s="673"/>
      <c r="M43" s="673"/>
      <c r="N43" s="674"/>
      <c r="O43" s="673"/>
      <c r="P43" s="673"/>
      <c r="Q43" s="673"/>
      <c r="R43" s="673"/>
      <c r="S43" s="673"/>
      <c r="T43" s="673"/>
      <c r="U43" s="673"/>
      <c r="V43" s="674"/>
      <c r="W43" s="1027"/>
      <c r="X43" s="1027"/>
      <c r="Y43" s="1027"/>
      <c r="Z43" s="1027"/>
      <c r="AA43" s="1027"/>
      <c r="AB43" s="1027"/>
      <c r="AC43" s="1027"/>
      <c r="AD43" s="1027"/>
      <c r="AE43" s="1027"/>
      <c r="AF43" s="1027"/>
      <c r="AG43" s="1027"/>
      <c r="AH43" s="1027"/>
      <c r="AI43" s="1027"/>
      <c r="AJ43" s="1027"/>
      <c r="AK43" s="1027"/>
      <c r="AL43" s="1027"/>
      <c r="AM43" s="1027"/>
      <c r="AN43" s="1027"/>
      <c r="AO43" s="1027"/>
      <c r="AP43" s="1027"/>
      <c r="AQ43" s="1027"/>
      <c r="AR43" s="1027"/>
      <c r="AS43" s="1027"/>
      <c r="AT43" s="1027"/>
      <c r="AU43" s="1027"/>
      <c r="AV43" s="1027"/>
    </row>
    <row r="44" spans="2:48">
      <c r="B44" s="2" t="s">
        <v>1705</v>
      </c>
      <c r="G44" s="673"/>
      <c r="H44" s="673"/>
      <c r="I44" s="673"/>
      <c r="J44" s="673"/>
      <c r="K44" s="673"/>
      <c r="L44" s="673"/>
      <c r="M44" s="673"/>
      <c r="N44" s="674"/>
      <c r="O44" s="673"/>
      <c r="P44" s="673"/>
      <c r="Q44" s="673"/>
      <c r="R44" s="673"/>
      <c r="S44" s="673"/>
      <c r="T44" s="673"/>
      <c r="U44" s="673"/>
      <c r="V44" s="674"/>
      <c r="W44" s="1027"/>
      <c r="X44" s="1027"/>
      <c r="Y44" s="1027"/>
      <c r="Z44" s="1027"/>
      <c r="AA44" s="1027"/>
      <c r="AB44" s="1027"/>
      <c r="AC44" s="1027"/>
      <c r="AD44" s="1027"/>
      <c r="AE44" s="1027"/>
      <c r="AF44" s="1027"/>
      <c r="AG44" s="1027"/>
      <c r="AH44" s="1027"/>
      <c r="AI44" s="1027"/>
      <c r="AJ44" s="1027"/>
      <c r="AK44" s="1027"/>
      <c r="AL44" s="1027"/>
      <c r="AM44" s="1027"/>
      <c r="AN44" s="1027"/>
      <c r="AO44" s="1027"/>
      <c r="AP44" s="1027"/>
      <c r="AQ44" s="1027"/>
      <c r="AR44" s="1027"/>
      <c r="AS44" s="1027"/>
      <c r="AT44" s="1027"/>
      <c r="AU44" s="1027"/>
      <c r="AV44" s="1027"/>
    </row>
    <row r="45" spans="2:48">
      <c r="G45" s="673"/>
      <c r="H45" s="673"/>
      <c r="I45" s="673"/>
      <c r="J45" s="675"/>
      <c r="K45" s="675"/>
      <c r="L45" s="673"/>
      <c r="M45" s="673"/>
      <c r="N45" s="674"/>
      <c r="O45" s="673"/>
      <c r="P45" s="673"/>
      <c r="Q45" s="673"/>
      <c r="R45" s="675"/>
      <c r="S45" s="675"/>
      <c r="T45" s="673"/>
      <c r="U45" s="673"/>
      <c r="V45" s="674"/>
      <c r="W45" s="1027"/>
      <c r="X45" s="1027"/>
      <c r="Y45" s="1027"/>
      <c r="Z45" s="1027"/>
      <c r="AA45" s="1027"/>
      <c r="AB45" s="1027"/>
      <c r="AC45" s="1027"/>
      <c r="AD45" s="1027"/>
      <c r="AE45" s="1027"/>
      <c r="AF45" s="1027"/>
      <c r="AG45" s="1027"/>
      <c r="AH45" s="1027"/>
      <c r="AI45" s="1027"/>
      <c r="AJ45" s="1027"/>
      <c r="AK45" s="1027"/>
      <c r="AL45" s="1027"/>
      <c r="AM45" s="1027"/>
      <c r="AN45" s="1027"/>
      <c r="AO45" s="1027"/>
      <c r="AP45" s="1027"/>
      <c r="AQ45" s="1027"/>
      <c r="AR45" s="1027"/>
      <c r="AS45" s="1027"/>
      <c r="AT45" s="1027"/>
      <c r="AU45" s="1027"/>
      <c r="AV45" s="1027"/>
    </row>
    <row r="46" spans="2:48">
      <c r="G46" s="673"/>
      <c r="H46" s="673"/>
      <c r="I46" s="673"/>
      <c r="J46" s="675"/>
      <c r="K46" s="675"/>
      <c r="L46" s="673"/>
      <c r="M46" s="673"/>
      <c r="N46" s="674"/>
      <c r="O46" s="673"/>
      <c r="P46" s="673"/>
      <c r="Q46" s="673"/>
      <c r="R46" s="675"/>
      <c r="S46" s="675"/>
      <c r="T46" s="673"/>
      <c r="U46" s="673"/>
      <c r="V46" s="674"/>
      <c r="W46" s="1027"/>
      <c r="X46" s="1027"/>
      <c r="Y46" s="1027"/>
      <c r="Z46" s="1027"/>
      <c r="AA46" s="1027"/>
      <c r="AB46" s="1027"/>
      <c r="AC46" s="1027"/>
      <c r="AD46" s="1027"/>
      <c r="AE46" s="1027"/>
      <c r="AF46" s="1027"/>
      <c r="AG46" s="1027"/>
      <c r="AH46" s="1027"/>
      <c r="AI46" s="1027"/>
      <c r="AJ46" s="1027"/>
      <c r="AK46" s="1027"/>
      <c r="AL46" s="1027"/>
      <c r="AM46" s="1027"/>
      <c r="AN46" s="1027"/>
      <c r="AO46" s="1027"/>
      <c r="AP46" s="1027"/>
      <c r="AQ46" s="1027"/>
      <c r="AR46" s="1027"/>
      <c r="AS46" s="1027"/>
      <c r="AT46" s="1027"/>
      <c r="AU46" s="1027"/>
      <c r="AV46" s="1027"/>
    </row>
    <row r="47" spans="2:48">
      <c r="G47" s="673"/>
      <c r="H47" s="673"/>
      <c r="I47" s="673"/>
      <c r="J47" s="673"/>
      <c r="K47" s="673"/>
      <c r="L47" s="673"/>
      <c r="M47" s="673"/>
      <c r="N47" s="674"/>
      <c r="O47" s="673"/>
      <c r="P47" s="673"/>
      <c r="Q47" s="673"/>
      <c r="R47" s="673"/>
      <c r="S47" s="673"/>
      <c r="T47" s="673"/>
      <c r="U47" s="673"/>
      <c r="V47" s="674"/>
      <c r="W47" s="1027"/>
      <c r="X47" s="1027"/>
      <c r="Y47" s="1027"/>
      <c r="Z47" s="1027"/>
      <c r="AA47" s="1027"/>
      <c r="AB47" s="1027"/>
      <c r="AC47" s="1027"/>
      <c r="AD47" s="1027"/>
      <c r="AE47" s="1027"/>
      <c r="AF47" s="1027"/>
      <c r="AG47" s="1027"/>
      <c r="AH47" s="1027"/>
      <c r="AI47" s="1027"/>
      <c r="AJ47" s="1027"/>
      <c r="AK47" s="1027"/>
      <c r="AL47" s="1027"/>
      <c r="AM47" s="1027"/>
      <c r="AN47" s="1027"/>
      <c r="AO47" s="1027"/>
      <c r="AP47" s="1027"/>
      <c r="AQ47" s="1027"/>
      <c r="AR47" s="1027"/>
      <c r="AS47" s="1027"/>
      <c r="AT47" s="1027"/>
      <c r="AU47" s="1027"/>
      <c r="AV47" s="1027"/>
    </row>
    <row r="48" spans="2:48">
      <c r="G48" s="673"/>
      <c r="H48" s="673"/>
      <c r="I48" s="673"/>
      <c r="J48" s="673"/>
      <c r="K48" s="673"/>
      <c r="L48" s="673"/>
      <c r="M48" s="673"/>
      <c r="N48" s="674"/>
      <c r="O48" s="673"/>
      <c r="P48" s="673"/>
      <c r="Q48" s="673"/>
      <c r="R48" s="673"/>
      <c r="S48" s="673"/>
      <c r="T48" s="673"/>
      <c r="U48" s="673"/>
      <c r="V48" s="674"/>
      <c r="W48" s="1027"/>
      <c r="X48" s="1027"/>
      <c r="Y48" s="1027"/>
      <c r="Z48" s="1027"/>
      <c r="AA48" s="1027"/>
      <c r="AB48" s="1027"/>
      <c r="AC48" s="1027"/>
      <c r="AD48" s="1027"/>
      <c r="AE48" s="1027"/>
      <c r="AF48" s="1027"/>
      <c r="AG48" s="1027"/>
      <c r="AH48" s="1027"/>
      <c r="AI48" s="1027"/>
      <c r="AJ48" s="1027"/>
      <c r="AK48" s="1027"/>
      <c r="AL48" s="1027"/>
      <c r="AM48" s="1027"/>
      <c r="AN48" s="1027"/>
      <c r="AO48" s="1027"/>
      <c r="AP48" s="1027"/>
      <c r="AQ48" s="1027"/>
      <c r="AR48" s="1027"/>
      <c r="AS48" s="1027"/>
      <c r="AT48" s="1027"/>
      <c r="AU48" s="1027"/>
      <c r="AV48" s="1027"/>
    </row>
    <row r="49" spans="7:48">
      <c r="G49" s="673"/>
      <c r="H49" s="673"/>
      <c r="I49" s="673"/>
      <c r="J49" s="673"/>
      <c r="K49" s="673"/>
      <c r="L49" s="673"/>
      <c r="M49" s="673"/>
      <c r="N49" s="674"/>
      <c r="O49" s="673"/>
      <c r="P49" s="673"/>
      <c r="Q49" s="673"/>
      <c r="R49" s="673"/>
      <c r="S49" s="673"/>
      <c r="T49" s="673"/>
      <c r="U49" s="673"/>
      <c r="V49" s="674"/>
      <c r="W49" s="1027"/>
      <c r="X49" s="1027"/>
      <c r="Y49" s="1027"/>
      <c r="Z49" s="1027"/>
      <c r="AA49" s="1027"/>
      <c r="AB49" s="1027"/>
      <c r="AC49" s="1027"/>
      <c r="AD49" s="1027"/>
      <c r="AE49" s="1027"/>
      <c r="AF49" s="1027"/>
      <c r="AG49" s="1027"/>
      <c r="AH49" s="1027"/>
      <c r="AI49" s="1027"/>
      <c r="AJ49" s="1027"/>
      <c r="AK49" s="1027"/>
      <c r="AL49" s="1027"/>
      <c r="AM49" s="1027"/>
      <c r="AN49" s="1027"/>
      <c r="AO49" s="1027"/>
      <c r="AP49" s="1027"/>
      <c r="AQ49" s="1027"/>
      <c r="AR49" s="1027"/>
      <c r="AS49" s="1027"/>
      <c r="AT49" s="1027"/>
      <c r="AU49" s="1027"/>
      <c r="AV49" s="1027"/>
    </row>
    <row r="50" spans="7:48">
      <c r="G50" s="673"/>
      <c r="H50" s="673"/>
      <c r="I50" s="673"/>
      <c r="J50" s="673"/>
      <c r="K50" s="673"/>
      <c r="L50" s="673"/>
      <c r="M50" s="673"/>
      <c r="N50" s="674"/>
      <c r="O50" s="673"/>
      <c r="P50" s="673"/>
      <c r="Q50" s="673"/>
      <c r="R50" s="673"/>
      <c r="S50" s="673"/>
      <c r="T50" s="673"/>
      <c r="U50" s="673"/>
      <c r="V50" s="674"/>
      <c r="W50" s="1027"/>
      <c r="X50" s="1027"/>
      <c r="Y50" s="1027"/>
      <c r="Z50" s="1027"/>
      <c r="AA50" s="1027"/>
      <c r="AB50" s="1027"/>
      <c r="AC50" s="1027"/>
      <c r="AD50" s="1027"/>
      <c r="AE50" s="1027"/>
      <c r="AF50" s="1027"/>
      <c r="AG50" s="1027"/>
      <c r="AH50" s="1027"/>
      <c r="AI50" s="1027"/>
      <c r="AJ50" s="1027"/>
      <c r="AK50" s="1027"/>
      <c r="AL50" s="1027"/>
      <c r="AM50" s="1027"/>
      <c r="AN50" s="1027"/>
      <c r="AO50" s="1027"/>
      <c r="AP50" s="1027"/>
      <c r="AQ50" s="1027"/>
      <c r="AR50" s="1027"/>
      <c r="AS50" s="1027"/>
      <c r="AT50" s="1027"/>
      <c r="AU50" s="1027"/>
      <c r="AV50" s="1027"/>
    </row>
    <row r="51" spans="7:48">
      <c r="G51" s="673"/>
      <c r="H51" s="673"/>
      <c r="I51" s="673"/>
      <c r="J51" s="673"/>
      <c r="K51" s="673"/>
      <c r="L51" s="673"/>
      <c r="M51" s="673"/>
      <c r="N51" s="674"/>
      <c r="O51" s="673"/>
      <c r="P51" s="673"/>
      <c r="Q51" s="673"/>
      <c r="R51" s="673"/>
      <c r="S51" s="673"/>
      <c r="T51" s="673"/>
      <c r="U51" s="673"/>
      <c r="V51" s="674"/>
      <c r="W51" s="1027"/>
      <c r="X51" s="1027"/>
      <c r="Y51" s="1027"/>
      <c r="Z51" s="1027"/>
      <c r="AA51" s="1027"/>
      <c r="AB51" s="1027"/>
      <c r="AC51" s="1027"/>
      <c r="AD51" s="1027"/>
      <c r="AE51" s="1027"/>
      <c r="AF51" s="1027"/>
      <c r="AG51" s="1027"/>
      <c r="AH51" s="1027"/>
      <c r="AI51" s="1027"/>
      <c r="AJ51" s="1027"/>
      <c r="AK51" s="1027"/>
      <c r="AL51" s="1027"/>
      <c r="AM51" s="1027"/>
      <c r="AN51" s="1027"/>
      <c r="AO51" s="1027"/>
      <c r="AP51" s="1027"/>
      <c r="AQ51" s="1027"/>
      <c r="AR51" s="1027"/>
      <c r="AS51" s="1027"/>
      <c r="AT51" s="1027"/>
      <c r="AU51" s="1027"/>
      <c r="AV51" s="1027"/>
    </row>
    <row r="52" spans="7:48">
      <c r="G52" s="673"/>
      <c r="H52" s="673"/>
      <c r="I52" s="673"/>
      <c r="J52" s="673"/>
      <c r="K52" s="673"/>
      <c r="L52" s="673"/>
      <c r="M52" s="673"/>
      <c r="N52" s="674"/>
      <c r="O52" s="673"/>
      <c r="P52" s="673"/>
      <c r="Q52" s="673"/>
      <c r="R52" s="673"/>
      <c r="S52" s="673"/>
      <c r="T52" s="673"/>
      <c r="U52" s="673"/>
      <c r="V52" s="674"/>
      <c r="W52" s="1027"/>
      <c r="X52" s="1027"/>
      <c r="Y52" s="1027"/>
      <c r="Z52" s="1027"/>
      <c r="AA52" s="1027"/>
      <c r="AB52" s="1027"/>
      <c r="AC52" s="1027"/>
      <c r="AD52" s="1027"/>
      <c r="AE52" s="1027"/>
      <c r="AF52" s="1027"/>
      <c r="AG52" s="1027"/>
      <c r="AH52" s="1027"/>
      <c r="AI52" s="1027"/>
      <c r="AJ52" s="1027"/>
      <c r="AK52" s="1027"/>
      <c r="AL52" s="1027"/>
      <c r="AM52" s="1027"/>
      <c r="AN52" s="1027"/>
      <c r="AO52" s="1027"/>
      <c r="AP52" s="1027"/>
      <c r="AQ52" s="1027"/>
      <c r="AR52" s="1027"/>
      <c r="AS52" s="1027"/>
      <c r="AT52" s="1027"/>
      <c r="AU52" s="1027"/>
      <c r="AV52" s="1027"/>
    </row>
    <row r="53" spans="7:48">
      <c r="G53" s="673"/>
      <c r="H53" s="673"/>
      <c r="I53" s="673"/>
      <c r="J53" s="673"/>
      <c r="K53" s="673"/>
      <c r="L53" s="673"/>
      <c r="M53" s="673"/>
      <c r="N53" s="674"/>
      <c r="O53" s="673"/>
      <c r="P53" s="673"/>
      <c r="Q53" s="673"/>
      <c r="R53" s="673"/>
      <c r="S53" s="673"/>
      <c r="T53" s="673"/>
      <c r="U53" s="673"/>
      <c r="V53" s="674"/>
      <c r="W53" s="1027"/>
      <c r="X53" s="1027"/>
      <c r="Y53" s="1027"/>
      <c r="Z53" s="1027"/>
      <c r="AA53" s="1027"/>
      <c r="AB53" s="1027"/>
      <c r="AC53" s="1027"/>
      <c r="AD53" s="1027"/>
      <c r="AE53" s="1027"/>
      <c r="AF53" s="1027"/>
      <c r="AG53" s="1027"/>
      <c r="AH53" s="1027"/>
      <c r="AI53" s="1027"/>
      <c r="AJ53" s="1027"/>
      <c r="AK53" s="1027"/>
      <c r="AL53" s="1027"/>
      <c r="AM53" s="1027"/>
      <c r="AN53" s="1027"/>
      <c r="AO53" s="1027"/>
      <c r="AP53" s="1027"/>
      <c r="AQ53" s="1027"/>
      <c r="AR53" s="1027"/>
      <c r="AS53" s="1027"/>
      <c r="AT53" s="1027"/>
      <c r="AU53" s="1027"/>
      <c r="AV53" s="1027"/>
    </row>
    <row r="54" spans="7:48">
      <c r="G54" s="673"/>
      <c r="H54" s="673"/>
      <c r="I54" s="673"/>
      <c r="J54" s="673"/>
      <c r="K54" s="673"/>
      <c r="L54" s="673"/>
      <c r="M54" s="673"/>
      <c r="N54" s="674"/>
      <c r="O54" s="673"/>
      <c r="P54" s="673"/>
      <c r="Q54" s="673"/>
      <c r="R54" s="673"/>
      <c r="S54" s="673"/>
      <c r="T54" s="673"/>
      <c r="U54" s="673"/>
      <c r="V54" s="674"/>
      <c r="W54" s="1027"/>
      <c r="X54" s="1027"/>
      <c r="Y54" s="1027"/>
      <c r="Z54" s="1027"/>
      <c r="AA54" s="1027"/>
      <c r="AB54" s="1027"/>
      <c r="AC54" s="1027"/>
      <c r="AD54" s="1027"/>
      <c r="AE54" s="1027"/>
      <c r="AF54" s="1027"/>
      <c r="AG54" s="1027"/>
      <c r="AH54" s="1027"/>
      <c r="AI54" s="1027"/>
      <c r="AJ54" s="1027"/>
      <c r="AK54" s="1027"/>
      <c r="AL54" s="1027"/>
      <c r="AM54" s="1027"/>
      <c r="AN54" s="1027"/>
      <c r="AO54" s="1027"/>
      <c r="AP54" s="1027"/>
      <c r="AQ54" s="1027"/>
      <c r="AR54" s="1027"/>
      <c r="AS54" s="1027"/>
      <c r="AT54" s="1027"/>
      <c r="AU54" s="1027"/>
      <c r="AV54" s="1027"/>
    </row>
    <row r="55" spans="7:48">
      <c r="G55" s="673"/>
      <c r="H55" s="673"/>
      <c r="I55" s="673"/>
      <c r="J55" s="673"/>
      <c r="K55" s="673"/>
      <c r="L55" s="673"/>
      <c r="M55" s="673"/>
      <c r="N55" s="674"/>
      <c r="O55" s="673"/>
      <c r="P55" s="673"/>
      <c r="Q55" s="673"/>
      <c r="R55" s="673"/>
      <c r="S55" s="673"/>
      <c r="T55" s="673"/>
      <c r="U55" s="673"/>
      <c r="V55" s="674"/>
      <c r="W55" s="1027"/>
      <c r="X55" s="1027"/>
      <c r="Y55" s="1027"/>
      <c r="Z55" s="1027"/>
      <c r="AA55" s="1027"/>
      <c r="AB55" s="1027"/>
      <c r="AC55" s="1027"/>
      <c r="AD55" s="1027"/>
      <c r="AE55" s="1027"/>
      <c r="AF55" s="1027"/>
      <c r="AG55" s="1027"/>
      <c r="AH55" s="1027"/>
      <c r="AI55" s="1027"/>
      <c r="AJ55" s="1027"/>
      <c r="AK55" s="1027"/>
      <c r="AL55" s="1027"/>
      <c r="AM55" s="1027"/>
      <c r="AN55" s="1027"/>
      <c r="AO55" s="1027"/>
      <c r="AP55" s="1027"/>
      <c r="AQ55" s="1027"/>
      <c r="AR55" s="1027"/>
      <c r="AS55" s="1027"/>
      <c r="AT55" s="1027"/>
      <c r="AU55" s="1027"/>
      <c r="AV55" s="1027"/>
    </row>
    <row r="56" spans="7:48">
      <c r="G56" s="673"/>
      <c r="H56" s="673"/>
      <c r="I56" s="673"/>
      <c r="J56" s="673"/>
      <c r="K56" s="673"/>
      <c r="L56" s="673"/>
      <c r="M56" s="673"/>
      <c r="N56" s="674"/>
      <c r="O56" s="673"/>
      <c r="P56" s="673"/>
      <c r="Q56" s="673"/>
      <c r="R56" s="673"/>
      <c r="S56" s="673"/>
      <c r="T56" s="673"/>
      <c r="U56" s="673"/>
      <c r="V56" s="674"/>
      <c r="W56" s="1027"/>
      <c r="X56" s="1027"/>
      <c r="Y56" s="1027"/>
      <c r="Z56" s="1027"/>
      <c r="AA56" s="1027"/>
      <c r="AB56" s="1027"/>
      <c r="AC56" s="1027"/>
      <c r="AD56" s="1027"/>
      <c r="AE56" s="1027"/>
      <c r="AF56" s="1027"/>
      <c r="AG56" s="1027"/>
      <c r="AH56" s="1027"/>
      <c r="AI56" s="1027"/>
      <c r="AJ56" s="1027"/>
      <c r="AK56" s="1027"/>
      <c r="AL56" s="1027"/>
      <c r="AM56" s="1027"/>
      <c r="AN56" s="1027"/>
      <c r="AO56" s="1027"/>
      <c r="AP56" s="1027"/>
      <c r="AQ56" s="1027"/>
      <c r="AR56" s="1027"/>
      <c r="AS56" s="1027"/>
      <c r="AT56" s="1027"/>
      <c r="AU56" s="1027"/>
      <c r="AV56" s="1027"/>
    </row>
    <row r="57" spans="7:48">
      <c r="G57" s="673"/>
      <c r="H57" s="673"/>
      <c r="I57" s="673"/>
      <c r="J57" s="673"/>
      <c r="K57" s="673"/>
      <c r="L57" s="673"/>
      <c r="M57" s="673"/>
      <c r="N57" s="674"/>
      <c r="O57" s="673"/>
      <c r="P57" s="673"/>
      <c r="Q57" s="673"/>
      <c r="R57" s="673"/>
      <c r="S57" s="673"/>
      <c r="T57" s="673"/>
      <c r="U57" s="673"/>
      <c r="V57" s="674"/>
      <c r="W57" s="1027"/>
      <c r="X57" s="1027"/>
      <c r="Y57" s="1027"/>
      <c r="Z57" s="1027"/>
      <c r="AA57" s="1027"/>
      <c r="AB57" s="1027"/>
      <c r="AC57" s="1027"/>
      <c r="AD57" s="1027"/>
      <c r="AE57" s="1027"/>
      <c r="AF57" s="1027"/>
      <c r="AG57" s="1027"/>
      <c r="AH57" s="1027"/>
      <c r="AI57" s="1027"/>
      <c r="AJ57" s="1027"/>
      <c r="AK57" s="1027"/>
      <c r="AL57" s="1027"/>
      <c r="AM57" s="1027"/>
      <c r="AN57" s="1027"/>
      <c r="AO57" s="1027"/>
      <c r="AP57" s="1027"/>
      <c r="AQ57" s="1027"/>
      <c r="AR57" s="1027"/>
      <c r="AS57" s="1027"/>
      <c r="AT57" s="1027"/>
      <c r="AU57" s="1027"/>
      <c r="AV57" s="1027"/>
    </row>
    <row r="58" spans="7:48">
      <c r="G58" s="673"/>
      <c r="H58" s="673"/>
      <c r="I58" s="673"/>
      <c r="J58" s="673"/>
      <c r="K58" s="673"/>
      <c r="L58" s="673"/>
      <c r="M58" s="673"/>
      <c r="N58" s="674"/>
      <c r="O58" s="673"/>
      <c r="P58" s="673"/>
      <c r="Q58" s="673"/>
      <c r="R58" s="673"/>
      <c r="S58" s="673"/>
      <c r="T58" s="673"/>
      <c r="U58" s="673"/>
      <c r="V58" s="674"/>
      <c r="W58" s="1027"/>
      <c r="X58" s="1027"/>
      <c r="Y58" s="1027"/>
      <c r="Z58" s="1027"/>
      <c r="AA58" s="1027"/>
      <c r="AB58" s="1027"/>
      <c r="AC58" s="1027"/>
      <c r="AD58" s="1027"/>
      <c r="AE58" s="1027"/>
      <c r="AF58" s="1027"/>
      <c r="AG58" s="1027"/>
      <c r="AH58" s="1027"/>
      <c r="AI58" s="1027"/>
      <c r="AJ58" s="1027"/>
      <c r="AK58" s="1027"/>
      <c r="AL58" s="1027"/>
      <c r="AM58" s="1027"/>
      <c r="AN58" s="1027"/>
      <c r="AO58" s="1027"/>
      <c r="AP58" s="1027"/>
      <c r="AQ58" s="1027"/>
      <c r="AR58" s="1027"/>
      <c r="AS58" s="1027"/>
      <c r="AT58" s="1027"/>
      <c r="AU58" s="1027"/>
      <c r="AV58" s="1027"/>
    </row>
    <row r="59" spans="7:48">
      <c r="G59" s="673"/>
      <c r="H59" s="673"/>
      <c r="I59" s="673"/>
      <c r="J59" s="673"/>
      <c r="K59" s="673"/>
      <c r="L59" s="673"/>
      <c r="M59" s="673"/>
      <c r="N59" s="674"/>
      <c r="O59" s="673"/>
      <c r="P59" s="673"/>
      <c r="Q59" s="673"/>
      <c r="R59" s="673"/>
      <c r="S59" s="673"/>
      <c r="T59" s="673"/>
      <c r="U59" s="673"/>
      <c r="V59" s="674"/>
      <c r="W59" s="1027"/>
      <c r="X59" s="1027"/>
      <c r="Y59" s="1027"/>
      <c r="Z59" s="1027"/>
      <c r="AA59" s="1027"/>
      <c r="AB59" s="1027"/>
      <c r="AC59" s="1027"/>
      <c r="AD59" s="1027"/>
      <c r="AE59" s="1027"/>
      <c r="AF59" s="1027"/>
      <c r="AG59" s="1027"/>
      <c r="AH59" s="1027"/>
      <c r="AI59" s="1027"/>
      <c r="AJ59" s="1027"/>
      <c r="AK59" s="1027"/>
      <c r="AL59" s="1027"/>
      <c r="AM59" s="1027"/>
      <c r="AN59" s="1027"/>
      <c r="AO59" s="1027"/>
      <c r="AP59" s="1027"/>
      <c r="AQ59" s="1027"/>
      <c r="AR59" s="1027"/>
      <c r="AS59" s="1027"/>
      <c r="AT59" s="1027"/>
      <c r="AU59" s="1027"/>
      <c r="AV59" s="1027"/>
    </row>
    <row r="60" spans="7:48">
      <c r="G60" s="673"/>
      <c r="H60" s="673"/>
      <c r="I60" s="673"/>
      <c r="J60" s="673"/>
      <c r="K60" s="673"/>
      <c r="L60" s="673"/>
      <c r="M60" s="673"/>
      <c r="N60" s="674"/>
      <c r="O60" s="673"/>
      <c r="P60" s="673"/>
      <c r="Q60" s="673"/>
      <c r="R60" s="673"/>
      <c r="S60" s="673"/>
      <c r="T60" s="673"/>
      <c r="U60" s="673"/>
      <c r="V60" s="674"/>
      <c r="W60" s="1027"/>
      <c r="X60" s="1027"/>
      <c r="Y60" s="1027"/>
      <c r="Z60" s="1027"/>
      <c r="AA60" s="1027"/>
      <c r="AB60" s="1027"/>
      <c r="AC60" s="1027"/>
      <c r="AD60" s="1027"/>
      <c r="AE60" s="1027"/>
      <c r="AF60" s="1027"/>
      <c r="AG60" s="1027"/>
      <c r="AH60" s="1027"/>
      <c r="AI60" s="1027"/>
      <c r="AJ60" s="1027"/>
      <c r="AK60" s="1027"/>
      <c r="AL60" s="1027"/>
      <c r="AM60" s="1027"/>
      <c r="AN60" s="1027"/>
      <c r="AO60" s="1027"/>
      <c r="AP60" s="1027"/>
      <c r="AQ60" s="1027"/>
      <c r="AR60" s="1027"/>
      <c r="AS60" s="1027"/>
      <c r="AT60" s="1027"/>
      <c r="AU60" s="1027"/>
      <c r="AV60" s="1027"/>
    </row>
    <row r="61" spans="7:48">
      <c r="G61" s="673"/>
      <c r="H61" s="673"/>
      <c r="I61" s="673"/>
      <c r="J61" s="673"/>
      <c r="K61" s="673"/>
      <c r="L61" s="673"/>
      <c r="M61" s="673"/>
      <c r="N61" s="674"/>
      <c r="O61" s="673"/>
      <c r="P61" s="673"/>
      <c r="Q61" s="673"/>
      <c r="R61" s="673"/>
      <c r="S61" s="673"/>
      <c r="T61" s="673"/>
      <c r="U61" s="673"/>
      <c r="V61" s="674"/>
      <c r="W61" s="1027"/>
      <c r="X61" s="1027"/>
      <c r="Y61" s="1027"/>
      <c r="Z61" s="1027"/>
      <c r="AA61" s="1027"/>
      <c r="AB61" s="1027"/>
      <c r="AC61" s="1027"/>
      <c r="AD61" s="1027"/>
      <c r="AE61" s="1027"/>
      <c r="AF61" s="1027"/>
      <c r="AG61" s="1027"/>
      <c r="AH61" s="1027"/>
      <c r="AI61" s="1027"/>
      <c r="AJ61" s="1027"/>
      <c r="AK61" s="1027"/>
      <c r="AL61" s="1027"/>
      <c r="AM61" s="1027"/>
      <c r="AN61" s="1027"/>
      <c r="AO61" s="1027"/>
      <c r="AP61" s="1027"/>
      <c r="AQ61" s="1027"/>
      <c r="AR61" s="1027"/>
      <c r="AS61" s="1027"/>
      <c r="AT61" s="1027"/>
      <c r="AU61" s="1027"/>
      <c r="AV61" s="1027"/>
    </row>
    <row r="62" spans="7:48">
      <c r="G62" s="673"/>
      <c r="H62" s="673"/>
      <c r="I62" s="673"/>
      <c r="J62" s="673"/>
      <c r="K62" s="673"/>
      <c r="L62" s="673"/>
      <c r="M62" s="673"/>
      <c r="N62" s="674"/>
      <c r="O62" s="673"/>
      <c r="P62" s="673"/>
      <c r="Q62" s="673"/>
      <c r="R62" s="673"/>
      <c r="S62" s="673"/>
      <c r="T62" s="673"/>
      <c r="U62" s="673"/>
      <c r="V62" s="674"/>
      <c r="W62" s="1027"/>
      <c r="X62" s="1027"/>
      <c r="Y62" s="1027"/>
      <c r="Z62" s="1027"/>
      <c r="AA62" s="1027"/>
      <c r="AB62" s="1027"/>
      <c r="AC62" s="1027"/>
      <c r="AD62" s="1027"/>
      <c r="AE62" s="1027"/>
      <c r="AF62" s="1027"/>
      <c r="AG62" s="1027"/>
      <c r="AH62" s="1027"/>
      <c r="AI62" s="1027"/>
      <c r="AJ62" s="1027"/>
      <c r="AK62" s="1027"/>
      <c r="AL62" s="1027"/>
      <c r="AM62" s="1027"/>
      <c r="AN62" s="1027"/>
      <c r="AO62" s="1027"/>
      <c r="AP62" s="1027"/>
      <c r="AQ62" s="1027"/>
      <c r="AR62" s="1027"/>
      <c r="AS62" s="1027"/>
      <c r="AT62" s="1027"/>
      <c r="AU62" s="1027"/>
      <c r="AV62" s="1027"/>
    </row>
    <row r="63" spans="7:48">
      <c r="G63" s="673"/>
      <c r="H63" s="673"/>
      <c r="I63" s="673"/>
      <c r="J63" s="673"/>
      <c r="K63" s="673"/>
      <c r="L63" s="673"/>
      <c r="M63" s="673"/>
      <c r="N63" s="674"/>
      <c r="O63" s="673"/>
      <c r="P63" s="673"/>
      <c r="Q63" s="673"/>
      <c r="R63" s="673"/>
      <c r="S63" s="673"/>
      <c r="T63" s="673"/>
      <c r="U63" s="673"/>
      <c r="V63" s="674"/>
      <c r="W63" s="1027"/>
      <c r="X63" s="1027"/>
      <c r="Y63" s="1027"/>
      <c r="Z63" s="1027"/>
      <c r="AA63" s="1027"/>
      <c r="AB63" s="1027"/>
      <c r="AC63" s="1027"/>
      <c r="AD63" s="1027"/>
      <c r="AE63" s="1027"/>
      <c r="AF63" s="1027"/>
      <c r="AG63" s="1027"/>
      <c r="AH63" s="1027"/>
      <c r="AI63" s="1027"/>
      <c r="AJ63" s="1027"/>
      <c r="AK63" s="1027"/>
      <c r="AL63" s="1027"/>
      <c r="AM63" s="1027"/>
      <c r="AN63" s="1027"/>
      <c r="AO63" s="1027"/>
      <c r="AP63" s="1027"/>
      <c r="AQ63" s="1027"/>
      <c r="AR63" s="1027"/>
      <c r="AS63" s="1027"/>
      <c r="AT63" s="1027"/>
      <c r="AU63" s="1027"/>
      <c r="AV63" s="1027"/>
    </row>
    <row r="64" spans="7:48">
      <c r="G64" s="673"/>
      <c r="H64" s="673"/>
      <c r="I64" s="673"/>
      <c r="J64" s="673"/>
      <c r="K64" s="673"/>
      <c r="L64" s="673"/>
      <c r="M64" s="673"/>
      <c r="N64" s="674"/>
      <c r="O64" s="673"/>
      <c r="P64" s="673"/>
      <c r="Q64" s="673"/>
      <c r="R64" s="673"/>
      <c r="S64" s="673"/>
      <c r="T64" s="673"/>
      <c r="U64" s="673"/>
      <c r="V64" s="674"/>
      <c r="W64" s="1027"/>
      <c r="X64" s="1027"/>
      <c r="Y64" s="1027"/>
      <c r="Z64" s="1027"/>
      <c r="AA64" s="1027"/>
      <c r="AB64" s="1027"/>
      <c r="AC64" s="1027"/>
      <c r="AD64" s="1027"/>
      <c r="AE64" s="1027"/>
      <c r="AF64" s="1027"/>
      <c r="AG64" s="1027"/>
      <c r="AH64" s="1027"/>
      <c r="AI64" s="1027"/>
      <c r="AJ64" s="1027"/>
      <c r="AK64" s="1027"/>
      <c r="AL64" s="1027"/>
      <c r="AM64" s="1027"/>
      <c r="AN64" s="1027"/>
      <c r="AO64" s="1027"/>
      <c r="AP64" s="1027"/>
      <c r="AQ64" s="1027"/>
      <c r="AR64" s="1027"/>
      <c r="AS64" s="1027"/>
      <c r="AT64" s="1027"/>
      <c r="AU64" s="1027"/>
      <c r="AV64" s="1027"/>
    </row>
    <row r="65" spans="7:48">
      <c r="G65" s="673"/>
      <c r="H65" s="673"/>
      <c r="I65" s="673"/>
      <c r="J65" s="673"/>
      <c r="K65" s="673"/>
      <c r="L65" s="673"/>
      <c r="M65" s="673"/>
      <c r="N65" s="674"/>
      <c r="O65" s="673"/>
      <c r="P65" s="673"/>
      <c r="Q65" s="673"/>
      <c r="R65" s="673"/>
      <c r="S65" s="673"/>
      <c r="T65" s="673"/>
      <c r="U65" s="673"/>
      <c r="V65" s="674"/>
      <c r="W65" s="1027"/>
      <c r="X65" s="1027"/>
      <c r="Y65" s="1027"/>
      <c r="Z65" s="1027"/>
      <c r="AA65" s="1027"/>
      <c r="AB65" s="1027"/>
      <c r="AC65" s="1027"/>
      <c r="AD65" s="1027"/>
      <c r="AE65" s="1027"/>
      <c r="AF65" s="1027"/>
      <c r="AG65" s="1027"/>
      <c r="AH65" s="1027"/>
      <c r="AI65" s="1027"/>
      <c r="AJ65" s="1027"/>
      <c r="AK65" s="1027"/>
      <c r="AL65" s="1027"/>
      <c r="AM65" s="1027"/>
      <c r="AN65" s="1027"/>
      <c r="AO65" s="1027"/>
      <c r="AP65" s="1027"/>
      <c r="AQ65" s="1027"/>
      <c r="AR65" s="1027"/>
      <c r="AS65" s="1027"/>
      <c r="AT65" s="1027"/>
      <c r="AU65" s="1027"/>
      <c r="AV65" s="1027"/>
    </row>
    <row r="66" spans="7:48">
      <c r="G66" s="673"/>
      <c r="H66" s="673"/>
      <c r="I66" s="673"/>
      <c r="J66" s="673"/>
      <c r="K66" s="673"/>
      <c r="L66" s="673"/>
      <c r="M66" s="673"/>
      <c r="N66" s="674"/>
      <c r="O66" s="673"/>
      <c r="P66" s="673"/>
      <c r="Q66" s="673"/>
      <c r="R66" s="673"/>
      <c r="S66" s="673"/>
      <c r="T66" s="673"/>
      <c r="U66" s="673"/>
      <c r="V66" s="674"/>
      <c r="W66" s="1027"/>
      <c r="X66" s="1027"/>
      <c r="Y66" s="1027"/>
      <c r="Z66" s="1027"/>
      <c r="AA66" s="1027"/>
      <c r="AB66" s="1027"/>
      <c r="AC66" s="1027"/>
      <c r="AD66" s="1027"/>
      <c r="AE66" s="1027"/>
      <c r="AF66" s="1027"/>
      <c r="AG66" s="1027"/>
      <c r="AH66" s="1027"/>
      <c r="AI66" s="1027"/>
      <c r="AJ66" s="1027"/>
      <c r="AK66" s="1027"/>
      <c r="AL66" s="1027"/>
      <c r="AM66" s="1027"/>
      <c r="AN66" s="1027"/>
      <c r="AO66" s="1027"/>
      <c r="AP66" s="1027"/>
      <c r="AQ66" s="1027"/>
      <c r="AR66" s="1027"/>
      <c r="AS66" s="1027"/>
      <c r="AT66" s="1027"/>
      <c r="AU66" s="1027"/>
      <c r="AV66" s="1027"/>
    </row>
    <row r="67" spans="7:48">
      <c r="G67" s="673"/>
      <c r="H67" s="673"/>
      <c r="I67" s="673"/>
      <c r="J67" s="673"/>
      <c r="K67" s="673"/>
      <c r="L67" s="673"/>
      <c r="M67" s="673"/>
      <c r="N67" s="674"/>
      <c r="O67" s="673"/>
      <c r="P67" s="673"/>
      <c r="Q67" s="673"/>
      <c r="R67" s="673"/>
      <c r="S67" s="673"/>
      <c r="T67" s="673"/>
      <c r="U67" s="673"/>
      <c r="V67" s="674"/>
      <c r="W67" s="1027"/>
      <c r="X67" s="1027"/>
      <c r="Y67" s="1027"/>
      <c r="Z67" s="1027"/>
      <c r="AA67" s="1027"/>
      <c r="AB67" s="1027"/>
      <c r="AC67" s="1027"/>
      <c r="AD67" s="1027"/>
      <c r="AE67" s="1027"/>
      <c r="AF67" s="1027"/>
      <c r="AG67" s="1027"/>
      <c r="AH67" s="1027"/>
      <c r="AI67" s="1027"/>
      <c r="AJ67" s="1027"/>
      <c r="AK67" s="1027"/>
      <c r="AL67" s="1027"/>
      <c r="AM67" s="1027"/>
      <c r="AN67" s="1027"/>
      <c r="AO67" s="1027"/>
      <c r="AP67" s="1027"/>
      <c r="AQ67" s="1027"/>
      <c r="AR67" s="1027"/>
      <c r="AS67" s="1027"/>
      <c r="AT67" s="1027"/>
      <c r="AU67" s="1027"/>
      <c r="AV67" s="1027"/>
    </row>
    <row r="68" spans="7:48">
      <c r="G68" s="673"/>
      <c r="H68" s="673"/>
      <c r="I68" s="673"/>
      <c r="J68" s="673"/>
      <c r="K68" s="673"/>
      <c r="L68" s="673"/>
      <c r="M68" s="673"/>
      <c r="N68" s="674"/>
      <c r="O68" s="673"/>
      <c r="P68" s="673"/>
      <c r="Q68" s="673"/>
      <c r="R68" s="673"/>
      <c r="S68" s="673"/>
      <c r="T68" s="673"/>
      <c r="U68" s="673"/>
      <c r="V68" s="674"/>
      <c r="W68" s="1027"/>
      <c r="X68" s="1027"/>
      <c r="Y68" s="1027"/>
      <c r="Z68" s="1027"/>
      <c r="AA68" s="1027"/>
      <c r="AB68" s="1027"/>
      <c r="AC68" s="1027"/>
      <c r="AD68" s="1027"/>
      <c r="AE68" s="1027"/>
      <c r="AF68" s="1027"/>
      <c r="AG68" s="1027"/>
      <c r="AH68" s="1027"/>
      <c r="AI68" s="1027"/>
      <c r="AJ68" s="1027"/>
      <c r="AK68" s="1027"/>
      <c r="AL68" s="1027"/>
      <c r="AM68" s="1027"/>
      <c r="AN68" s="1027"/>
      <c r="AO68" s="1027"/>
      <c r="AP68" s="1027"/>
      <c r="AQ68" s="1027"/>
      <c r="AR68" s="1027"/>
      <c r="AS68" s="1027"/>
      <c r="AT68" s="1027"/>
      <c r="AU68" s="1027"/>
      <c r="AV68" s="1027"/>
    </row>
    <row r="69" spans="7:48">
      <c r="G69" s="673"/>
      <c r="H69" s="673"/>
      <c r="I69" s="673"/>
      <c r="J69" s="673"/>
      <c r="K69" s="673"/>
      <c r="L69" s="673"/>
      <c r="M69" s="673"/>
      <c r="N69" s="674"/>
      <c r="O69" s="673"/>
      <c r="P69" s="673"/>
      <c r="Q69" s="673"/>
      <c r="R69" s="673"/>
      <c r="S69" s="673"/>
      <c r="T69" s="673"/>
      <c r="U69" s="673"/>
      <c r="V69" s="674"/>
      <c r="W69" s="1027"/>
      <c r="X69" s="1027"/>
      <c r="Y69" s="1027"/>
      <c r="Z69" s="1027"/>
      <c r="AA69" s="1027"/>
      <c r="AB69" s="1027"/>
      <c r="AC69" s="1027"/>
      <c r="AD69" s="1027"/>
      <c r="AE69" s="1027"/>
      <c r="AF69" s="1027"/>
      <c r="AG69" s="1027"/>
      <c r="AH69" s="1027"/>
      <c r="AI69" s="1027"/>
      <c r="AJ69" s="1027"/>
      <c r="AK69" s="1027"/>
      <c r="AL69" s="1027"/>
      <c r="AM69" s="1027"/>
      <c r="AN69" s="1027"/>
      <c r="AO69" s="1027"/>
      <c r="AP69" s="1027"/>
      <c r="AQ69" s="1027"/>
      <c r="AR69" s="1027"/>
      <c r="AS69" s="1027"/>
      <c r="AT69" s="1027"/>
      <c r="AU69" s="1027"/>
      <c r="AV69" s="1027"/>
    </row>
    <row r="70" spans="7:48">
      <c r="G70" s="673"/>
      <c r="H70" s="673"/>
      <c r="I70" s="673"/>
      <c r="J70" s="673"/>
      <c r="K70" s="673"/>
      <c r="L70" s="673"/>
      <c r="M70" s="673"/>
      <c r="N70" s="674"/>
      <c r="O70" s="673"/>
      <c r="P70" s="673"/>
      <c r="Q70" s="673"/>
      <c r="R70" s="673"/>
      <c r="S70" s="673"/>
      <c r="T70" s="673"/>
      <c r="U70" s="673"/>
      <c r="V70" s="674"/>
      <c r="W70" s="1027"/>
      <c r="X70" s="1027"/>
      <c r="Y70" s="1027"/>
      <c r="Z70" s="1027"/>
      <c r="AA70" s="1027"/>
      <c r="AB70" s="1027"/>
      <c r="AC70" s="1027"/>
      <c r="AD70" s="1027"/>
      <c r="AE70" s="1027"/>
      <c r="AF70" s="1027"/>
      <c r="AG70" s="1027"/>
      <c r="AH70" s="1027"/>
      <c r="AI70" s="1027"/>
      <c r="AJ70" s="1027"/>
      <c r="AK70" s="1027"/>
      <c r="AL70" s="1027"/>
      <c r="AM70" s="1027"/>
      <c r="AN70" s="1027"/>
      <c r="AO70" s="1027"/>
      <c r="AP70" s="1027"/>
      <c r="AQ70" s="1027"/>
      <c r="AR70" s="1027"/>
      <c r="AS70" s="1027"/>
      <c r="AT70" s="1027"/>
      <c r="AU70" s="1027"/>
      <c r="AV70" s="1027"/>
    </row>
    <row r="71" spans="7:48">
      <c r="G71" s="673"/>
      <c r="H71" s="673"/>
      <c r="I71" s="673"/>
      <c r="J71" s="673"/>
      <c r="K71" s="673"/>
      <c r="L71" s="673"/>
      <c r="M71" s="673"/>
      <c r="N71" s="674"/>
      <c r="O71" s="673"/>
      <c r="P71" s="673"/>
      <c r="Q71" s="673"/>
      <c r="R71" s="673"/>
      <c r="S71" s="673"/>
      <c r="T71" s="673"/>
      <c r="U71" s="673"/>
      <c r="V71" s="674"/>
      <c r="W71" s="1027"/>
      <c r="X71" s="1027"/>
      <c r="Y71" s="1027"/>
      <c r="Z71" s="1027"/>
      <c r="AA71" s="1027"/>
      <c r="AB71" s="1027"/>
      <c r="AC71" s="1027"/>
      <c r="AD71" s="1027"/>
      <c r="AE71" s="1027"/>
      <c r="AF71" s="1027"/>
      <c r="AG71" s="1027"/>
      <c r="AH71" s="1027"/>
      <c r="AI71" s="1027"/>
      <c r="AJ71" s="1027"/>
      <c r="AK71" s="1027"/>
      <c r="AL71" s="1027"/>
      <c r="AM71" s="1027"/>
      <c r="AN71" s="1027"/>
      <c r="AO71" s="1027"/>
      <c r="AP71" s="1027"/>
      <c r="AQ71" s="1027"/>
      <c r="AR71" s="1027"/>
      <c r="AS71" s="1027"/>
      <c r="AT71" s="1027"/>
      <c r="AU71" s="1027"/>
      <c r="AV71" s="1027"/>
    </row>
    <row r="72" spans="7:48">
      <c r="G72" s="673"/>
      <c r="H72" s="673"/>
      <c r="I72" s="673"/>
      <c r="J72" s="673"/>
      <c r="K72" s="673"/>
      <c r="L72" s="673"/>
      <c r="M72" s="673"/>
      <c r="N72" s="674"/>
      <c r="O72" s="673"/>
      <c r="P72" s="673"/>
      <c r="Q72" s="673"/>
      <c r="R72" s="673"/>
      <c r="S72" s="673"/>
      <c r="T72" s="673"/>
      <c r="U72" s="673"/>
      <c r="V72" s="674"/>
      <c r="W72" s="1027"/>
      <c r="X72" s="1027"/>
      <c r="Y72" s="1027"/>
      <c r="Z72" s="1027"/>
      <c r="AA72" s="1027"/>
      <c r="AB72" s="1027"/>
      <c r="AC72" s="1027"/>
      <c r="AD72" s="1027"/>
      <c r="AE72" s="1027"/>
      <c r="AF72" s="1027"/>
      <c r="AG72" s="1027"/>
      <c r="AH72" s="1027"/>
      <c r="AI72" s="1027"/>
      <c r="AJ72" s="1027"/>
      <c r="AK72" s="1027"/>
      <c r="AL72" s="1027"/>
      <c r="AM72" s="1027"/>
      <c r="AN72" s="1027"/>
      <c r="AO72" s="1027"/>
      <c r="AP72" s="1027"/>
      <c r="AQ72" s="1027"/>
      <c r="AR72" s="1027"/>
      <c r="AS72" s="1027"/>
      <c r="AT72" s="1027"/>
      <c r="AU72" s="1027"/>
      <c r="AV72" s="1027"/>
    </row>
    <row r="73" spans="7:48">
      <c r="G73" s="673"/>
      <c r="H73" s="673"/>
      <c r="I73" s="673"/>
      <c r="J73" s="673"/>
      <c r="K73" s="673"/>
      <c r="L73" s="673"/>
      <c r="M73" s="673"/>
      <c r="N73" s="674"/>
      <c r="O73" s="673"/>
      <c r="P73" s="673"/>
      <c r="Q73" s="673"/>
      <c r="R73" s="673"/>
      <c r="S73" s="673"/>
      <c r="T73" s="673"/>
      <c r="U73" s="673"/>
      <c r="V73" s="674"/>
      <c r="W73" s="1027"/>
      <c r="X73" s="1027"/>
      <c r="Y73" s="1027"/>
      <c r="Z73" s="1027"/>
      <c r="AA73" s="1027"/>
      <c r="AB73" s="1027"/>
      <c r="AC73" s="1027"/>
      <c r="AD73" s="1027"/>
      <c r="AE73" s="1027"/>
      <c r="AF73" s="1027"/>
      <c r="AG73" s="1027"/>
      <c r="AH73" s="1027"/>
      <c r="AI73" s="1027"/>
      <c r="AJ73" s="1027"/>
      <c r="AK73" s="1027"/>
      <c r="AL73" s="1027"/>
      <c r="AM73" s="1027"/>
      <c r="AN73" s="1027"/>
      <c r="AO73" s="1027"/>
      <c r="AP73" s="1027"/>
      <c r="AQ73" s="1027"/>
      <c r="AR73" s="1027"/>
      <c r="AS73" s="1027"/>
      <c r="AT73" s="1027"/>
      <c r="AU73" s="1027"/>
      <c r="AV73" s="1027"/>
    </row>
    <row r="74" spans="7:48">
      <c r="G74" s="673"/>
      <c r="H74" s="673"/>
      <c r="I74" s="673"/>
      <c r="J74" s="673"/>
      <c r="K74" s="673"/>
      <c r="L74" s="673"/>
      <c r="M74" s="673"/>
      <c r="N74" s="674"/>
      <c r="O74" s="673"/>
      <c r="P74" s="673"/>
      <c r="Q74" s="673"/>
      <c r="R74" s="673"/>
      <c r="S74" s="673"/>
      <c r="T74" s="673"/>
      <c r="U74" s="673"/>
      <c r="V74" s="674"/>
      <c r="W74" s="1027"/>
      <c r="X74" s="1027"/>
      <c r="Y74" s="1027"/>
      <c r="Z74" s="1027"/>
      <c r="AA74" s="1027"/>
      <c r="AB74" s="1027"/>
      <c r="AC74" s="1027"/>
      <c r="AD74" s="1027"/>
      <c r="AE74" s="1027"/>
      <c r="AF74" s="1027"/>
      <c r="AG74" s="1027"/>
      <c r="AH74" s="1027"/>
      <c r="AI74" s="1027"/>
      <c r="AJ74" s="1027"/>
      <c r="AK74" s="1027"/>
      <c r="AL74" s="1027"/>
      <c r="AM74" s="1027"/>
      <c r="AN74" s="1027"/>
      <c r="AO74" s="1027"/>
      <c r="AP74" s="1027"/>
      <c r="AQ74" s="1027"/>
      <c r="AR74" s="1027"/>
      <c r="AS74" s="1027"/>
      <c r="AT74" s="1027"/>
      <c r="AU74" s="1027"/>
      <c r="AV74" s="1027"/>
    </row>
    <row r="75" spans="7:48">
      <c r="G75" s="673"/>
      <c r="H75" s="673"/>
      <c r="I75" s="673"/>
      <c r="J75" s="673"/>
      <c r="K75" s="673"/>
      <c r="L75" s="673"/>
      <c r="M75" s="673"/>
      <c r="N75" s="674"/>
      <c r="O75" s="673"/>
      <c r="P75" s="673"/>
      <c r="Q75" s="673"/>
      <c r="R75" s="673"/>
      <c r="S75" s="673"/>
      <c r="T75" s="673"/>
      <c r="U75" s="673"/>
      <c r="V75" s="674"/>
      <c r="W75" s="1027"/>
      <c r="X75" s="1027"/>
      <c r="Y75" s="1027"/>
      <c r="Z75" s="1027"/>
      <c r="AA75" s="1027"/>
      <c r="AB75" s="1027"/>
      <c r="AC75" s="1027"/>
      <c r="AD75" s="1027"/>
      <c r="AE75" s="1027"/>
      <c r="AF75" s="1027"/>
      <c r="AG75" s="1027"/>
      <c r="AH75" s="1027"/>
      <c r="AI75" s="1027"/>
      <c r="AJ75" s="1027"/>
      <c r="AK75" s="1027"/>
      <c r="AL75" s="1027"/>
      <c r="AM75" s="1027"/>
      <c r="AN75" s="1027"/>
      <c r="AO75" s="1027"/>
      <c r="AP75" s="1027"/>
      <c r="AQ75" s="1027"/>
      <c r="AR75" s="1027"/>
      <c r="AS75" s="1027"/>
      <c r="AT75" s="1027"/>
      <c r="AU75" s="1027"/>
      <c r="AV75" s="1027"/>
    </row>
    <row r="76" spans="7:48">
      <c r="G76" s="673"/>
      <c r="H76" s="673"/>
      <c r="I76" s="673"/>
      <c r="J76" s="673"/>
      <c r="K76" s="673"/>
      <c r="L76" s="673"/>
      <c r="M76" s="673"/>
      <c r="N76" s="674"/>
      <c r="O76" s="673"/>
      <c r="P76" s="673"/>
      <c r="Q76" s="673"/>
      <c r="R76" s="673"/>
      <c r="S76" s="673"/>
      <c r="T76" s="673"/>
      <c r="U76" s="673"/>
      <c r="V76" s="674"/>
      <c r="W76" s="1027"/>
      <c r="X76" s="1027"/>
      <c r="Y76" s="1027"/>
      <c r="Z76" s="1027"/>
      <c r="AA76" s="1027"/>
      <c r="AB76" s="1027"/>
      <c r="AC76" s="1027"/>
      <c r="AD76" s="1027"/>
      <c r="AE76" s="1027"/>
      <c r="AF76" s="1027"/>
      <c r="AG76" s="1027"/>
      <c r="AH76" s="1027"/>
      <c r="AI76" s="1027"/>
      <c r="AJ76" s="1027"/>
      <c r="AK76" s="1027"/>
      <c r="AL76" s="1027"/>
      <c r="AM76" s="1027"/>
      <c r="AN76" s="1027"/>
      <c r="AO76" s="1027"/>
      <c r="AP76" s="1027"/>
      <c r="AQ76" s="1027"/>
      <c r="AR76" s="1027"/>
      <c r="AS76" s="1027"/>
      <c r="AT76" s="1027"/>
      <c r="AU76" s="1027"/>
      <c r="AV76" s="1027"/>
    </row>
    <row r="77" spans="7:48">
      <c r="G77" s="673"/>
      <c r="H77" s="673"/>
      <c r="I77" s="673"/>
      <c r="J77" s="673"/>
      <c r="K77" s="673"/>
      <c r="L77" s="673"/>
      <c r="M77" s="673"/>
      <c r="N77" s="674"/>
      <c r="O77" s="673"/>
      <c r="P77" s="673"/>
      <c r="Q77" s="673"/>
      <c r="R77" s="673"/>
      <c r="S77" s="673"/>
      <c r="T77" s="673"/>
      <c r="U77" s="673"/>
      <c r="V77" s="674"/>
      <c r="W77" s="1027"/>
      <c r="X77" s="1027"/>
      <c r="Y77" s="1027"/>
      <c r="Z77" s="1027"/>
      <c r="AA77" s="1027"/>
      <c r="AB77" s="1027"/>
      <c r="AC77" s="1027"/>
      <c r="AD77" s="1027"/>
      <c r="AE77" s="1027"/>
      <c r="AF77" s="1027"/>
      <c r="AG77" s="1027"/>
      <c r="AH77" s="1027"/>
      <c r="AI77" s="1027"/>
      <c r="AJ77" s="1027"/>
      <c r="AK77" s="1027"/>
      <c r="AL77" s="1027"/>
      <c r="AM77" s="1027"/>
      <c r="AN77" s="1027"/>
      <c r="AO77" s="1027"/>
      <c r="AP77" s="1027"/>
      <c r="AQ77" s="1027"/>
      <c r="AR77" s="1027"/>
      <c r="AS77" s="1027"/>
      <c r="AT77" s="1027"/>
      <c r="AU77" s="1027"/>
      <c r="AV77" s="1027"/>
    </row>
    <row r="78" spans="7:48">
      <c r="G78" s="673"/>
      <c r="H78" s="673"/>
      <c r="I78" s="673"/>
      <c r="J78" s="673"/>
      <c r="K78" s="673"/>
      <c r="L78" s="673"/>
      <c r="M78" s="673"/>
      <c r="N78" s="674"/>
      <c r="O78" s="673"/>
      <c r="P78" s="673"/>
      <c r="Q78" s="673"/>
      <c r="R78" s="673"/>
      <c r="S78" s="673"/>
      <c r="T78" s="673"/>
      <c r="U78" s="673"/>
      <c r="V78" s="674"/>
      <c r="W78" s="1027"/>
      <c r="X78" s="1027"/>
      <c r="Y78" s="1027"/>
      <c r="Z78" s="1027"/>
      <c r="AA78" s="1027"/>
      <c r="AB78" s="1027"/>
      <c r="AC78" s="1027"/>
      <c r="AD78" s="1027"/>
      <c r="AE78" s="1027"/>
      <c r="AF78" s="1027"/>
      <c r="AG78" s="1027"/>
      <c r="AH78" s="1027"/>
      <c r="AI78" s="1027"/>
      <c r="AJ78" s="1027"/>
      <c r="AK78" s="1027"/>
      <c r="AL78" s="1027"/>
      <c r="AM78" s="1027"/>
      <c r="AN78" s="1027"/>
      <c r="AO78" s="1027"/>
      <c r="AP78" s="1027"/>
      <c r="AQ78" s="1027"/>
      <c r="AR78" s="1027"/>
      <c r="AS78" s="1027"/>
      <c r="AT78" s="1027"/>
      <c r="AU78" s="1027"/>
      <c r="AV78" s="1027"/>
    </row>
    <row r="79" spans="7:48">
      <c r="G79" s="673"/>
      <c r="H79" s="673"/>
      <c r="I79" s="673"/>
      <c r="J79" s="673"/>
      <c r="K79" s="673"/>
      <c r="L79" s="673"/>
      <c r="M79" s="673"/>
      <c r="N79" s="674"/>
      <c r="O79" s="673"/>
      <c r="P79" s="673"/>
      <c r="Q79" s="673"/>
      <c r="R79" s="673"/>
      <c r="S79" s="673"/>
      <c r="T79" s="673"/>
      <c r="U79" s="673"/>
      <c r="V79" s="674"/>
      <c r="W79" s="1027"/>
      <c r="X79" s="1027"/>
      <c r="Y79" s="1027"/>
      <c r="Z79" s="1027"/>
      <c r="AA79" s="1027"/>
      <c r="AB79" s="1027"/>
      <c r="AC79" s="1027"/>
      <c r="AD79" s="1027"/>
      <c r="AE79" s="1027"/>
      <c r="AF79" s="1027"/>
      <c r="AG79" s="1027"/>
      <c r="AH79" s="1027"/>
      <c r="AI79" s="1027"/>
      <c r="AJ79" s="1027"/>
      <c r="AK79" s="1027"/>
      <c r="AL79" s="1027"/>
      <c r="AM79" s="1027"/>
      <c r="AN79" s="1027"/>
      <c r="AO79" s="1027"/>
      <c r="AP79" s="1027"/>
      <c r="AQ79" s="1027"/>
      <c r="AR79" s="1027"/>
      <c r="AS79" s="1027"/>
      <c r="AT79" s="1027"/>
      <c r="AU79" s="1027"/>
      <c r="AV79" s="1027"/>
    </row>
    <row r="80" spans="7:48">
      <c r="G80" s="673"/>
      <c r="H80" s="673"/>
      <c r="I80" s="673"/>
      <c r="J80" s="673"/>
      <c r="K80" s="673"/>
      <c r="L80" s="673"/>
      <c r="M80" s="673"/>
      <c r="N80" s="674"/>
      <c r="O80" s="673"/>
      <c r="P80" s="673"/>
      <c r="Q80" s="673"/>
      <c r="R80" s="673"/>
      <c r="S80" s="673"/>
      <c r="T80" s="673"/>
      <c r="U80" s="673"/>
      <c r="V80" s="674"/>
      <c r="W80" s="1027"/>
      <c r="X80" s="1027"/>
      <c r="Y80" s="1027"/>
      <c r="Z80" s="1027"/>
      <c r="AA80" s="1027"/>
      <c r="AB80" s="1027"/>
      <c r="AC80" s="1027"/>
      <c r="AD80" s="1027"/>
      <c r="AE80" s="1027"/>
      <c r="AF80" s="1027"/>
      <c r="AG80" s="1027"/>
      <c r="AH80" s="1027"/>
      <c r="AI80" s="1027"/>
      <c r="AJ80" s="1027"/>
      <c r="AK80" s="1027"/>
      <c r="AL80" s="1027"/>
      <c r="AM80" s="1027"/>
      <c r="AN80" s="1027"/>
      <c r="AO80" s="1027"/>
      <c r="AP80" s="1027"/>
      <c r="AQ80" s="1027"/>
      <c r="AR80" s="1027"/>
      <c r="AS80" s="1027"/>
      <c r="AT80" s="1027"/>
      <c r="AU80" s="1027"/>
      <c r="AV80" s="1027"/>
    </row>
    <row r="81" spans="7:48">
      <c r="G81" s="673"/>
      <c r="H81" s="673"/>
      <c r="I81" s="673"/>
      <c r="J81" s="673"/>
      <c r="K81" s="673"/>
      <c r="L81" s="673"/>
      <c r="M81" s="673"/>
      <c r="N81" s="674"/>
      <c r="O81" s="673"/>
      <c r="P81" s="673"/>
      <c r="Q81" s="673"/>
      <c r="R81" s="673"/>
      <c r="S81" s="673"/>
      <c r="T81" s="673"/>
      <c r="U81" s="673"/>
      <c r="V81" s="674"/>
      <c r="W81" s="1027"/>
      <c r="X81" s="1027"/>
      <c r="Y81" s="1027"/>
      <c r="Z81" s="1027"/>
      <c r="AA81" s="1027"/>
      <c r="AB81" s="1027"/>
      <c r="AC81" s="1027"/>
      <c r="AD81" s="1027"/>
      <c r="AE81" s="1027"/>
      <c r="AF81" s="1027"/>
      <c r="AG81" s="1027"/>
      <c r="AH81" s="1027"/>
      <c r="AI81" s="1027"/>
      <c r="AJ81" s="1027"/>
      <c r="AK81" s="1027"/>
      <c r="AL81" s="1027"/>
      <c r="AM81" s="1027"/>
      <c r="AN81" s="1027"/>
      <c r="AO81" s="1027"/>
      <c r="AP81" s="1027"/>
      <c r="AQ81" s="1027"/>
      <c r="AR81" s="1027"/>
      <c r="AS81" s="1027"/>
      <c r="AT81" s="1027"/>
      <c r="AU81" s="1027"/>
      <c r="AV81" s="1027"/>
    </row>
    <row r="82" spans="7:48">
      <c r="G82" s="673"/>
      <c r="H82" s="673"/>
      <c r="I82" s="673"/>
      <c r="J82" s="673"/>
      <c r="K82" s="673"/>
      <c r="L82" s="673"/>
      <c r="M82" s="673"/>
      <c r="N82" s="674"/>
      <c r="O82" s="673"/>
      <c r="P82" s="673"/>
      <c r="Q82" s="673"/>
      <c r="R82" s="673"/>
      <c r="S82" s="673"/>
      <c r="T82" s="673"/>
      <c r="U82" s="673"/>
      <c r="V82" s="674"/>
      <c r="W82" s="1027"/>
      <c r="X82" s="1027"/>
      <c r="Y82" s="1027"/>
      <c r="Z82" s="1027"/>
      <c r="AA82" s="1027"/>
      <c r="AB82" s="1027"/>
      <c r="AC82" s="1027"/>
      <c r="AD82" s="1027"/>
      <c r="AE82" s="1027"/>
      <c r="AF82" s="1027"/>
      <c r="AG82" s="1027"/>
      <c r="AH82" s="1027"/>
      <c r="AI82" s="1027"/>
      <c r="AJ82" s="1027"/>
      <c r="AK82" s="1027"/>
      <c r="AL82" s="1027"/>
      <c r="AM82" s="1027"/>
      <c r="AN82" s="1027"/>
      <c r="AO82" s="1027"/>
      <c r="AP82" s="1027"/>
      <c r="AQ82" s="1027"/>
      <c r="AR82" s="1027"/>
      <c r="AS82" s="1027"/>
      <c r="AT82" s="1027"/>
      <c r="AU82" s="1027"/>
      <c r="AV82" s="1027"/>
    </row>
    <row r="83" spans="7:48">
      <c r="G83" s="673"/>
      <c r="H83" s="673"/>
      <c r="I83" s="673"/>
      <c r="J83" s="673"/>
      <c r="K83" s="673"/>
      <c r="L83" s="673"/>
      <c r="M83" s="673"/>
      <c r="N83" s="674"/>
      <c r="O83" s="673"/>
      <c r="P83" s="673"/>
      <c r="Q83" s="673"/>
      <c r="R83" s="673"/>
      <c r="S83" s="673"/>
      <c r="T83" s="673"/>
      <c r="U83" s="673"/>
      <c r="V83" s="674"/>
      <c r="W83" s="1027"/>
      <c r="X83" s="1027"/>
      <c r="Y83" s="1027"/>
      <c r="Z83" s="1027"/>
      <c r="AA83" s="1027"/>
      <c r="AB83" s="1027"/>
      <c r="AC83" s="1027"/>
      <c r="AD83" s="1027"/>
      <c r="AE83" s="1027"/>
      <c r="AF83" s="1027"/>
      <c r="AG83" s="1027"/>
      <c r="AH83" s="1027"/>
      <c r="AI83" s="1027"/>
      <c r="AJ83" s="1027"/>
      <c r="AK83" s="1027"/>
      <c r="AL83" s="1027"/>
      <c r="AM83" s="1027"/>
      <c r="AN83" s="1027"/>
      <c r="AO83" s="1027"/>
      <c r="AP83" s="1027"/>
      <c r="AQ83" s="1027"/>
      <c r="AR83" s="1027"/>
      <c r="AS83" s="1027"/>
      <c r="AT83" s="1027"/>
      <c r="AU83" s="1027"/>
      <c r="AV83" s="1027"/>
    </row>
    <row r="84" spans="7:48">
      <c r="G84" s="673"/>
      <c r="H84" s="673"/>
      <c r="I84" s="673"/>
      <c r="J84" s="673"/>
      <c r="K84" s="673"/>
      <c r="L84" s="673"/>
      <c r="M84" s="673"/>
      <c r="N84" s="674"/>
      <c r="O84" s="673"/>
      <c r="P84" s="673"/>
      <c r="Q84" s="673"/>
      <c r="R84" s="673"/>
      <c r="S84" s="673"/>
      <c r="T84" s="673"/>
      <c r="U84" s="673"/>
      <c r="V84" s="674"/>
      <c r="W84" s="1027"/>
      <c r="X84" s="1027"/>
      <c r="Y84" s="1027"/>
      <c r="Z84" s="1027"/>
      <c r="AA84" s="1027"/>
      <c r="AB84" s="1027"/>
      <c r="AC84" s="1027"/>
      <c r="AD84" s="1027"/>
      <c r="AE84" s="1027"/>
      <c r="AF84" s="1027"/>
      <c r="AG84" s="1027"/>
      <c r="AH84" s="1027"/>
      <c r="AI84" s="1027"/>
      <c r="AJ84" s="1027"/>
      <c r="AK84" s="1027"/>
      <c r="AL84" s="1027"/>
      <c r="AM84" s="1027"/>
      <c r="AN84" s="1027"/>
      <c r="AO84" s="1027"/>
      <c r="AP84" s="1027"/>
      <c r="AQ84" s="1027"/>
      <c r="AR84" s="1027"/>
      <c r="AS84" s="1027"/>
      <c r="AT84" s="1027"/>
      <c r="AU84" s="1027"/>
      <c r="AV84" s="1027"/>
    </row>
    <row r="85" spans="7:48">
      <c r="G85" s="673"/>
      <c r="H85" s="673"/>
      <c r="I85" s="673"/>
      <c r="J85" s="673"/>
      <c r="K85" s="673"/>
      <c r="L85" s="673"/>
      <c r="M85" s="673"/>
      <c r="N85" s="674"/>
      <c r="O85" s="673"/>
      <c r="P85" s="673"/>
      <c r="Q85" s="673"/>
      <c r="R85" s="673"/>
      <c r="S85" s="673"/>
      <c r="T85" s="673"/>
      <c r="U85" s="673"/>
      <c r="V85" s="674"/>
      <c r="W85" s="1027"/>
      <c r="X85" s="1027"/>
      <c r="Y85" s="1027"/>
      <c r="Z85" s="1027"/>
      <c r="AA85" s="1027"/>
      <c r="AB85" s="1027"/>
      <c r="AC85" s="1027"/>
      <c r="AD85" s="1027"/>
      <c r="AE85" s="1027"/>
      <c r="AF85" s="1027"/>
      <c r="AG85" s="1027"/>
      <c r="AH85" s="1027"/>
      <c r="AI85" s="1027"/>
      <c r="AJ85" s="1027"/>
      <c r="AK85" s="1027"/>
      <c r="AL85" s="1027"/>
      <c r="AM85" s="1027"/>
      <c r="AN85" s="1027"/>
      <c r="AO85" s="1027"/>
      <c r="AP85" s="1027"/>
      <c r="AQ85" s="1027"/>
      <c r="AR85" s="1027"/>
      <c r="AS85" s="1027"/>
      <c r="AT85" s="1027"/>
      <c r="AU85" s="1027"/>
      <c r="AV85" s="1027"/>
    </row>
    <row r="86" spans="7:48">
      <c r="G86" s="673"/>
      <c r="H86" s="673"/>
      <c r="I86" s="673"/>
      <c r="J86" s="673"/>
      <c r="K86" s="673"/>
      <c r="L86" s="673"/>
      <c r="M86" s="673"/>
      <c r="N86" s="674"/>
      <c r="O86" s="673"/>
      <c r="P86" s="673"/>
      <c r="Q86" s="673"/>
      <c r="R86" s="673"/>
      <c r="S86" s="673"/>
      <c r="T86" s="673"/>
      <c r="U86" s="673"/>
      <c r="V86" s="674"/>
      <c r="W86" s="1027"/>
      <c r="X86" s="1027"/>
      <c r="Y86" s="1027"/>
      <c r="Z86" s="1027"/>
      <c r="AA86" s="1027"/>
      <c r="AB86" s="1027"/>
      <c r="AC86" s="1027"/>
      <c r="AD86" s="1027"/>
      <c r="AE86" s="1027"/>
      <c r="AF86" s="1027"/>
      <c r="AG86" s="1027"/>
      <c r="AH86" s="1027"/>
      <c r="AI86" s="1027"/>
      <c r="AJ86" s="1027"/>
      <c r="AK86" s="1027"/>
      <c r="AL86" s="1027"/>
      <c r="AM86" s="1027"/>
      <c r="AN86" s="1027"/>
      <c r="AO86" s="1027"/>
      <c r="AP86" s="1027"/>
      <c r="AQ86" s="1027"/>
      <c r="AR86" s="1027"/>
      <c r="AS86" s="1027"/>
      <c r="AT86" s="1027"/>
      <c r="AU86" s="1027"/>
      <c r="AV86" s="1027"/>
    </row>
    <row r="87" spans="7:48">
      <c r="G87" s="673"/>
      <c r="H87" s="673"/>
      <c r="I87" s="673"/>
      <c r="J87" s="673"/>
      <c r="K87" s="673"/>
      <c r="L87" s="673"/>
      <c r="M87" s="673"/>
      <c r="N87" s="674"/>
      <c r="O87" s="673"/>
      <c r="P87" s="673"/>
      <c r="Q87" s="673"/>
      <c r="R87" s="673"/>
      <c r="S87" s="673"/>
      <c r="T87" s="673"/>
      <c r="U87" s="673"/>
      <c r="V87" s="674"/>
      <c r="W87" s="1027"/>
      <c r="X87" s="1027"/>
      <c r="Y87" s="1027"/>
      <c r="Z87" s="1027"/>
      <c r="AA87" s="1027"/>
      <c r="AB87" s="1027"/>
      <c r="AC87" s="1027"/>
      <c r="AD87" s="1027"/>
      <c r="AE87" s="1027"/>
      <c r="AF87" s="1027"/>
      <c r="AG87" s="1027"/>
      <c r="AH87" s="1027"/>
      <c r="AI87" s="1027"/>
      <c r="AJ87" s="1027"/>
      <c r="AK87" s="1027"/>
      <c r="AL87" s="1027"/>
      <c r="AM87" s="1027"/>
      <c r="AN87" s="1027"/>
      <c r="AO87" s="1027"/>
      <c r="AP87" s="1027"/>
      <c r="AQ87" s="1027"/>
      <c r="AR87" s="1027"/>
      <c r="AS87" s="1027"/>
      <c r="AT87" s="1027"/>
      <c r="AU87" s="1027"/>
      <c r="AV87" s="1027"/>
    </row>
    <row r="88" spans="7:48">
      <c r="G88" s="673"/>
      <c r="H88" s="673"/>
      <c r="I88" s="673"/>
      <c r="J88" s="673"/>
      <c r="K88" s="673"/>
      <c r="L88" s="673"/>
      <c r="M88" s="673"/>
      <c r="N88" s="674"/>
      <c r="O88" s="673"/>
      <c r="P88" s="673"/>
      <c r="Q88" s="673"/>
      <c r="R88" s="673"/>
      <c r="S88" s="673"/>
      <c r="T88" s="673"/>
      <c r="U88" s="673"/>
      <c r="V88" s="674"/>
      <c r="W88" s="1027"/>
      <c r="X88" s="1027"/>
      <c r="Y88" s="1027"/>
      <c r="Z88" s="1027"/>
      <c r="AA88" s="1027"/>
      <c r="AB88" s="1027"/>
      <c r="AC88" s="1027"/>
      <c r="AD88" s="1027"/>
      <c r="AE88" s="1027"/>
      <c r="AF88" s="1027"/>
      <c r="AG88" s="1027"/>
      <c r="AH88" s="1027"/>
      <c r="AI88" s="1027"/>
      <c r="AJ88" s="1027"/>
      <c r="AK88" s="1027"/>
      <c r="AL88" s="1027"/>
      <c r="AM88" s="1027"/>
      <c r="AN88" s="1027"/>
      <c r="AO88" s="1027"/>
      <c r="AP88" s="1027"/>
      <c r="AQ88" s="1027"/>
      <c r="AR88" s="1027"/>
      <c r="AS88" s="1027"/>
      <c r="AT88" s="1027"/>
      <c r="AU88" s="1027"/>
      <c r="AV88" s="1027"/>
    </row>
    <row r="89" spans="7:48">
      <c r="G89" s="673"/>
      <c r="H89" s="673"/>
      <c r="I89" s="673"/>
      <c r="J89" s="673"/>
      <c r="K89" s="673"/>
      <c r="L89" s="673"/>
      <c r="M89" s="673"/>
      <c r="N89" s="674"/>
      <c r="O89" s="673"/>
      <c r="P89" s="673"/>
      <c r="Q89" s="673"/>
      <c r="R89" s="673"/>
      <c r="S89" s="673"/>
      <c r="T89" s="673"/>
      <c r="U89" s="673"/>
      <c r="V89" s="674"/>
      <c r="W89" s="1027"/>
      <c r="X89" s="1027"/>
      <c r="Y89" s="1027"/>
      <c r="Z89" s="1027"/>
      <c r="AA89" s="1027"/>
      <c r="AB89" s="1027"/>
      <c r="AC89" s="1027"/>
      <c r="AD89" s="1027"/>
      <c r="AE89" s="1027"/>
      <c r="AF89" s="1027"/>
      <c r="AG89" s="1027"/>
      <c r="AH89" s="1027"/>
      <c r="AI89" s="1027"/>
      <c r="AJ89" s="1027"/>
      <c r="AK89" s="1027"/>
      <c r="AL89" s="1027"/>
      <c r="AM89" s="1027"/>
      <c r="AN89" s="1027"/>
      <c r="AO89" s="1027"/>
      <c r="AP89" s="1027"/>
      <c r="AQ89" s="1027"/>
      <c r="AR89" s="1027"/>
      <c r="AS89" s="1027"/>
      <c r="AT89" s="1027"/>
      <c r="AU89" s="1027"/>
      <c r="AV89" s="1027"/>
    </row>
    <row r="90" spans="7:48">
      <c r="G90" s="673"/>
      <c r="H90" s="673"/>
      <c r="I90" s="673"/>
      <c r="J90" s="673"/>
      <c r="K90" s="673"/>
      <c r="L90" s="673"/>
      <c r="M90" s="673"/>
      <c r="N90" s="674"/>
      <c r="O90" s="673"/>
      <c r="P90" s="673"/>
      <c r="Q90" s="673"/>
      <c r="R90" s="673"/>
      <c r="S90" s="673"/>
      <c r="T90" s="673"/>
      <c r="U90" s="673"/>
      <c r="V90" s="674"/>
      <c r="W90" s="1027"/>
      <c r="X90" s="1027"/>
      <c r="Y90" s="1027"/>
      <c r="Z90" s="1027"/>
      <c r="AA90" s="1027"/>
      <c r="AB90" s="1027"/>
      <c r="AC90" s="1027"/>
      <c r="AD90" s="1027"/>
      <c r="AE90" s="1027"/>
      <c r="AF90" s="1027"/>
      <c r="AG90" s="1027"/>
      <c r="AH90" s="1027"/>
      <c r="AI90" s="1027"/>
      <c r="AJ90" s="1027"/>
      <c r="AK90" s="1027"/>
      <c r="AL90" s="1027"/>
      <c r="AM90" s="1027"/>
      <c r="AN90" s="1027"/>
      <c r="AO90" s="1027"/>
      <c r="AP90" s="1027"/>
      <c r="AQ90" s="1027"/>
      <c r="AR90" s="1027"/>
      <c r="AS90" s="1027"/>
      <c r="AT90" s="1027"/>
      <c r="AU90" s="1027"/>
      <c r="AV90" s="1027"/>
    </row>
    <row r="91" spans="7:48">
      <c r="G91" s="673"/>
      <c r="H91" s="673"/>
      <c r="I91" s="673"/>
      <c r="J91" s="673"/>
      <c r="K91" s="673"/>
      <c r="L91" s="673"/>
      <c r="M91" s="673"/>
      <c r="N91" s="674"/>
      <c r="O91" s="673"/>
      <c r="P91" s="673"/>
      <c r="Q91" s="673"/>
      <c r="R91" s="673"/>
      <c r="S91" s="673"/>
      <c r="T91" s="673"/>
      <c r="U91" s="673"/>
      <c r="V91" s="674"/>
      <c r="W91" s="1027"/>
      <c r="X91" s="1027"/>
      <c r="Y91" s="1027"/>
      <c r="Z91" s="1027"/>
      <c r="AA91" s="1027"/>
      <c r="AB91" s="1027"/>
      <c r="AC91" s="1027"/>
      <c r="AD91" s="1027"/>
      <c r="AE91" s="1027"/>
      <c r="AF91" s="1027"/>
      <c r="AG91" s="1027"/>
      <c r="AH91" s="1027"/>
      <c r="AI91" s="1027"/>
      <c r="AJ91" s="1027"/>
      <c r="AK91" s="1027"/>
      <c r="AL91" s="1027"/>
      <c r="AM91" s="1027"/>
      <c r="AN91" s="1027"/>
      <c r="AO91" s="1027"/>
      <c r="AP91" s="1027"/>
      <c r="AQ91" s="1027"/>
      <c r="AR91" s="1027"/>
      <c r="AS91" s="1027"/>
      <c r="AT91" s="1027"/>
      <c r="AU91" s="1027"/>
      <c r="AV91" s="1027"/>
    </row>
    <row r="92" spans="7:48">
      <c r="G92" s="673"/>
      <c r="H92" s="673"/>
      <c r="I92" s="673"/>
      <c r="J92" s="673"/>
      <c r="K92" s="673"/>
      <c r="L92" s="673"/>
      <c r="M92" s="673"/>
      <c r="N92" s="674"/>
      <c r="O92" s="673"/>
      <c r="P92" s="673"/>
      <c r="Q92" s="673"/>
      <c r="R92" s="673"/>
      <c r="S92" s="673"/>
      <c r="T92" s="673"/>
      <c r="U92" s="673"/>
      <c r="V92" s="674"/>
      <c r="W92" s="1027"/>
      <c r="X92" s="1027"/>
      <c r="Y92" s="1027"/>
      <c r="Z92" s="1027"/>
      <c r="AA92" s="1027"/>
      <c r="AB92" s="1027"/>
      <c r="AC92" s="1027"/>
      <c r="AD92" s="1027"/>
      <c r="AE92" s="1027"/>
      <c r="AF92" s="1027"/>
      <c r="AG92" s="1027"/>
      <c r="AH92" s="1027"/>
      <c r="AI92" s="1027"/>
      <c r="AJ92" s="1027"/>
      <c r="AK92" s="1027"/>
      <c r="AL92" s="1027"/>
      <c r="AM92" s="1027"/>
      <c r="AN92" s="1027"/>
      <c r="AO92" s="1027"/>
      <c r="AP92" s="1027"/>
      <c r="AQ92" s="1027"/>
      <c r="AR92" s="1027"/>
      <c r="AS92" s="1027"/>
      <c r="AT92" s="1027"/>
      <c r="AU92" s="1027"/>
      <c r="AV92" s="1027"/>
    </row>
    <row r="93" spans="7:48">
      <c r="G93" s="673"/>
      <c r="H93" s="673"/>
      <c r="I93" s="673"/>
      <c r="J93" s="673"/>
      <c r="K93" s="673"/>
      <c r="L93" s="673"/>
      <c r="M93" s="673"/>
      <c r="N93" s="674"/>
      <c r="O93" s="673"/>
      <c r="P93" s="673"/>
      <c r="Q93" s="673"/>
      <c r="R93" s="673"/>
      <c r="S93" s="673"/>
      <c r="T93" s="673"/>
      <c r="U93" s="673"/>
      <c r="V93" s="674"/>
      <c r="W93" s="1027"/>
      <c r="X93" s="1027"/>
      <c r="Y93" s="1027"/>
      <c r="Z93" s="1027"/>
      <c r="AA93" s="1027"/>
      <c r="AB93" s="1027"/>
      <c r="AC93" s="1027"/>
      <c r="AD93" s="1027"/>
      <c r="AE93" s="1027"/>
      <c r="AF93" s="1027"/>
      <c r="AG93" s="1027"/>
      <c r="AH93" s="1027"/>
      <c r="AI93" s="1027"/>
      <c r="AJ93" s="1027"/>
      <c r="AK93" s="1027"/>
      <c r="AL93" s="1027"/>
      <c r="AM93" s="1027"/>
      <c r="AN93" s="1027"/>
      <c r="AO93" s="1027"/>
      <c r="AP93" s="1027"/>
      <c r="AQ93" s="1027"/>
      <c r="AR93" s="1027"/>
      <c r="AS93" s="1027"/>
      <c r="AT93" s="1027"/>
      <c r="AU93" s="1027"/>
      <c r="AV93" s="1027"/>
    </row>
    <row r="94" spans="7:48">
      <c r="G94" s="673"/>
      <c r="H94" s="673"/>
      <c r="I94" s="673"/>
      <c r="J94" s="673"/>
      <c r="K94" s="673"/>
      <c r="L94" s="673"/>
      <c r="M94" s="673"/>
      <c r="N94" s="674"/>
      <c r="O94" s="673"/>
      <c r="P94" s="673"/>
      <c r="Q94" s="673"/>
      <c r="R94" s="673"/>
      <c r="S94" s="673"/>
      <c r="T94" s="673"/>
      <c r="U94" s="673"/>
      <c r="V94" s="674"/>
      <c r="W94" s="1027"/>
      <c r="X94" s="1027"/>
      <c r="Y94" s="1027"/>
      <c r="Z94" s="1027"/>
      <c r="AA94" s="1027"/>
      <c r="AB94" s="1027"/>
      <c r="AC94" s="1027"/>
      <c r="AD94" s="1027"/>
      <c r="AE94" s="1027"/>
      <c r="AF94" s="1027"/>
      <c r="AG94" s="1027"/>
      <c r="AH94" s="1027"/>
      <c r="AI94" s="1027"/>
      <c r="AJ94" s="1027"/>
      <c r="AK94" s="1027"/>
      <c r="AL94" s="1027"/>
      <c r="AM94" s="1027"/>
      <c r="AN94" s="1027"/>
      <c r="AO94" s="1027"/>
      <c r="AP94" s="1027"/>
      <c r="AQ94" s="1027"/>
      <c r="AR94" s="1027"/>
      <c r="AS94" s="1027"/>
      <c r="AT94" s="1027"/>
      <c r="AU94" s="1027"/>
      <c r="AV94" s="1027"/>
    </row>
    <row r="95" spans="7:48">
      <c r="G95" s="673"/>
      <c r="H95" s="673"/>
      <c r="I95" s="673"/>
      <c r="J95" s="673"/>
      <c r="K95" s="673"/>
      <c r="L95" s="673"/>
      <c r="M95" s="673"/>
      <c r="N95" s="674"/>
      <c r="O95" s="673"/>
      <c r="P95" s="673"/>
      <c r="Q95" s="673"/>
      <c r="R95" s="673"/>
      <c r="S95" s="673"/>
      <c r="T95" s="673"/>
      <c r="U95" s="673"/>
      <c r="V95" s="674"/>
      <c r="W95" s="1027"/>
      <c r="X95" s="1027"/>
      <c r="Y95" s="1027"/>
      <c r="Z95" s="1027"/>
      <c r="AA95" s="1027"/>
      <c r="AB95" s="1027"/>
      <c r="AC95" s="1027"/>
      <c r="AD95" s="1027"/>
      <c r="AE95" s="1027"/>
      <c r="AF95" s="1027"/>
      <c r="AG95" s="1027"/>
      <c r="AH95" s="1027"/>
      <c r="AI95" s="1027"/>
      <c r="AJ95" s="1027"/>
      <c r="AK95" s="1027"/>
      <c r="AL95" s="1027"/>
      <c r="AM95" s="1027"/>
      <c r="AN95" s="1027"/>
      <c r="AO95" s="1027"/>
      <c r="AP95" s="1027"/>
      <c r="AQ95" s="1027"/>
      <c r="AR95" s="1027"/>
      <c r="AS95" s="1027"/>
      <c r="AT95" s="1027"/>
      <c r="AU95" s="1027"/>
      <c r="AV95" s="1027"/>
    </row>
    <row r="96" spans="7:48">
      <c r="G96" s="673"/>
      <c r="H96" s="673"/>
      <c r="I96" s="673"/>
      <c r="J96" s="673"/>
      <c r="K96" s="673"/>
      <c r="L96" s="673"/>
      <c r="M96" s="673"/>
      <c r="N96" s="674"/>
      <c r="O96" s="673"/>
      <c r="P96" s="673"/>
      <c r="Q96" s="673"/>
      <c r="R96" s="673"/>
      <c r="S96" s="673"/>
      <c r="T96" s="673"/>
      <c r="U96" s="673"/>
      <c r="V96" s="674"/>
      <c r="W96" s="1027"/>
      <c r="X96" s="1027"/>
      <c r="Y96" s="1027"/>
      <c r="Z96" s="1027"/>
      <c r="AA96" s="1027"/>
      <c r="AB96" s="1027"/>
      <c r="AC96" s="1027"/>
      <c r="AD96" s="1027"/>
      <c r="AE96" s="1027"/>
      <c r="AF96" s="1027"/>
      <c r="AG96" s="1027"/>
      <c r="AH96" s="1027"/>
      <c r="AI96" s="1027"/>
      <c r="AJ96" s="1027"/>
      <c r="AK96" s="1027"/>
      <c r="AL96" s="1027"/>
      <c r="AM96" s="1027"/>
      <c r="AN96" s="1027"/>
      <c r="AO96" s="1027"/>
      <c r="AP96" s="1027"/>
      <c r="AQ96" s="1027"/>
      <c r="AR96" s="1027"/>
      <c r="AS96" s="1027"/>
      <c r="AT96" s="1027"/>
      <c r="AU96" s="1027"/>
      <c r="AV96" s="1027"/>
    </row>
    <row r="97" spans="7:48">
      <c r="G97" s="673"/>
      <c r="H97" s="673"/>
      <c r="I97" s="673"/>
      <c r="J97" s="673"/>
      <c r="K97" s="673"/>
      <c r="L97" s="673"/>
      <c r="M97" s="673"/>
      <c r="N97" s="674"/>
      <c r="O97" s="673"/>
      <c r="P97" s="673"/>
      <c r="Q97" s="673"/>
      <c r="R97" s="673"/>
      <c r="S97" s="673"/>
      <c r="T97" s="673"/>
      <c r="U97" s="673"/>
      <c r="V97" s="674"/>
      <c r="W97" s="1027"/>
      <c r="X97" s="1027"/>
      <c r="Y97" s="1027"/>
      <c r="Z97" s="1027"/>
      <c r="AA97" s="1027"/>
      <c r="AB97" s="1027"/>
      <c r="AC97" s="1027"/>
      <c r="AD97" s="1027"/>
      <c r="AE97" s="1027"/>
      <c r="AF97" s="1027"/>
      <c r="AG97" s="1027"/>
      <c r="AH97" s="1027"/>
      <c r="AI97" s="1027"/>
      <c r="AJ97" s="1027"/>
      <c r="AK97" s="1027"/>
      <c r="AL97" s="1027"/>
      <c r="AM97" s="1027"/>
      <c r="AN97" s="1027"/>
      <c r="AO97" s="1027"/>
      <c r="AP97" s="1027"/>
      <c r="AQ97" s="1027"/>
      <c r="AR97" s="1027"/>
      <c r="AS97" s="1027"/>
      <c r="AT97" s="1027"/>
      <c r="AU97" s="1027"/>
      <c r="AV97" s="1027"/>
    </row>
    <row r="98" spans="7:48">
      <c r="G98" s="673"/>
      <c r="H98" s="673"/>
      <c r="I98" s="673"/>
      <c r="J98" s="673"/>
      <c r="K98" s="673"/>
      <c r="L98" s="673"/>
      <c r="M98" s="673"/>
      <c r="N98" s="674"/>
      <c r="O98" s="673"/>
      <c r="P98" s="673"/>
      <c r="Q98" s="673"/>
      <c r="R98" s="673"/>
      <c r="S98" s="673"/>
      <c r="T98" s="673"/>
      <c r="U98" s="673"/>
      <c r="V98" s="674"/>
      <c r="W98" s="1027"/>
      <c r="X98" s="1027"/>
      <c r="Y98" s="1027"/>
      <c r="Z98" s="1027"/>
      <c r="AA98" s="1027"/>
      <c r="AB98" s="1027"/>
      <c r="AC98" s="1027"/>
      <c r="AD98" s="1027"/>
      <c r="AE98" s="1027"/>
      <c r="AF98" s="1027"/>
      <c r="AG98" s="1027"/>
      <c r="AH98" s="1027"/>
      <c r="AI98" s="1027"/>
      <c r="AJ98" s="1027"/>
      <c r="AK98" s="1027"/>
      <c r="AL98" s="1027"/>
      <c r="AM98" s="1027"/>
      <c r="AN98" s="1027"/>
      <c r="AO98" s="1027"/>
      <c r="AP98" s="1027"/>
      <c r="AQ98" s="1027"/>
      <c r="AR98" s="1027"/>
      <c r="AS98" s="1027"/>
      <c r="AT98" s="1027"/>
      <c r="AU98" s="1027"/>
      <c r="AV98" s="1027"/>
    </row>
    <row r="99" spans="7:48">
      <c r="G99" s="673"/>
      <c r="H99" s="673"/>
      <c r="I99" s="673"/>
      <c r="J99" s="673"/>
      <c r="K99" s="673"/>
      <c r="L99" s="673"/>
      <c r="M99" s="673"/>
      <c r="N99" s="674"/>
      <c r="O99" s="673"/>
      <c r="P99" s="673"/>
      <c r="Q99" s="673"/>
      <c r="R99" s="673"/>
      <c r="S99" s="673"/>
      <c r="T99" s="673"/>
      <c r="U99" s="673"/>
      <c r="V99" s="674"/>
      <c r="W99" s="1027"/>
      <c r="X99" s="1027"/>
      <c r="Y99" s="1027"/>
      <c r="Z99" s="1027"/>
      <c r="AA99" s="1027"/>
      <c r="AB99" s="1027"/>
      <c r="AC99" s="1027"/>
      <c r="AD99" s="1027"/>
      <c r="AE99" s="1027"/>
      <c r="AF99" s="1027"/>
      <c r="AG99" s="1027"/>
      <c r="AH99" s="1027"/>
      <c r="AI99" s="1027"/>
      <c r="AJ99" s="1027"/>
      <c r="AK99" s="1027"/>
      <c r="AL99" s="1027"/>
      <c r="AM99" s="1027"/>
      <c r="AN99" s="1027"/>
      <c r="AO99" s="1027"/>
      <c r="AP99" s="1027"/>
      <c r="AQ99" s="1027"/>
      <c r="AR99" s="1027"/>
      <c r="AS99" s="1027"/>
      <c r="AT99" s="1027"/>
      <c r="AU99" s="1027"/>
      <c r="AV99" s="1027"/>
    </row>
    <row r="100" spans="7:48">
      <c r="G100" s="673"/>
      <c r="H100" s="673"/>
      <c r="I100" s="673"/>
      <c r="J100" s="673"/>
      <c r="K100" s="673"/>
      <c r="L100" s="673"/>
      <c r="M100" s="673"/>
      <c r="N100" s="674"/>
      <c r="O100" s="673"/>
      <c r="P100" s="673"/>
      <c r="Q100" s="673"/>
      <c r="R100" s="673"/>
      <c r="S100" s="673"/>
      <c r="T100" s="673"/>
      <c r="U100" s="673"/>
      <c r="V100" s="674"/>
      <c r="W100" s="1027"/>
      <c r="X100" s="1027"/>
      <c r="Y100" s="1027"/>
      <c r="Z100" s="1027"/>
      <c r="AA100" s="1027"/>
      <c r="AB100" s="1027"/>
      <c r="AC100" s="1027"/>
      <c r="AD100" s="1027"/>
      <c r="AE100" s="1027"/>
      <c r="AF100" s="1027"/>
      <c r="AG100" s="1027"/>
      <c r="AH100" s="1027"/>
      <c r="AI100" s="1027"/>
      <c r="AJ100" s="1027"/>
      <c r="AK100" s="1027"/>
      <c r="AL100" s="1027"/>
      <c r="AM100" s="1027"/>
      <c r="AN100" s="1027"/>
      <c r="AO100" s="1027"/>
      <c r="AP100" s="1027"/>
      <c r="AQ100" s="1027"/>
      <c r="AR100" s="1027"/>
      <c r="AS100" s="1027"/>
      <c r="AT100" s="1027"/>
      <c r="AU100" s="1027"/>
      <c r="AV100" s="1027"/>
    </row>
    <row r="101" spans="7:48">
      <c r="G101" s="673"/>
      <c r="H101" s="673"/>
      <c r="I101" s="673"/>
      <c r="J101" s="673"/>
      <c r="K101" s="673"/>
      <c r="L101" s="673"/>
      <c r="M101" s="673"/>
      <c r="N101" s="674"/>
      <c r="O101" s="673"/>
      <c r="P101" s="673"/>
      <c r="Q101" s="673"/>
      <c r="R101" s="673"/>
      <c r="S101" s="673"/>
      <c r="T101" s="673"/>
      <c r="U101" s="673"/>
      <c r="V101" s="674"/>
      <c r="W101" s="1027"/>
      <c r="X101" s="1027"/>
      <c r="Y101" s="1027"/>
      <c r="Z101" s="1027"/>
      <c r="AA101" s="1027"/>
      <c r="AB101" s="1027"/>
      <c r="AC101" s="1027"/>
      <c r="AD101" s="1027"/>
      <c r="AE101" s="1027"/>
      <c r="AF101" s="1027"/>
      <c r="AG101" s="1027"/>
      <c r="AH101" s="1027"/>
      <c r="AI101" s="1027"/>
      <c r="AJ101" s="1027"/>
      <c r="AK101" s="1027"/>
      <c r="AL101" s="1027"/>
      <c r="AM101" s="1027"/>
      <c r="AN101" s="1027"/>
      <c r="AO101" s="1027"/>
      <c r="AP101" s="1027"/>
      <c r="AQ101" s="1027"/>
      <c r="AR101" s="1027"/>
      <c r="AS101" s="1027"/>
      <c r="AT101" s="1027"/>
      <c r="AU101" s="1027"/>
      <c r="AV101" s="1027"/>
    </row>
    <row r="102" spans="7:48">
      <c r="G102" s="673"/>
      <c r="H102" s="673"/>
      <c r="I102" s="673"/>
      <c r="J102" s="673"/>
      <c r="K102" s="673"/>
      <c r="L102" s="673"/>
      <c r="M102" s="673"/>
      <c r="N102" s="674"/>
      <c r="O102" s="673"/>
      <c r="P102" s="673"/>
      <c r="Q102" s="673"/>
      <c r="R102" s="673"/>
      <c r="S102" s="673"/>
      <c r="T102" s="673"/>
      <c r="U102" s="673"/>
      <c r="V102" s="674"/>
      <c r="W102" s="1027"/>
      <c r="X102" s="1027"/>
      <c r="Y102" s="1027"/>
      <c r="Z102" s="1027"/>
      <c r="AA102" s="1027"/>
      <c r="AB102" s="1027"/>
      <c r="AC102" s="1027"/>
      <c r="AD102" s="1027"/>
      <c r="AE102" s="1027"/>
      <c r="AF102" s="1027"/>
      <c r="AG102" s="1027"/>
      <c r="AH102" s="1027"/>
      <c r="AI102" s="1027"/>
      <c r="AJ102" s="1027"/>
      <c r="AK102" s="1027"/>
      <c r="AL102" s="1027"/>
      <c r="AM102" s="1027"/>
      <c r="AN102" s="1027"/>
      <c r="AO102" s="1027"/>
      <c r="AP102" s="1027"/>
      <c r="AQ102" s="1027"/>
      <c r="AR102" s="1027"/>
      <c r="AS102" s="1027"/>
      <c r="AT102" s="1027"/>
      <c r="AU102" s="1027"/>
      <c r="AV102" s="1027"/>
    </row>
    <row r="103" spans="7:48">
      <c r="G103" s="673"/>
      <c r="H103" s="673"/>
      <c r="I103" s="673"/>
      <c r="J103" s="673"/>
      <c r="K103" s="673"/>
      <c r="L103" s="673"/>
      <c r="M103" s="673"/>
      <c r="N103" s="674"/>
      <c r="O103" s="673"/>
      <c r="P103" s="673"/>
      <c r="Q103" s="673"/>
      <c r="R103" s="673"/>
      <c r="S103" s="673"/>
      <c r="T103" s="673"/>
      <c r="U103" s="673"/>
      <c r="V103" s="674"/>
      <c r="W103" s="1027"/>
      <c r="X103" s="1027"/>
      <c r="Y103" s="1027"/>
      <c r="Z103" s="1027"/>
      <c r="AA103" s="1027"/>
      <c r="AB103" s="1027"/>
      <c r="AC103" s="1027"/>
      <c r="AD103" s="1027"/>
      <c r="AE103" s="1027"/>
      <c r="AF103" s="1027"/>
      <c r="AG103" s="1027"/>
      <c r="AH103" s="1027"/>
      <c r="AI103" s="1027"/>
      <c r="AJ103" s="1027"/>
      <c r="AK103" s="1027"/>
      <c r="AL103" s="1027"/>
      <c r="AM103" s="1027"/>
      <c r="AN103" s="1027"/>
      <c r="AO103" s="1027"/>
      <c r="AP103" s="1027"/>
      <c r="AQ103" s="1027"/>
      <c r="AR103" s="1027"/>
      <c r="AS103" s="1027"/>
      <c r="AT103" s="1027"/>
      <c r="AU103" s="1027"/>
      <c r="AV103" s="1027"/>
    </row>
    <row r="104" spans="7:48">
      <c r="G104" s="673"/>
      <c r="H104" s="673"/>
      <c r="I104" s="673"/>
      <c r="J104" s="673"/>
      <c r="K104" s="673"/>
      <c r="L104" s="673"/>
      <c r="M104" s="673"/>
      <c r="N104" s="674"/>
      <c r="O104" s="673"/>
      <c r="P104" s="673"/>
      <c r="Q104" s="673"/>
      <c r="R104" s="673"/>
      <c r="S104" s="673"/>
      <c r="T104" s="673"/>
      <c r="U104" s="673"/>
      <c r="V104" s="674"/>
      <c r="W104" s="1027"/>
      <c r="X104" s="1027"/>
      <c r="Y104" s="1027"/>
      <c r="Z104" s="1027"/>
      <c r="AA104" s="1027"/>
      <c r="AB104" s="1027"/>
      <c r="AC104" s="1027"/>
      <c r="AD104" s="1027"/>
      <c r="AE104" s="1027"/>
      <c r="AF104" s="1027"/>
      <c r="AG104" s="1027"/>
      <c r="AH104" s="1027"/>
      <c r="AI104" s="1027"/>
      <c r="AJ104" s="1027"/>
      <c r="AK104" s="1027"/>
      <c r="AL104" s="1027"/>
      <c r="AM104" s="1027"/>
      <c r="AN104" s="1027"/>
      <c r="AO104" s="1027"/>
      <c r="AP104" s="1027"/>
      <c r="AQ104" s="1027"/>
      <c r="AR104" s="1027"/>
      <c r="AS104" s="1027"/>
      <c r="AT104" s="1027"/>
      <c r="AU104" s="1027"/>
      <c r="AV104" s="1027"/>
    </row>
    <row r="105" spans="7:48">
      <c r="G105" s="673"/>
      <c r="H105" s="673"/>
      <c r="I105" s="673"/>
      <c r="J105" s="673"/>
      <c r="K105" s="673"/>
      <c r="L105" s="673"/>
      <c r="M105" s="673"/>
      <c r="N105" s="674"/>
      <c r="O105" s="673"/>
      <c r="P105" s="673"/>
      <c r="Q105" s="673"/>
      <c r="R105" s="673"/>
      <c r="S105" s="673"/>
      <c r="T105" s="673"/>
      <c r="U105" s="673"/>
      <c r="V105" s="674"/>
      <c r="W105" s="1027"/>
      <c r="X105" s="1027"/>
      <c r="Y105" s="1027"/>
      <c r="Z105" s="1027"/>
      <c r="AA105" s="1027"/>
      <c r="AB105" s="1027"/>
      <c r="AC105" s="1027"/>
      <c r="AD105" s="1027"/>
      <c r="AE105" s="1027"/>
      <c r="AF105" s="1027"/>
      <c r="AG105" s="1027"/>
      <c r="AH105" s="1027"/>
      <c r="AI105" s="1027"/>
      <c r="AJ105" s="1027"/>
      <c r="AK105" s="1027"/>
      <c r="AL105" s="1027"/>
      <c r="AM105" s="1027"/>
      <c r="AN105" s="1027"/>
      <c r="AO105" s="1027"/>
      <c r="AP105" s="1027"/>
      <c r="AQ105" s="1027"/>
      <c r="AR105" s="1027"/>
      <c r="AS105" s="1027"/>
      <c r="AT105" s="1027"/>
      <c r="AU105" s="1027"/>
      <c r="AV105" s="1027"/>
    </row>
    <row r="106" spans="7:48">
      <c r="G106" s="673"/>
      <c r="H106" s="673"/>
      <c r="I106" s="673"/>
      <c r="J106" s="673"/>
      <c r="K106" s="673"/>
      <c r="L106" s="673"/>
      <c r="M106" s="673"/>
      <c r="N106" s="674"/>
      <c r="O106" s="673"/>
      <c r="P106" s="673"/>
      <c r="Q106" s="673"/>
      <c r="R106" s="673"/>
      <c r="S106" s="673"/>
      <c r="T106" s="673"/>
      <c r="U106" s="673"/>
      <c r="V106" s="674"/>
      <c r="W106" s="1027"/>
      <c r="X106" s="1027"/>
      <c r="Y106" s="1027"/>
      <c r="Z106" s="1027"/>
      <c r="AA106" s="1027"/>
      <c r="AB106" s="1027"/>
      <c r="AC106" s="1027"/>
      <c r="AD106" s="1027"/>
      <c r="AE106" s="1027"/>
      <c r="AF106" s="1027"/>
      <c r="AG106" s="1027"/>
      <c r="AH106" s="1027"/>
      <c r="AI106" s="1027"/>
      <c r="AJ106" s="1027"/>
      <c r="AK106" s="1027"/>
      <c r="AL106" s="1027"/>
      <c r="AM106" s="1027"/>
      <c r="AN106" s="1027"/>
      <c r="AO106" s="1027"/>
      <c r="AP106" s="1027"/>
      <c r="AQ106" s="1027"/>
      <c r="AR106" s="1027"/>
      <c r="AS106" s="1027"/>
      <c r="AT106" s="1027"/>
      <c r="AU106" s="1027"/>
      <c r="AV106" s="1027"/>
    </row>
    <row r="107" spans="7:48">
      <c r="G107" s="673"/>
      <c r="H107" s="673"/>
      <c r="I107" s="673"/>
      <c r="J107" s="673"/>
      <c r="K107" s="673"/>
      <c r="L107" s="673"/>
      <c r="M107" s="673"/>
      <c r="N107" s="674"/>
      <c r="O107" s="673"/>
      <c r="P107" s="673"/>
      <c r="Q107" s="673"/>
      <c r="R107" s="673"/>
      <c r="S107" s="673"/>
      <c r="T107" s="673"/>
      <c r="U107" s="673"/>
      <c r="V107" s="674"/>
      <c r="W107" s="1027"/>
      <c r="X107" s="1027"/>
      <c r="Y107" s="1027"/>
      <c r="Z107" s="1027"/>
      <c r="AA107" s="1027"/>
      <c r="AB107" s="1027"/>
      <c r="AC107" s="1027"/>
      <c r="AD107" s="1027"/>
      <c r="AE107" s="1027"/>
      <c r="AF107" s="1027"/>
      <c r="AG107" s="1027"/>
      <c r="AH107" s="1027"/>
      <c r="AI107" s="1027"/>
      <c r="AJ107" s="1027"/>
      <c r="AK107" s="1027"/>
      <c r="AL107" s="1027"/>
      <c r="AM107" s="1027"/>
      <c r="AN107" s="1027"/>
      <c r="AO107" s="1027"/>
      <c r="AP107" s="1027"/>
      <c r="AQ107" s="1027"/>
      <c r="AR107" s="1027"/>
      <c r="AS107" s="1027"/>
      <c r="AT107" s="1027"/>
      <c r="AU107" s="1027"/>
      <c r="AV107" s="1027"/>
    </row>
    <row r="108" spans="7:48">
      <c r="G108" s="673"/>
      <c r="H108" s="673"/>
      <c r="I108" s="673"/>
      <c r="J108" s="673"/>
      <c r="K108" s="673"/>
      <c r="L108" s="673"/>
      <c r="M108" s="673"/>
      <c r="N108" s="674"/>
      <c r="O108" s="673"/>
      <c r="P108" s="673"/>
      <c r="Q108" s="673"/>
      <c r="R108" s="673"/>
      <c r="S108" s="673"/>
      <c r="T108" s="673"/>
      <c r="U108" s="673"/>
      <c r="V108" s="674"/>
      <c r="W108" s="1027"/>
      <c r="X108" s="1027"/>
      <c r="Y108" s="1027"/>
      <c r="Z108" s="1027"/>
      <c r="AA108" s="1027"/>
      <c r="AB108" s="1027"/>
      <c r="AC108" s="1027"/>
      <c r="AD108" s="1027"/>
      <c r="AE108" s="1027"/>
      <c r="AF108" s="1027"/>
      <c r="AG108" s="1027"/>
      <c r="AH108" s="1027"/>
      <c r="AI108" s="1027"/>
      <c r="AJ108" s="1027"/>
      <c r="AK108" s="1027"/>
      <c r="AL108" s="1027"/>
      <c r="AM108" s="1027"/>
      <c r="AN108" s="1027"/>
      <c r="AO108" s="1027"/>
      <c r="AP108" s="1027"/>
      <c r="AQ108" s="1027"/>
      <c r="AR108" s="1027"/>
      <c r="AS108" s="1027"/>
      <c r="AT108" s="1027"/>
      <c r="AU108" s="1027"/>
      <c r="AV108" s="1027"/>
    </row>
    <row r="109" spans="7:48">
      <c r="G109" s="673"/>
      <c r="H109" s="673"/>
      <c r="I109" s="673"/>
      <c r="J109" s="673"/>
      <c r="K109" s="673"/>
      <c r="L109" s="673"/>
      <c r="M109" s="673"/>
      <c r="N109" s="674"/>
      <c r="O109" s="673"/>
      <c r="P109" s="673"/>
      <c r="Q109" s="673"/>
      <c r="R109" s="673"/>
      <c r="S109" s="673"/>
      <c r="T109" s="673"/>
      <c r="U109" s="673"/>
      <c r="V109" s="674"/>
      <c r="W109" s="1027"/>
      <c r="X109" s="1027"/>
      <c r="Y109" s="1027"/>
      <c r="Z109" s="1027"/>
      <c r="AA109" s="1027"/>
      <c r="AB109" s="1027"/>
      <c r="AC109" s="1027"/>
      <c r="AD109" s="1027"/>
      <c r="AE109" s="1027"/>
      <c r="AF109" s="1027"/>
      <c r="AG109" s="1027"/>
      <c r="AH109" s="1027"/>
      <c r="AI109" s="1027"/>
      <c r="AJ109" s="1027"/>
      <c r="AK109" s="1027"/>
      <c r="AL109" s="1027"/>
      <c r="AM109" s="1027"/>
      <c r="AN109" s="1027"/>
      <c r="AO109" s="1027"/>
      <c r="AP109" s="1027"/>
      <c r="AQ109" s="1027"/>
      <c r="AR109" s="1027"/>
      <c r="AS109" s="1027"/>
      <c r="AT109" s="1027"/>
      <c r="AU109" s="1027"/>
      <c r="AV109" s="1027"/>
    </row>
    <row r="110" spans="7:48">
      <c r="G110" s="673"/>
      <c r="H110" s="673"/>
      <c r="I110" s="673"/>
      <c r="J110" s="673"/>
      <c r="K110" s="673"/>
      <c r="L110" s="673"/>
      <c r="M110" s="673"/>
      <c r="N110" s="674"/>
      <c r="O110" s="673"/>
      <c r="P110" s="673"/>
      <c r="Q110" s="673"/>
      <c r="R110" s="673"/>
      <c r="S110" s="673"/>
      <c r="T110" s="673"/>
      <c r="U110" s="673"/>
      <c r="V110" s="674"/>
      <c r="W110" s="1027"/>
      <c r="X110" s="1027"/>
      <c r="Y110" s="1027"/>
      <c r="Z110" s="1027"/>
      <c r="AA110" s="1027"/>
      <c r="AB110" s="1027"/>
      <c r="AC110" s="1027"/>
      <c r="AD110" s="1027"/>
      <c r="AE110" s="1027"/>
      <c r="AF110" s="1027"/>
      <c r="AG110" s="1027"/>
      <c r="AH110" s="1027"/>
      <c r="AI110" s="1027"/>
      <c r="AJ110" s="1027"/>
      <c r="AK110" s="1027"/>
      <c r="AL110" s="1027"/>
      <c r="AM110" s="1027"/>
      <c r="AN110" s="1027"/>
      <c r="AO110" s="1027"/>
      <c r="AP110" s="1027"/>
      <c r="AQ110" s="1027"/>
      <c r="AR110" s="1027"/>
      <c r="AS110" s="1027"/>
      <c r="AT110" s="1027"/>
      <c r="AU110" s="1027"/>
      <c r="AV110" s="1027"/>
    </row>
    <row r="111" spans="7:48">
      <c r="G111" s="673"/>
      <c r="H111" s="673"/>
      <c r="I111" s="673"/>
      <c r="J111" s="673"/>
      <c r="K111" s="673"/>
      <c r="L111" s="673"/>
      <c r="M111" s="673"/>
      <c r="N111" s="674"/>
      <c r="O111" s="673"/>
      <c r="P111" s="673"/>
      <c r="Q111" s="673"/>
      <c r="R111" s="673"/>
      <c r="S111" s="673"/>
      <c r="T111" s="673"/>
      <c r="U111" s="673"/>
      <c r="V111" s="674"/>
      <c r="W111" s="1027"/>
      <c r="X111" s="1027"/>
      <c r="Y111" s="1027"/>
      <c r="Z111" s="1027"/>
      <c r="AA111" s="1027"/>
      <c r="AB111" s="1027"/>
      <c r="AC111" s="1027"/>
      <c r="AD111" s="1027"/>
      <c r="AE111" s="1027"/>
      <c r="AF111" s="1027"/>
      <c r="AG111" s="1027"/>
      <c r="AH111" s="1027"/>
      <c r="AI111" s="1027"/>
      <c r="AJ111" s="1027"/>
      <c r="AK111" s="1027"/>
      <c r="AL111" s="1027"/>
      <c r="AM111" s="1027"/>
      <c r="AN111" s="1027"/>
      <c r="AO111" s="1027"/>
      <c r="AP111" s="1027"/>
      <c r="AQ111" s="1027"/>
      <c r="AR111" s="1027"/>
      <c r="AS111" s="1027"/>
      <c r="AT111" s="1027"/>
      <c r="AU111" s="1027"/>
      <c r="AV111" s="1027"/>
    </row>
    <row r="112" spans="7:48">
      <c r="G112" s="673"/>
      <c r="H112" s="673"/>
      <c r="I112" s="673"/>
      <c r="J112" s="673"/>
      <c r="K112" s="673"/>
      <c r="L112" s="673"/>
      <c r="M112" s="673"/>
      <c r="N112" s="674"/>
      <c r="O112" s="673"/>
      <c r="P112" s="673"/>
      <c r="Q112" s="673"/>
      <c r="R112" s="673"/>
      <c r="S112" s="673"/>
      <c r="T112" s="673"/>
      <c r="U112" s="673"/>
      <c r="V112" s="674"/>
      <c r="W112" s="1027"/>
      <c r="X112" s="1027"/>
      <c r="Y112" s="1027"/>
      <c r="Z112" s="1027"/>
      <c r="AA112" s="1027"/>
      <c r="AB112" s="1027"/>
      <c r="AC112" s="1027"/>
      <c r="AD112" s="1027"/>
      <c r="AE112" s="1027"/>
      <c r="AF112" s="1027"/>
      <c r="AG112" s="1027"/>
      <c r="AH112" s="1027"/>
      <c r="AI112" s="1027"/>
      <c r="AJ112" s="1027"/>
      <c r="AK112" s="1027"/>
      <c r="AL112" s="1027"/>
      <c r="AM112" s="1027"/>
      <c r="AN112" s="1027"/>
      <c r="AO112" s="1027"/>
      <c r="AP112" s="1027"/>
      <c r="AQ112" s="1027"/>
      <c r="AR112" s="1027"/>
      <c r="AS112" s="1027"/>
      <c r="AT112" s="1027"/>
      <c r="AU112" s="1027"/>
      <c r="AV112" s="1027"/>
    </row>
    <row r="113" spans="7:48">
      <c r="G113" s="673"/>
      <c r="H113" s="673"/>
      <c r="I113" s="673"/>
      <c r="J113" s="673"/>
      <c r="K113" s="673"/>
      <c r="L113" s="673"/>
      <c r="M113" s="673"/>
      <c r="N113" s="674"/>
      <c r="O113" s="673"/>
      <c r="P113" s="673"/>
      <c r="Q113" s="673"/>
      <c r="R113" s="673"/>
      <c r="S113" s="673"/>
      <c r="T113" s="673"/>
      <c r="U113" s="673"/>
      <c r="V113" s="674"/>
      <c r="W113" s="1027"/>
      <c r="X113" s="1027"/>
      <c r="Y113" s="1027"/>
      <c r="Z113" s="1027"/>
      <c r="AA113" s="1027"/>
      <c r="AB113" s="1027"/>
      <c r="AC113" s="1027"/>
      <c r="AD113" s="1027"/>
      <c r="AE113" s="1027"/>
      <c r="AF113" s="1027"/>
      <c r="AG113" s="1027"/>
      <c r="AH113" s="1027"/>
      <c r="AI113" s="1027"/>
      <c r="AJ113" s="1027"/>
      <c r="AK113" s="1027"/>
      <c r="AL113" s="1027"/>
      <c r="AM113" s="1027"/>
      <c r="AN113" s="1027"/>
      <c r="AO113" s="1027"/>
      <c r="AP113" s="1027"/>
      <c r="AQ113" s="1027"/>
      <c r="AR113" s="1027"/>
      <c r="AS113" s="1027"/>
      <c r="AT113" s="1027"/>
      <c r="AU113" s="1027"/>
      <c r="AV113" s="1027"/>
    </row>
    <row r="114" spans="7:48">
      <c r="G114" s="673"/>
      <c r="H114" s="673"/>
      <c r="I114" s="673"/>
      <c r="J114" s="673"/>
      <c r="K114" s="673"/>
      <c r="L114" s="673"/>
      <c r="M114" s="673"/>
      <c r="N114" s="674"/>
      <c r="O114" s="673"/>
      <c r="P114" s="673"/>
      <c r="Q114" s="673"/>
      <c r="R114" s="673"/>
      <c r="S114" s="673"/>
      <c r="T114" s="673"/>
      <c r="U114" s="673"/>
      <c r="V114" s="674"/>
      <c r="W114" s="1027"/>
      <c r="X114" s="1027"/>
      <c r="Y114" s="1027"/>
      <c r="Z114" s="1027"/>
      <c r="AA114" s="1027"/>
      <c r="AB114" s="1027"/>
      <c r="AC114" s="1027"/>
      <c r="AD114" s="1027"/>
      <c r="AE114" s="1027"/>
      <c r="AF114" s="1027"/>
      <c r="AG114" s="1027"/>
      <c r="AH114" s="1027"/>
      <c r="AI114" s="1027"/>
      <c r="AJ114" s="1027"/>
      <c r="AK114" s="1027"/>
      <c r="AL114" s="1027"/>
      <c r="AM114" s="1027"/>
      <c r="AN114" s="1027"/>
      <c r="AO114" s="1027"/>
      <c r="AP114" s="1027"/>
      <c r="AQ114" s="1027"/>
      <c r="AR114" s="1027"/>
      <c r="AS114" s="1027"/>
      <c r="AT114" s="1027"/>
      <c r="AU114" s="1027"/>
      <c r="AV114" s="1027"/>
    </row>
    <row r="115" spans="7:48">
      <c r="G115" s="673"/>
      <c r="H115" s="673"/>
      <c r="I115" s="673"/>
      <c r="J115" s="673"/>
      <c r="K115" s="673"/>
      <c r="L115" s="673"/>
      <c r="M115" s="673"/>
      <c r="N115" s="674"/>
      <c r="O115" s="673"/>
      <c r="P115" s="673"/>
      <c r="Q115" s="673"/>
      <c r="R115" s="673"/>
      <c r="S115" s="673"/>
      <c r="T115" s="673"/>
      <c r="U115" s="673"/>
      <c r="V115" s="674"/>
      <c r="W115" s="1027"/>
      <c r="X115" s="1027"/>
      <c r="Y115" s="1027"/>
      <c r="Z115" s="1027"/>
      <c r="AA115" s="1027"/>
      <c r="AB115" s="1027"/>
      <c r="AC115" s="1027"/>
      <c r="AD115" s="1027"/>
      <c r="AE115" s="1027"/>
      <c r="AF115" s="1027"/>
      <c r="AG115" s="1027"/>
      <c r="AH115" s="1027"/>
      <c r="AI115" s="1027"/>
      <c r="AJ115" s="1027"/>
      <c r="AK115" s="1027"/>
      <c r="AL115" s="1027"/>
      <c r="AM115" s="1027"/>
      <c r="AN115" s="1027"/>
      <c r="AO115" s="1027"/>
      <c r="AP115" s="1027"/>
      <c r="AQ115" s="1027"/>
      <c r="AR115" s="1027"/>
      <c r="AS115" s="1027"/>
      <c r="AT115" s="1027"/>
      <c r="AU115" s="1027"/>
      <c r="AV115" s="1027"/>
    </row>
    <row r="116" spans="7:48">
      <c r="G116" s="673"/>
      <c r="H116" s="673"/>
      <c r="I116" s="673"/>
      <c r="J116" s="673"/>
      <c r="K116" s="673"/>
      <c r="L116" s="673"/>
      <c r="M116" s="673"/>
      <c r="N116" s="674"/>
      <c r="O116" s="673"/>
      <c r="P116" s="673"/>
      <c r="Q116" s="673"/>
      <c r="R116" s="673"/>
      <c r="S116" s="673"/>
      <c r="T116" s="673"/>
      <c r="U116" s="673"/>
      <c r="V116" s="674"/>
      <c r="W116" s="1027"/>
      <c r="X116" s="1027"/>
      <c r="Y116" s="1027"/>
      <c r="Z116" s="1027"/>
      <c r="AA116" s="1027"/>
      <c r="AB116" s="1027"/>
      <c r="AC116" s="1027"/>
      <c r="AD116" s="1027"/>
      <c r="AE116" s="1027"/>
      <c r="AF116" s="1027"/>
      <c r="AG116" s="1027"/>
      <c r="AH116" s="1027"/>
      <c r="AI116" s="1027"/>
      <c r="AJ116" s="1027"/>
      <c r="AK116" s="1027"/>
      <c r="AL116" s="1027"/>
      <c r="AM116" s="1027"/>
      <c r="AN116" s="1027"/>
      <c r="AO116" s="1027"/>
      <c r="AP116" s="1027"/>
      <c r="AQ116" s="1027"/>
      <c r="AR116" s="1027"/>
      <c r="AS116" s="1027"/>
      <c r="AT116" s="1027"/>
      <c r="AU116" s="1027"/>
      <c r="AV116" s="1027"/>
    </row>
    <row r="117" spans="7:48">
      <c r="G117" s="673"/>
      <c r="H117" s="673"/>
      <c r="I117" s="673"/>
      <c r="J117" s="673"/>
      <c r="K117" s="673"/>
      <c r="L117" s="673"/>
      <c r="M117" s="673"/>
      <c r="N117" s="674"/>
      <c r="O117" s="673"/>
      <c r="P117" s="673"/>
      <c r="Q117" s="673"/>
      <c r="R117" s="673"/>
      <c r="S117" s="673"/>
      <c r="T117" s="673"/>
      <c r="U117" s="673"/>
      <c r="V117" s="674"/>
      <c r="W117" s="1027"/>
      <c r="X117" s="1027"/>
      <c r="Y117" s="1027"/>
      <c r="Z117" s="1027"/>
      <c r="AA117" s="1027"/>
      <c r="AB117" s="1027"/>
      <c r="AC117" s="1027"/>
      <c r="AD117" s="1027"/>
      <c r="AE117" s="1027"/>
      <c r="AF117" s="1027"/>
      <c r="AG117" s="1027"/>
      <c r="AH117" s="1027"/>
      <c r="AI117" s="1027"/>
      <c r="AJ117" s="1027"/>
      <c r="AK117" s="1027"/>
      <c r="AL117" s="1027"/>
      <c r="AM117" s="1027"/>
      <c r="AN117" s="1027"/>
      <c r="AO117" s="1027"/>
      <c r="AP117" s="1027"/>
      <c r="AQ117" s="1027"/>
      <c r="AR117" s="1027"/>
      <c r="AS117" s="1027"/>
      <c r="AT117" s="1027"/>
      <c r="AU117" s="1027"/>
      <c r="AV117" s="1027"/>
    </row>
    <row r="118" spans="7:48">
      <c r="G118" s="673"/>
      <c r="H118" s="673"/>
      <c r="I118" s="673"/>
      <c r="J118" s="673"/>
      <c r="K118" s="673"/>
      <c r="L118" s="673"/>
      <c r="M118" s="673"/>
      <c r="N118" s="674"/>
      <c r="O118" s="673"/>
      <c r="P118" s="673"/>
      <c r="Q118" s="673"/>
      <c r="R118" s="673"/>
      <c r="S118" s="673"/>
      <c r="T118" s="673"/>
      <c r="U118" s="673"/>
      <c r="V118" s="674"/>
      <c r="W118" s="1027"/>
      <c r="X118" s="1027"/>
      <c r="Y118" s="1027"/>
      <c r="Z118" s="1027"/>
      <c r="AA118" s="1027"/>
      <c r="AB118" s="1027"/>
      <c r="AC118" s="1027"/>
      <c r="AD118" s="1027"/>
      <c r="AE118" s="1027"/>
      <c r="AF118" s="1027"/>
      <c r="AG118" s="1027"/>
      <c r="AH118" s="1027"/>
      <c r="AI118" s="1027"/>
      <c r="AJ118" s="1027"/>
      <c r="AK118" s="1027"/>
      <c r="AL118" s="1027"/>
      <c r="AM118" s="1027"/>
      <c r="AN118" s="1027"/>
      <c r="AO118" s="1027"/>
      <c r="AP118" s="1027"/>
      <c r="AQ118" s="1027"/>
      <c r="AR118" s="1027"/>
      <c r="AS118" s="1027"/>
      <c r="AT118" s="1027"/>
      <c r="AU118" s="1027"/>
      <c r="AV118" s="1027"/>
    </row>
    <row r="119" spans="7:48">
      <c r="G119" s="673"/>
      <c r="H119" s="673"/>
      <c r="I119" s="673"/>
      <c r="J119" s="673"/>
      <c r="K119" s="673"/>
      <c r="L119" s="673"/>
      <c r="M119" s="673"/>
      <c r="N119" s="674"/>
      <c r="O119" s="673"/>
      <c r="P119" s="673"/>
      <c r="Q119" s="673"/>
      <c r="R119" s="673"/>
      <c r="S119" s="673"/>
      <c r="T119" s="673"/>
      <c r="U119" s="673"/>
      <c r="V119" s="674"/>
      <c r="W119" s="1027"/>
      <c r="X119" s="1027"/>
      <c r="Y119" s="1027"/>
      <c r="Z119" s="1027"/>
      <c r="AA119" s="1027"/>
      <c r="AB119" s="1027"/>
      <c r="AC119" s="1027"/>
      <c r="AD119" s="1027"/>
      <c r="AE119" s="1027"/>
      <c r="AF119" s="1027"/>
      <c r="AG119" s="1027"/>
      <c r="AH119" s="1027"/>
      <c r="AI119" s="1027"/>
      <c r="AJ119" s="1027"/>
      <c r="AK119" s="1027"/>
      <c r="AL119" s="1027"/>
      <c r="AM119" s="1027"/>
      <c r="AN119" s="1027"/>
      <c r="AO119" s="1027"/>
      <c r="AP119" s="1027"/>
      <c r="AQ119" s="1027"/>
      <c r="AR119" s="1027"/>
      <c r="AS119" s="1027"/>
      <c r="AT119" s="1027"/>
      <c r="AU119" s="1027"/>
      <c r="AV119" s="1027"/>
    </row>
    <row r="120" spans="7:48">
      <c r="G120" s="673"/>
      <c r="H120" s="673"/>
      <c r="I120" s="673"/>
      <c r="J120" s="673"/>
      <c r="K120" s="673"/>
      <c r="L120" s="673"/>
      <c r="M120" s="673"/>
      <c r="N120" s="674"/>
      <c r="O120" s="673"/>
      <c r="P120" s="673"/>
      <c r="Q120" s="673"/>
      <c r="R120" s="673"/>
      <c r="S120" s="673"/>
      <c r="T120" s="673"/>
      <c r="U120" s="673"/>
      <c r="V120" s="674"/>
      <c r="W120" s="1027"/>
      <c r="X120" s="1027"/>
      <c r="Y120" s="1027"/>
      <c r="Z120" s="1027"/>
      <c r="AA120" s="1027"/>
      <c r="AB120" s="1027"/>
      <c r="AC120" s="1027"/>
      <c r="AD120" s="1027"/>
      <c r="AE120" s="1027"/>
      <c r="AF120" s="1027"/>
      <c r="AG120" s="1027"/>
      <c r="AH120" s="1027"/>
      <c r="AI120" s="1027"/>
      <c r="AJ120" s="1027"/>
      <c r="AK120" s="1027"/>
      <c r="AL120" s="1027"/>
      <c r="AM120" s="1027"/>
      <c r="AN120" s="1027"/>
      <c r="AO120" s="1027"/>
      <c r="AP120" s="1027"/>
      <c r="AQ120" s="1027"/>
      <c r="AR120" s="1027"/>
      <c r="AS120" s="1027"/>
      <c r="AT120" s="1027"/>
      <c r="AU120" s="1027"/>
      <c r="AV120" s="1027"/>
    </row>
    <row r="121" spans="7:48">
      <c r="G121" s="673"/>
      <c r="H121" s="673"/>
      <c r="I121" s="673"/>
      <c r="J121" s="673"/>
      <c r="K121" s="673"/>
      <c r="L121" s="673"/>
      <c r="M121" s="673"/>
      <c r="N121" s="674"/>
      <c r="O121" s="673"/>
      <c r="P121" s="673"/>
      <c r="Q121" s="673"/>
      <c r="R121" s="673"/>
      <c r="S121" s="673"/>
      <c r="T121" s="673"/>
      <c r="U121" s="673"/>
      <c r="V121" s="674"/>
      <c r="W121" s="1027"/>
      <c r="X121" s="1027"/>
      <c r="Y121" s="1027"/>
      <c r="Z121" s="1027"/>
      <c r="AA121" s="1027"/>
      <c r="AB121" s="1027"/>
      <c r="AC121" s="1027"/>
      <c r="AD121" s="1027"/>
      <c r="AE121" s="1027"/>
      <c r="AF121" s="1027"/>
      <c r="AG121" s="1027"/>
      <c r="AH121" s="1027"/>
      <c r="AI121" s="1027"/>
      <c r="AJ121" s="1027"/>
      <c r="AK121" s="1027"/>
      <c r="AL121" s="1027"/>
      <c r="AM121" s="1027"/>
      <c r="AN121" s="1027"/>
      <c r="AO121" s="1027"/>
      <c r="AP121" s="1027"/>
      <c r="AQ121" s="1027"/>
      <c r="AR121" s="1027"/>
      <c r="AS121" s="1027"/>
      <c r="AT121" s="1027"/>
      <c r="AU121" s="1027"/>
      <c r="AV121" s="1027"/>
    </row>
    <row r="122" spans="7:48">
      <c r="G122" s="673"/>
      <c r="H122" s="673"/>
      <c r="I122" s="673"/>
      <c r="J122" s="673"/>
      <c r="K122" s="673"/>
      <c r="L122" s="673"/>
      <c r="M122" s="673"/>
      <c r="N122" s="674"/>
      <c r="O122" s="673"/>
      <c r="P122" s="673"/>
      <c r="Q122" s="673"/>
      <c r="R122" s="673"/>
      <c r="S122" s="673"/>
      <c r="T122" s="673"/>
      <c r="U122" s="673"/>
      <c r="V122" s="674"/>
      <c r="W122" s="1027"/>
      <c r="X122" s="1027"/>
      <c r="Y122" s="1027"/>
      <c r="Z122" s="1027"/>
      <c r="AA122" s="1027"/>
      <c r="AB122" s="1027"/>
      <c r="AC122" s="1027"/>
      <c r="AD122" s="1027"/>
      <c r="AE122" s="1027"/>
      <c r="AF122" s="1027"/>
      <c r="AG122" s="1027"/>
      <c r="AH122" s="1027"/>
      <c r="AI122" s="1027"/>
      <c r="AJ122" s="1027"/>
      <c r="AK122" s="1027"/>
      <c r="AL122" s="1027"/>
      <c r="AM122" s="1027"/>
      <c r="AN122" s="1027"/>
      <c r="AO122" s="1027"/>
      <c r="AP122" s="1027"/>
      <c r="AQ122" s="1027"/>
      <c r="AR122" s="1027"/>
      <c r="AS122" s="1027"/>
      <c r="AT122" s="1027"/>
      <c r="AU122" s="1027"/>
      <c r="AV122" s="1027"/>
    </row>
    <row r="123" spans="7:48">
      <c r="G123" s="673"/>
      <c r="H123" s="673"/>
      <c r="I123" s="673"/>
      <c r="J123" s="673"/>
      <c r="K123" s="673"/>
      <c r="L123" s="673"/>
      <c r="M123" s="673"/>
      <c r="N123" s="674"/>
      <c r="O123" s="673"/>
      <c r="P123" s="673"/>
      <c r="Q123" s="673"/>
      <c r="R123" s="673"/>
      <c r="S123" s="673"/>
      <c r="T123" s="673"/>
      <c r="U123" s="673"/>
      <c r="V123" s="674"/>
      <c r="W123" s="1027"/>
      <c r="X123" s="1027"/>
      <c r="Y123" s="1027"/>
      <c r="Z123" s="1027"/>
      <c r="AA123" s="1027"/>
      <c r="AB123" s="1027"/>
      <c r="AC123" s="1027"/>
      <c r="AD123" s="1027"/>
      <c r="AE123" s="1027"/>
      <c r="AF123" s="1027"/>
      <c r="AG123" s="1027"/>
      <c r="AH123" s="1027"/>
      <c r="AI123" s="1027"/>
      <c r="AJ123" s="1027"/>
      <c r="AK123" s="1027"/>
      <c r="AL123" s="1027"/>
      <c r="AM123" s="1027"/>
      <c r="AN123" s="1027"/>
      <c r="AO123" s="1027"/>
      <c r="AP123" s="1027"/>
      <c r="AQ123" s="1027"/>
      <c r="AR123" s="1027"/>
      <c r="AS123" s="1027"/>
      <c r="AT123" s="1027"/>
      <c r="AU123" s="1027"/>
      <c r="AV123" s="1027"/>
    </row>
    <row r="124" spans="7:48">
      <c r="G124" s="673"/>
      <c r="H124" s="673"/>
      <c r="I124" s="673"/>
      <c r="J124" s="673"/>
      <c r="K124" s="673"/>
      <c r="L124" s="673"/>
      <c r="M124" s="673"/>
      <c r="N124" s="674"/>
      <c r="O124" s="673"/>
      <c r="P124" s="673"/>
      <c r="Q124" s="673"/>
      <c r="R124" s="673"/>
      <c r="S124" s="673"/>
      <c r="T124" s="673"/>
      <c r="U124" s="673"/>
      <c r="V124" s="674"/>
      <c r="W124" s="1027"/>
      <c r="X124" s="1027"/>
      <c r="Y124" s="1027"/>
      <c r="Z124" s="1027"/>
      <c r="AA124" s="1027"/>
      <c r="AB124" s="1027"/>
      <c r="AC124" s="1027"/>
      <c r="AD124" s="1027"/>
      <c r="AE124" s="1027"/>
      <c r="AF124" s="1027"/>
      <c r="AG124" s="1027"/>
      <c r="AH124" s="1027"/>
      <c r="AI124" s="1027"/>
      <c r="AJ124" s="1027"/>
      <c r="AK124" s="1027"/>
      <c r="AL124" s="1027"/>
      <c r="AM124" s="1027"/>
      <c r="AN124" s="1027"/>
      <c r="AO124" s="1027"/>
      <c r="AP124" s="1027"/>
      <c r="AQ124" s="1027"/>
      <c r="AR124" s="1027"/>
      <c r="AS124" s="1027"/>
      <c r="AT124" s="1027"/>
      <c r="AU124" s="1027"/>
      <c r="AV124" s="1027"/>
    </row>
    <row r="125" spans="7:48">
      <c r="G125" s="673"/>
      <c r="H125" s="673"/>
      <c r="I125" s="673"/>
      <c r="J125" s="673"/>
      <c r="K125" s="673"/>
      <c r="L125" s="673"/>
      <c r="M125" s="673"/>
      <c r="N125" s="674"/>
      <c r="O125" s="673"/>
      <c r="P125" s="673"/>
      <c r="Q125" s="673"/>
      <c r="R125" s="673"/>
      <c r="S125" s="673"/>
      <c r="T125" s="673"/>
      <c r="U125" s="673"/>
      <c r="V125" s="674"/>
      <c r="W125" s="1027"/>
      <c r="X125" s="1027"/>
      <c r="Y125" s="1027"/>
      <c r="Z125" s="1027"/>
      <c r="AA125" s="1027"/>
      <c r="AB125" s="1027"/>
      <c r="AC125" s="1027"/>
      <c r="AD125" s="1027"/>
      <c r="AE125" s="1027"/>
      <c r="AF125" s="1027"/>
      <c r="AG125" s="1027"/>
      <c r="AH125" s="1027"/>
      <c r="AI125" s="1027"/>
      <c r="AJ125" s="1027"/>
      <c r="AK125" s="1027"/>
      <c r="AL125" s="1027"/>
      <c r="AM125" s="1027"/>
      <c r="AN125" s="1027"/>
      <c r="AO125" s="1027"/>
      <c r="AP125" s="1027"/>
      <c r="AQ125" s="1027"/>
      <c r="AR125" s="1027"/>
      <c r="AS125" s="1027"/>
      <c r="AT125" s="1027"/>
      <c r="AU125" s="1027"/>
      <c r="AV125" s="1027"/>
    </row>
    <row r="126" spans="7:48">
      <c r="G126" s="673"/>
      <c r="H126" s="673"/>
      <c r="I126" s="673"/>
      <c r="J126" s="673"/>
      <c r="K126" s="673"/>
      <c r="L126" s="673"/>
      <c r="M126" s="673"/>
      <c r="N126" s="674"/>
      <c r="O126" s="673"/>
      <c r="P126" s="673"/>
      <c r="Q126" s="673"/>
      <c r="R126" s="673"/>
      <c r="S126" s="673"/>
      <c r="T126" s="673"/>
      <c r="U126" s="673"/>
      <c r="V126" s="674"/>
      <c r="W126" s="1027"/>
      <c r="X126" s="1027"/>
      <c r="Y126" s="1027"/>
      <c r="Z126" s="1027"/>
      <c r="AA126" s="1027"/>
      <c r="AB126" s="1027"/>
      <c r="AC126" s="1027"/>
      <c r="AD126" s="1027"/>
      <c r="AE126" s="1027"/>
      <c r="AF126" s="1027"/>
      <c r="AG126" s="1027"/>
      <c r="AH126" s="1027"/>
      <c r="AI126" s="1027"/>
      <c r="AJ126" s="1027"/>
      <c r="AK126" s="1027"/>
      <c r="AL126" s="1027"/>
      <c r="AM126" s="1027"/>
      <c r="AN126" s="1027"/>
      <c r="AO126" s="1027"/>
      <c r="AP126" s="1027"/>
      <c r="AQ126" s="1027"/>
      <c r="AR126" s="1027"/>
      <c r="AS126" s="1027"/>
      <c r="AT126" s="1027"/>
      <c r="AU126" s="1027"/>
      <c r="AV126" s="1027"/>
    </row>
    <row r="127" spans="7:48">
      <c r="G127" s="673"/>
      <c r="H127" s="673"/>
      <c r="I127" s="673"/>
      <c r="J127" s="673"/>
      <c r="K127" s="673"/>
      <c r="L127" s="673"/>
      <c r="M127" s="673"/>
      <c r="N127" s="674"/>
      <c r="O127" s="673"/>
      <c r="P127" s="673"/>
      <c r="Q127" s="673"/>
      <c r="R127" s="673"/>
      <c r="S127" s="673"/>
      <c r="T127" s="673"/>
      <c r="U127" s="673"/>
      <c r="V127" s="674"/>
      <c r="W127" s="1027"/>
      <c r="X127" s="1027"/>
      <c r="Y127" s="1027"/>
      <c r="Z127" s="1027"/>
      <c r="AA127" s="1027"/>
      <c r="AB127" s="1027"/>
      <c r="AC127" s="1027"/>
      <c r="AD127" s="1027"/>
      <c r="AE127" s="1027"/>
      <c r="AF127" s="1027"/>
      <c r="AG127" s="1027"/>
      <c r="AH127" s="1027"/>
      <c r="AI127" s="1027"/>
      <c r="AJ127" s="1027"/>
      <c r="AK127" s="1027"/>
      <c r="AL127" s="1027"/>
      <c r="AM127" s="1027"/>
      <c r="AN127" s="1027"/>
      <c r="AO127" s="1027"/>
      <c r="AP127" s="1027"/>
      <c r="AQ127" s="1027"/>
      <c r="AR127" s="1027"/>
      <c r="AS127" s="1027"/>
      <c r="AT127" s="1027"/>
      <c r="AU127" s="1027"/>
      <c r="AV127" s="1027"/>
    </row>
    <row r="128" spans="7:48">
      <c r="G128" s="673"/>
      <c r="H128" s="673"/>
      <c r="I128" s="673"/>
      <c r="J128" s="673"/>
      <c r="K128" s="673"/>
      <c r="L128" s="673"/>
      <c r="M128" s="673"/>
      <c r="N128" s="674"/>
      <c r="O128" s="673"/>
      <c r="P128" s="673"/>
      <c r="Q128" s="673"/>
      <c r="R128" s="673"/>
      <c r="S128" s="673"/>
      <c r="T128" s="673"/>
      <c r="U128" s="673"/>
      <c r="V128" s="674"/>
      <c r="W128" s="1027"/>
      <c r="X128" s="1027"/>
      <c r="Y128" s="1027"/>
      <c r="Z128" s="1027"/>
      <c r="AA128" s="1027"/>
      <c r="AB128" s="1027"/>
      <c r="AC128" s="1027"/>
      <c r="AD128" s="1027"/>
      <c r="AE128" s="1027"/>
      <c r="AF128" s="1027"/>
      <c r="AG128" s="1027"/>
      <c r="AH128" s="1027"/>
      <c r="AI128" s="1027"/>
      <c r="AJ128" s="1027"/>
      <c r="AK128" s="1027"/>
      <c r="AL128" s="1027"/>
      <c r="AM128" s="1027"/>
      <c r="AN128" s="1027"/>
      <c r="AO128" s="1027"/>
      <c r="AP128" s="1027"/>
      <c r="AQ128" s="1027"/>
      <c r="AR128" s="1027"/>
      <c r="AS128" s="1027"/>
      <c r="AT128" s="1027"/>
      <c r="AU128" s="1027"/>
      <c r="AV128" s="1027"/>
    </row>
    <row r="129" spans="7:48">
      <c r="G129" s="673"/>
      <c r="H129" s="673"/>
      <c r="I129" s="673"/>
      <c r="J129" s="673"/>
      <c r="K129" s="673"/>
      <c r="L129" s="673"/>
      <c r="M129" s="673"/>
      <c r="N129" s="674"/>
      <c r="O129" s="673"/>
      <c r="P129" s="673"/>
      <c r="Q129" s="673"/>
      <c r="R129" s="673"/>
      <c r="S129" s="673"/>
      <c r="T129" s="673"/>
      <c r="U129" s="673"/>
      <c r="V129" s="674"/>
      <c r="W129" s="1027"/>
      <c r="X129" s="1027"/>
      <c r="Y129" s="1027"/>
      <c r="Z129" s="1027"/>
      <c r="AA129" s="1027"/>
      <c r="AB129" s="1027"/>
      <c r="AC129" s="1027"/>
      <c r="AD129" s="1027"/>
      <c r="AE129" s="1027"/>
      <c r="AF129" s="1027"/>
      <c r="AG129" s="1027"/>
      <c r="AH129" s="1027"/>
      <c r="AI129" s="1027"/>
      <c r="AJ129" s="1027"/>
      <c r="AK129" s="1027"/>
      <c r="AL129" s="1027"/>
      <c r="AM129" s="1027"/>
      <c r="AN129" s="1027"/>
      <c r="AO129" s="1027"/>
      <c r="AP129" s="1027"/>
      <c r="AQ129" s="1027"/>
      <c r="AR129" s="1027"/>
      <c r="AS129" s="1027"/>
      <c r="AT129" s="1027"/>
      <c r="AU129" s="1027"/>
      <c r="AV129" s="1027"/>
    </row>
    <row r="130" spans="7:48">
      <c r="G130" s="673"/>
      <c r="H130" s="673"/>
      <c r="I130" s="673"/>
      <c r="J130" s="673"/>
      <c r="K130" s="673"/>
      <c r="L130" s="673"/>
      <c r="M130" s="673"/>
      <c r="N130" s="674"/>
      <c r="O130" s="673"/>
      <c r="P130" s="673"/>
      <c r="Q130" s="673"/>
      <c r="R130" s="673"/>
      <c r="S130" s="673"/>
      <c r="T130" s="673"/>
      <c r="U130" s="673"/>
      <c r="V130" s="674"/>
      <c r="W130" s="1027"/>
      <c r="X130" s="1027"/>
      <c r="Y130" s="1027"/>
      <c r="Z130" s="1027"/>
      <c r="AA130" s="1027"/>
      <c r="AB130" s="1027"/>
      <c r="AC130" s="1027"/>
      <c r="AD130" s="1027"/>
      <c r="AE130" s="1027"/>
      <c r="AF130" s="1027"/>
      <c r="AG130" s="1027"/>
      <c r="AH130" s="1027"/>
      <c r="AI130" s="1027"/>
      <c r="AJ130" s="1027"/>
      <c r="AK130" s="1027"/>
      <c r="AL130" s="1027"/>
      <c r="AM130" s="1027"/>
      <c r="AN130" s="1027"/>
      <c r="AO130" s="1027"/>
      <c r="AP130" s="1027"/>
      <c r="AQ130" s="1027"/>
      <c r="AR130" s="1027"/>
      <c r="AS130" s="1027"/>
      <c r="AT130" s="1027"/>
      <c r="AU130" s="1027"/>
      <c r="AV130" s="1027"/>
    </row>
    <row r="131" spans="7:48">
      <c r="G131" s="673"/>
      <c r="H131" s="673"/>
      <c r="I131" s="673"/>
      <c r="J131" s="673"/>
      <c r="K131" s="673"/>
      <c r="L131" s="673"/>
      <c r="M131" s="673"/>
      <c r="N131" s="674"/>
      <c r="O131" s="673"/>
      <c r="P131" s="673"/>
      <c r="Q131" s="673"/>
      <c r="R131" s="673"/>
      <c r="S131" s="673"/>
      <c r="T131" s="673"/>
      <c r="U131" s="673"/>
      <c r="V131" s="674"/>
      <c r="W131" s="1027"/>
      <c r="X131" s="1027"/>
      <c r="Y131" s="1027"/>
      <c r="Z131" s="1027"/>
      <c r="AA131" s="1027"/>
      <c r="AB131" s="1027"/>
      <c r="AC131" s="1027"/>
      <c r="AD131" s="1027"/>
      <c r="AE131" s="1027"/>
      <c r="AF131" s="1027"/>
      <c r="AG131" s="1027"/>
      <c r="AH131" s="1027"/>
      <c r="AI131" s="1027"/>
      <c r="AJ131" s="1027"/>
      <c r="AK131" s="1027"/>
      <c r="AL131" s="1027"/>
      <c r="AM131" s="1027"/>
      <c r="AN131" s="1027"/>
      <c r="AO131" s="1027"/>
      <c r="AP131" s="1027"/>
      <c r="AQ131" s="1027"/>
      <c r="AR131" s="1027"/>
      <c r="AS131" s="1027"/>
      <c r="AT131" s="1027"/>
      <c r="AU131" s="1027"/>
      <c r="AV131" s="1027"/>
    </row>
    <row r="132" spans="7:48">
      <c r="G132" s="673"/>
      <c r="H132" s="673"/>
      <c r="I132" s="673"/>
      <c r="J132" s="673"/>
      <c r="K132" s="673"/>
      <c r="L132" s="673"/>
      <c r="M132" s="673"/>
      <c r="N132" s="674"/>
      <c r="O132" s="673"/>
      <c r="P132" s="673"/>
      <c r="Q132" s="673"/>
      <c r="R132" s="673"/>
      <c r="S132" s="673"/>
      <c r="T132" s="673"/>
      <c r="U132" s="673"/>
      <c r="V132" s="674"/>
      <c r="W132" s="1027"/>
      <c r="X132" s="1027"/>
      <c r="Y132" s="1027"/>
      <c r="Z132" s="1027"/>
      <c r="AA132" s="1027"/>
      <c r="AB132" s="1027"/>
      <c r="AC132" s="1027"/>
      <c r="AD132" s="1027"/>
      <c r="AE132" s="1027"/>
      <c r="AF132" s="1027"/>
      <c r="AG132" s="1027"/>
      <c r="AH132" s="1027"/>
      <c r="AI132" s="1027"/>
      <c r="AJ132" s="1027"/>
      <c r="AK132" s="1027"/>
      <c r="AL132" s="1027"/>
      <c r="AM132" s="1027"/>
      <c r="AN132" s="1027"/>
      <c r="AO132" s="1027"/>
      <c r="AP132" s="1027"/>
      <c r="AQ132" s="1027"/>
      <c r="AR132" s="1027"/>
      <c r="AS132" s="1027"/>
      <c r="AT132" s="1027"/>
      <c r="AU132" s="1027"/>
      <c r="AV132" s="1027"/>
    </row>
    <row r="133" spans="7:48">
      <c r="G133" s="673"/>
      <c r="H133" s="673"/>
      <c r="I133" s="673"/>
      <c r="J133" s="673"/>
      <c r="K133" s="673"/>
      <c r="L133" s="673"/>
      <c r="M133" s="673"/>
      <c r="N133" s="674"/>
      <c r="O133" s="673"/>
      <c r="P133" s="673"/>
      <c r="Q133" s="673"/>
      <c r="R133" s="673"/>
      <c r="S133" s="673"/>
      <c r="T133" s="673"/>
      <c r="U133" s="673"/>
      <c r="V133" s="674"/>
      <c r="W133" s="1027"/>
      <c r="X133" s="1027"/>
      <c r="Y133" s="1027"/>
      <c r="Z133" s="1027"/>
      <c r="AA133" s="1027"/>
      <c r="AB133" s="1027"/>
      <c r="AC133" s="1027"/>
      <c r="AD133" s="1027"/>
      <c r="AE133" s="1027"/>
      <c r="AF133" s="1027"/>
      <c r="AG133" s="1027"/>
      <c r="AH133" s="1027"/>
      <c r="AI133" s="1027"/>
      <c r="AJ133" s="1027"/>
      <c r="AK133" s="1027"/>
      <c r="AL133" s="1027"/>
      <c r="AM133" s="1027"/>
      <c r="AN133" s="1027"/>
      <c r="AO133" s="1027"/>
      <c r="AP133" s="1027"/>
      <c r="AQ133" s="1027"/>
      <c r="AR133" s="1027"/>
      <c r="AS133" s="1027"/>
      <c r="AT133" s="1027"/>
      <c r="AU133" s="1027"/>
      <c r="AV133" s="1027"/>
    </row>
    <row r="134" spans="7:48">
      <c r="G134" s="673"/>
      <c r="H134" s="673"/>
      <c r="I134" s="673"/>
      <c r="J134" s="673"/>
      <c r="K134" s="673"/>
      <c r="L134" s="673"/>
      <c r="M134" s="673"/>
      <c r="N134" s="674"/>
      <c r="O134" s="673"/>
      <c r="P134" s="673"/>
      <c r="Q134" s="673"/>
      <c r="R134" s="673"/>
      <c r="S134" s="673"/>
      <c r="T134" s="673"/>
      <c r="U134" s="673"/>
      <c r="V134" s="674"/>
      <c r="W134" s="1027"/>
      <c r="X134" s="1027"/>
      <c r="Y134" s="1027"/>
      <c r="Z134" s="1027"/>
      <c r="AA134" s="1027"/>
      <c r="AB134" s="1027"/>
      <c r="AC134" s="1027"/>
      <c r="AD134" s="1027"/>
      <c r="AE134" s="1027"/>
      <c r="AF134" s="1027"/>
      <c r="AG134" s="1027"/>
      <c r="AH134" s="1027"/>
      <c r="AI134" s="1027"/>
      <c r="AJ134" s="1027"/>
      <c r="AK134" s="1027"/>
      <c r="AL134" s="1027"/>
      <c r="AM134" s="1027"/>
      <c r="AN134" s="1027"/>
      <c r="AO134" s="1027"/>
      <c r="AP134" s="1027"/>
      <c r="AQ134" s="1027"/>
      <c r="AR134" s="1027"/>
      <c r="AS134" s="1027"/>
      <c r="AT134" s="1027"/>
      <c r="AU134" s="1027"/>
      <c r="AV134" s="1027"/>
    </row>
    <row r="135" spans="7:48">
      <c r="G135" s="673"/>
      <c r="H135" s="673"/>
      <c r="I135" s="673"/>
      <c r="J135" s="673"/>
      <c r="K135" s="673"/>
      <c r="L135" s="673"/>
      <c r="M135" s="673"/>
      <c r="N135" s="674"/>
      <c r="O135" s="673"/>
      <c r="P135" s="673"/>
      <c r="Q135" s="673"/>
      <c r="R135" s="673"/>
      <c r="S135" s="673"/>
      <c r="T135" s="673"/>
      <c r="U135" s="673"/>
      <c r="V135" s="674"/>
      <c r="W135" s="1027"/>
      <c r="X135" s="1027"/>
      <c r="Y135" s="1027"/>
      <c r="Z135" s="1027"/>
      <c r="AA135" s="1027"/>
      <c r="AB135" s="1027"/>
      <c r="AC135" s="1027"/>
      <c r="AD135" s="1027"/>
      <c r="AE135" s="1027"/>
      <c r="AF135" s="1027"/>
      <c r="AG135" s="1027"/>
      <c r="AH135" s="1027"/>
      <c r="AI135" s="1027"/>
      <c r="AJ135" s="1027"/>
      <c r="AK135" s="1027"/>
      <c r="AL135" s="1027"/>
      <c r="AM135" s="1027"/>
      <c r="AN135" s="1027"/>
      <c r="AO135" s="1027"/>
      <c r="AP135" s="1027"/>
      <c r="AQ135" s="1027"/>
      <c r="AR135" s="1027"/>
      <c r="AS135" s="1027"/>
      <c r="AT135" s="1027"/>
      <c r="AU135" s="1027"/>
      <c r="AV135" s="1027"/>
    </row>
    <row r="136" spans="7:48">
      <c r="G136" s="673"/>
      <c r="H136" s="673"/>
      <c r="I136" s="673"/>
      <c r="J136" s="673"/>
      <c r="K136" s="673"/>
      <c r="L136" s="673"/>
      <c r="M136" s="673"/>
      <c r="N136" s="674"/>
      <c r="O136" s="673"/>
      <c r="P136" s="673"/>
      <c r="Q136" s="673"/>
      <c r="R136" s="673"/>
      <c r="S136" s="673"/>
      <c r="T136" s="673"/>
      <c r="U136" s="673"/>
      <c r="V136" s="674"/>
      <c r="W136" s="1027"/>
      <c r="X136" s="1027"/>
      <c r="Y136" s="1027"/>
      <c r="Z136" s="1027"/>
      <c r="AA136" s="1027"/>
      <c r="AB136" s="1027"/>
      <c r="AC136" s="1027"/>
      <c r="AD136" s="1027"/>
      <c r="AE136" s="1027"/>
      <c r="AF136" s="1027"/>
      <c r="AG136" s="1027"/>
      <c r="AH136" s="1027"/>
      <c r="AI136" s="1027"/>
      <c r="AJ136" s="1027"/>
      <c r="AK136" s="1027"/>
      <c r="AL136" s="1027"/>
      <c r="AM136" s="1027"/>
      <c r="AN136" s="1027"/>
      <c r="AO136" s="1027"/>
      <c r="AP136" s="1027"/>
      <c r="AQ136" s="1027"/>
      <c r="AR136" s="1027"/>
      <c r="AS136" s="1027"/>
      <c r="AT136" s="1027"/>
      <c r="AU136" s="1027"/>
      <c r="AV136" s="1027"/>
    </row>
    <row r="137" spans="7:48">
      <c r="G137" s="673"/>
      <c r="H137" s="673"/>
      <c r="I137" s="673"/>
      <c r="J137" s="673"/>
      <c r="K137" s="673"/>
      <c r="L137" s="673"/>
      <c r="M137" s="673"/>
      <c r="N137" s="674"/>
      <c r="O137" s="673"/>
      <c r="P137" s="673"/>
      <c r="Q137" s="673"/>
      <c r="R137" s="673"/>
      <c r="S137" s="673"/>
      <c r="T137" s="673"/>
      <c r="U137" s="673"/>
      <c r="V137" s="674"/>
      <c r="W137" s="1027"/>
      <c r="X137" s="1027"/>
      <c r="Y137" s="1027"/>
      <c r="Z137" s="1027"/>
      <c r="AA137" s="1027"/>
      <c r="AB137" s="1027"/>
      <c r="AC137" s="1027"/>
      <c r="AD137" s="1027"/>
      <c r="AE137" s="1027"/>
      <c r="AF137" s="1027"/>
      <c r="AG137" s="1027"/>
      <c r="AH137" s="1027"/>
      <c r="AI137" s="1027"/>
      <c r="AJ137" s="1027"/>
      <c r="AK137" s="1027"/>
      <c r="AL137" s="1027"/>
      <c r="AM137" s="1027"/>
      <c r="AN137" s="1027"/>
      <c r="AO137" s="1027"/>
      <c r="AP137" s="1027"/>
      <c r="AQ137" s="1027"/>
      <c r="AR137" s="1027"/>
      <c r="AS137" s="1027"/>
      <c r="AT137" s="1027"/>
      <c r="AU137" s="1027"/>
      <c r="AV137" s="1027"/>
    </row>
    <row r="138" spans="7:48">
      <c r="G138" s="673"/>
      <c r="H138" s="673"/>
      <c r="I138" s="673"/>
      <c r="J138" s="673"/>
      <c r="K138" s="673"/>
      <c r="L138" s="673"/>
      <c r="M138" s="673"/>
      <c r="N138" s="674"/>
      <c r="O138" s="673"/>
      <c r="P138" s="673"/>
      <c r="Q138" s="673"/>
      <c r="R138" s="673"/>
      <c r="S138" s="673"/>
      <c r="T138" s="673"/>
      <c r="U138" s="673"/>
      <c r="V138" s="674"/>
      <c r="W138" s="1027"/>
      <c r="X138" s="1027"/>
      <c r="Y138" s="1027"/>
      <c r="Z138" s="1027"/>
      <c r="AA138" s="1027"/>
      <c r="AB138" s="1027"/>
      <c r="AC138" s="1027"/>
      <c r="AD138" s="1027"/>
      <c r="AE138" s="1027"/>
      <c r="AF138" s="1027"/>
      <c r="AG138" s="1027"/>
      <c r="AH138" s="1027"/>
      <c r="AI138" s="1027"/>
      <c r="AJ138" s="1027"/>
      <c r="AK138" s="1027"/>
      <c r="AL138" s="1027"/>
      <c r="AM138" s="1027"/>
      <c r="AN138" s="1027"/>
      <c r="AO138" s="1027"/>
      <c r="AP138" s="1027"/>
      <c r="AQ138" s="1027"/>
      <c r="AR138" s="1027"/>
      <c r="AS138" s="1027"/>
      <c r="AT138" s="1027"/>
      <c r="AU138" s="1027"/>
      <c r="AV138" s="1027"/>
    </row>
    <row r="139" spans="7:48">
      <c r="G139" s="673"/>
      <c r="H139" s="673"/>
      <c r="I139" s="673"/>
      <c r="J139" s="673"/>
      <c r="K139" s="673"/>
      <c r="L139" s="673"/>
      <c r="M139" s="673"/>
      <c r="N139" s="674"/>
      <c r="O139" s="673"/>
      <c r="P139" s="673"/>
      <c r="Q139" s="673"/>
      <c r="R139" s="673"/>
      <c r="S139" s="673"/>
      <c r="T139" s="673"/>
      <c r="U139" s="673"/>
      <c r="V139" s="674"/>
      <c r="W139" s="1027"/>
      <c r="X139" s="1027"/>
      <c r="Y139" s="1027"/>
      <c r="Z139" s="1027"/>
      <c r="AA139" s="1027"/>
      <c r="AB139" s="1027"/>
      <c r="AC139" s="1027"/>
      <c r="AD139" s="1027"/>
      <c r="AE139" s="1027"/>
      <c r="AF139" s="1027"/>
      <c r="AG139" s="1027"/>
      <c r="AH139" s="1027"/>
      <c r="AI139" s="1027"/>
      <c r="AJ139" s="1027"/>
      <c r="AK139" s="1027"/>
      <c r="AL139" s="1027"/>
      <c r="AM139" s="1027"/>
      <c r="AN139" s="1027"/>
      <c r="AO139" s="1027"/>
      <c r="AP139" s="1027"/>
      <c r="AQ139" s="1027"/>
      <c r="AR139" s="1027"/>
      <c r="AS139" s="1027"/>
      <c r="AT139" s="1027"/>
      <c r="AU139" s="1027"/>
      <c r="AV139" s="1027"/>
    </row>
    <row r="140" spans="7:48">
      <c r="G140" s="673"/>
      <c r="H140" s="673"/>
      <c r="I140" s="673"/>
      <c r="J140" s="673"/>
      <c r="K140" s="673"/>
      <c r="L140" s="673"/>
      <c r="M140" s="673"/>
      <c r="N140" s="674"/>
      <c r="O140" s="673"/>
      <c r="P140" s="673"/>
      <c r="Q140" s="673"/>
      <c r="R140" s="673"/>
      <c r="S140" s="673"/>
      <c r="T140" s="673"/>
      <c r="U140" s="673"/>
      <c r="V140" s="674"/>
      <c r="W140" s="1027"/>
      <c r="X140" s="1027"/>
      <c r="Y140" s="1027"/>
      <c r="Z140" s="1027"/>
      <c r="AA140" s="1027"/>
      <c r="AB140" s="1027"/>
      <c r="AC140" s="1027"/>
      <c r="AD140" s="1027"/>
      <c r="AE140" s="1027"/>
      <c r="AF140" s="1027"/>
      <c r="AG140" s="1027"/>
      <c r="AH140" s="1027"/>
      <c r="AI140" s="1027"/>
      <c r="AJ140" s="1027"/>
      <c r="AK140" s="1027"/>
      <c r="AL140" s="1027"/>
      <c r="AM140" s="1027"/>
      <c r="AN140" s="1027"/>
      <c r="AO140" s="1027"/>
      <c r="AP140" s="1027"/>
      <c r="AQ140" s="1027"/>
      <c r="AR140" s="1027"/>
      <c r="AS140" s="1027"/>
      <c r="AT140" s="1027"/>
      <c r="AU140" s="1027"/>
      <c r="AV140" s="1027"/>
    </row>
    <row r="141" spans="7:48">
      <c r="G141" s="673"/>
      <c r="H141" s="673"/>
      <c r="I141" s="673"/>
      <c r="J141" s="673"/>
      <c r="K141" s="673"/>
      <c r="L141" s="673"/>
      <c r="M141" s="673"/>
      <c r="N141" s="674"/>
      <c r="O141" s="673"/>
      <c r="P141" s="673"/>
      <c r="Q141" s="673"/>
      <c r="R141" s="673"/>
      <c r="S141" s="673"/>
      <c r="T141" s="673"/>
      <c r="U141" s="673"/>
      <c r="V141" s="674"/>
      <c r="W141" s="1027"/>
      <c r="X141" s="1027"/>
      <c r="Y141" s="1027"/>
      <c r="Z141" s="1027"/>
      <c r="AA141" s="1027"/>
      <c r="AB141" s="1027"/>
      <c r="AC141" s="1027"/>
      <c r="AD141" s="1027"/>
      <c r="AE141" s="1027"/>
      <c r="AF141" s="1027"/>
      <c r="AG141" s="1027"/>
      <c r="AH141" s="1027"/>
      <c r="AI141" s="1027"/>
      <c r="AJ141" s="1027"/>
      <c r="AK141" s="1027"/>
      <c r="AL141" s="1027"/>
      <c r="AM141" s="1027"/>
      <c r="AN141" s="1027"/>
      <c r="AO141" s="1027"/>
      <c r="AP141" s="1027"/>
      <c r="AQ141" s="1027"/>
      <c r="AR141" s="1027"/>
      <c r="AS141" s="1027"/>
      <c r="AT141" s="1027"/>
      <c r="AU141" s="1027"/>
      <c r="AV141" s="1027"/>
    </row>
    <row r="142" spans="7:48">
      <c r="G142" s="673"/>
      <c r="H142" s="673"/>
      <c r="I142" s="673"/>
      <c r="J142" s="673"/>
      <c r="K142" s="673"/>
      <c r="L142" s="673"/>
      <c r="M142" s="673"/>
      <c r="N142" s="674"/>
      <c r="O142" s="673"/>
      <c r="P142" s="673"/>
      <c r="Q142" s="673"/>
      <c r="R142" s="673"/>
      <c r="S142" s="673"/>
      <c r="T142" s="673"/>
      <c r="U142" s="673"/>
      <c r="V142" s="674"/>
      <c r="W142" s="1027"/>
      <c r="X142" s="1027"/>
      <c r="Y142" s="1027"/>
      <c r="Z142" s="1027"/>
      <c r="AA142" s="1027"/>
      <c r="AB142" s="1027"/>
      <c r="AC142" s="1027"/>
      <c r="AD142" s="1027"/>
      <c r="AE142" s="1027"/>
      <c r="AF142" s="1027"/>
      <c r="AG142" s="1027"/>
      <c r="AH142" s="1027"/>
      <c r="AI142" s="1027"/>
      <c r="AJ142" s="1027"/>
      <c r="AK142" s="1027"/>
      <c r="AL142" s="1027"/>
      <c r="AM142" s="1027"/>
      <c r="AN142" s="1027"/>
      <c r="AO142" s="1027"/>
      <c r="AP142" s="1027"/>
      <c r="AQ142" s="1027"/>
      <c r="AR142" s="1027"/>
      <c r="AS142" s="1027"/>
      <c r="AT142" s="1027"/>
      <c r="AU142" s="1027"/>
      <c r="AV142" s="1027"/>
    </row>
    <row r="143" spans="7:48">
      <c r="G143" s="673"/>
      <c r="H143" s="673"/>
      <c r="I143" s="673"/>
      <c r="J143" s="673"/>
      <c r="K143" s="673"/>
      <c r="L143" s="673"/>
      <c r="M143" s="673"/>
      <c r="N143" s="674"/>
      <c r="O143" s="673"/>
      <c r="P143" s="673"/>
      <c r="Q143" s="673"/>
      <c r="R143" s="673"/>
      <c r="S143" s="673"/>
      <c r="T143" s="673"/>
      <c r="U143" s="673"/>
      <c r="V143" s="674"/>
      <c r="W143" s="1027"/>
      <c r="X143" s="1027"/>
      <c r="Y143" s="1027"/>
      <c r="Z143" s="1027"/>
      <c r="AA143" s="1027"/>
      <c r="AB143" s="1027"/>
      <c r="AC143" s="1027"/>
      <c r="AD143" s="1027"/>
      <c r="AE143" s="1027"/>
      <c r="AF143" s="1027"/>
      <c r="AG143" s="1027"/>
      <c r="AH143" s="1027"/>
      <c r="AI143" s="1027"/>
      <c r="AJ143" s="1027"/>
      <c r="AK143" s="1027"/>
      <c r="AL143" s="1027"/>
      <c r="AM143" s="1027"/>
      <c r="AN143" s="1027"/>
      <c r="AO143" s="1027"/>
      <c r="AP143" s="1027"/>
      <c r="AQ143" s="1027"/>
      <c r="AR143" s="1027"/>
      <c r="AS143" s="1027"/>
      <c r="AT143" s="1027"/>
      <c r="AU143" s="1027"/>
      <c r="AV143" s="1027"/>
    </row>
    <row r="144" spans="7:48">
      <c r="G144" s="673"/>
      <c r="H144" s="673"/>
      <c r="I144" s="673"/>
      <c r="J144" s="673"/>
      <c r="K144" s="673"/>
      <c r="L144" s="673"/>
      <c r="M144" s="673"/>
      <c r="N144" s="674"/>
      <c r="O144" s="673"/>
      <c r="P144" s="673"/>
      <c r="Q144" s="673"/>
      <c r="R144" s="673"/>
      <c r="S144" s="673"/>
      <c r="T144" s="673"/>
      <c r="U144" s="673"/>
      <c r="V144" s="674"/>
      <c r="W144" s="1027"/>
      <c r="X144" s="1027"/>
      <c r="Y144" s="1027"/>
      <c r="Z144" s="1027"/>
      <c r="AA144" s="1027"/>
      <c r="AB144" s="1027"/>
      <c r="AC144" s="1027"/>
      <c r="AD144" s="1027"/>
      <c r="AE144" s="1027"/>
      <c r="AF144" s="1027"/>
      <c r="AG144" s="1027"/>
      <c r="AH144" s="1027"/>
      <c r="AI144" s="1027"/>
      <c r="AJ144" s="1027"/>
      <c r="AK144" s="1027"/>
      <c r="AL144" s="1027"/>
      <c r="AM144" s="1027"/>
      <c r="AN144" s="1027"/>
      <c r="AO144" s="1027"/>
      <c r="AP144" s="1027"/>
      <c r="AQ144" s="1027"/>
      <c r="AR144" s="1027"/>
      <c r="AS144" s="1027"/>
      <c r="AT144" s="1027"/>
      <c r="AU144" s="1027"/>
      <c r="AV144" s="1027"/>
    </row>
    <row r="145" spans="7:48">
      <c r="G145" s="673"/>
      <c r="H145" s="673"/>
      <c r="I145" s="673"/>
      <c r="J145" s="673"/>
      <c r="K145" s="673"/>
      <c r="L145" s="673"/>
      <c r="M145" s="673"/>
      <c r="N145" s="674"/>
      <c r="O145" s="673"/>
      <c r="P145" s="673"/>
      <c r="Q145" s="673"/>
      <c r="R145" s="673"/>
      <c r="S145" s="673"/>
      <c r="T145" s="673"/>
      <c r="U145" s="673"/>
      <c r="V145" s="674"/>
      <c r="W145" s="1027"/>
      <c r="X145" s="1027"/>
      <c r="Y145" s="1027"/>
      <c r="Z145" s="1027"/>
      <c r="AA145" s="1027"/>
      <c r="AB145" s="1027"/>
      <c r="AC145" s="1027"/>
      <c r="AD145" s="1027"/>
      <c r="AE145" s="1027"/>
      <c r="AF145" s="1027"/>
      <c r="AG145" s="1027"/>
      <c r="AH145" s="1027"/>
      <c r="AI145" s="1027"/>
      <c r="AJ145" s="1027"/>
      <c r="AK145" s="1027"/>
      <c r="AL145" s="1027"/>
      <c r="AM145" s="1027"/>
      <c r="AN145" s="1027"/>
      <c r="AO145" s="1027"/>
      <c r="AP145" s="1027"/>
      <c r="AQ145" s="1027"/>
      <c r="AR145" s="1027"/>
      <c r="AS145" s="1027"/>
      <c r="AT145" s="1027"/>
      <c r="AU145" s="1027"/>
      <c r="AV145" s="1027"/>
    </row>
    <row r="146" spans="7:48">
      <c r="G146" s="673"/>
      <c r="H146" s="673"/>
      <c r="I146" s="673"/>
      <c r="J146" s="673"/>
      <c r="K146" s="673"/>
      <c r="L146" s="673"/>
      <c r="M146" s="673"/>
      <c r="N146" s="674"/>
      <c r="O146" s="673"/>
      <c r="P146" s="673"/>
      <c r="Q146" s="673"/>
      <c r="R146" s="673"/>
      <c r="S146" s="673"/>
      <c r="T146" s="673"/>
      <c r="U146" s="673"/>
      <c r="V146" s="674"/>
      <c r="W146" s="1027"/>
      <c r="X146" s="1027"/>
      <c r="Y146" s="1027"/>
      <c r="Z146" s="1027"/>
      <c r="AA146" s="1027"/>
      <c r="AB146" s="1027"/>
      <c r="AC146" s="1027"/>
      <c r="AD146" s="1027"/>
      <c r="AE146" s="1027"/>
      <c r="AF146" s="1027"/>
      <c r="AG146" s="1027"/>
      <c r="AH146" s="1027"/>
      <c r="AI146" s="1027"/>
      <c r="AJ146" s="1027"/>
      <c r="AK146" s="1027"/>
      <c r="AL146" s="1027"/>
      <c r="AM146" s="1027"/>
      <c r="AN146" s="1027"/>
      <c r="AO146" s="1027"/>
      <c r="AP146" s="1027"/>
      <c r="AQ146" s="1027"/>
      <c r="AR146" s="1027"/>
      <c r="AS146" s="1027"/>
      <c r="AT146" s="1027"/>
      <c r="AU146" s="1027"/>
      <c r="AV146" s="1027"/>
    </row>
    <row r="147" spans="7:48">
      <c r="G147" s="673"/>
      <c r="H147" s="673"/>
      <c r="I147" s="673"/>
      <c r="J147" s="673"/>
      <c r="K147" s="673"/>
      <c r="L147" s="673"/>
      <c r="M147" s="673"/>
      <c r="N147" s="674"/>
      <c r="O147" s="673"/>
      <c r="P147" s="673"/>
      <c r="Q147" s="673"/>
      <c r="R147" s="673"/>
      <c r="S147" s="673"/>
      <c r="T147" s="673"/>
      <c r="U147" s="673"/>
      <c r="V147" s="674"/>
      <c r="W147" s="1027"/>
      <c r="X147" s="1027"/>
      <c r="Y147" s="1027"/>
      <c r="Z147" s="1027"/>
      <c r="AA147" s="1027"/>
      <c r="AB147" s="1027"/>
      <c r="AC147" s="1027"/>
      <c r="AD147" s="1027"/>
      <c r="AE147" s="1027"/>
      <c r="AF147" s="1027"/>
      <c r="AG147" s="1027"/>
      <c r="AH147" s="1027"/>
      <c r="AI147" s="1027"/>
      <c r="AJ147" s="1027"/>
      <c r="AK147" s="1027"/>
      <c r="AL147" s="1027"/>
      <c r="AM147" s="1027"/>
      <c r="AN147" s="1027"/>
      <c r="AO147" s="1027"/>
      <c r="AP147" s="1027"/>
      <c r="AQ147" s="1027"/>
      <c r="AR147" s="1027"/>
      <c r="AS147" s="1027"/>
      <c r="AT147" s="1027"/>
      <c r="AU147" s="1027"/>
      <c r="AV147" s="1027"/>
    </row>
    <row r="148" spans="7:48">
      <c r="G148" s="673"/>
      <c r="H148" s="673"/>
      <c r="I148" s="673"/>
      <c r="J148" s="673"/>
      <c r="K148" s="673"/>
      <c r="L148" s="673"/>
      <c r="M148" s="673"/>
      <c r="N148" s="674"/>
      <c r="O148" s="673"/>
      <c r="P148" s="673"/>
      <c r="Q148" s="673"/>
      <c r="R148" s="673"/>
      <c r="S148" s="673"/>
      <c r="T148" s="673"/>
      <c r="U148" s="673"/>
      <c r="V148" s="674"/>
      <c r="W148" s="1027"/>
      <c r="X148" s="1027"/>
      <c r="Y148" s="1027"/>
      <c r="Z148" s="1027"/>
      <c r="AA148" s="1027"/>
      <c r="AB148" s="1027"/>
      <c r="AC148" s="1027"/>
      <c r="AD148" s="1027"/>
      <c r="AE148" s="1027"/>
      <c r="AF148" s="1027"/>
      <c r="AG148" s="1027"/>
      <c r="AH148" s="1027"/>
      <c r="AI148" s="1027"/>
      <c r="AJ148" s="1027"/>
      <c r="AK148" s="1027"/>
      <c r="AL148" s="1027"/>
      <c r="AM148" s="1027"/>
      <c r="AN148" s="1027"/>
      <c r="AO148" s="1027"/>
      <c r="AP148" s="1027"/>
      <c r="AQ148" s="1027"/>
      <c r="AR148" s="1027"/>
      <c r="AS148" s="1027"/>
      <c r="AT148" s="1027"/>
      <c r="AU148" s="1027"/>
      <c r="AV148" s="1027"/>
    </row>
    <row r="149" spans="7:48">
      <c r="G149" s="673"/>
      <c r="H149" s="673"/>
      <c r="I149" s="673"/>
      <c r="J149" s="673"/>
      <c r="K149" s="673"/>
      <c r="L149" s="673"/>
      <c r="M149" s="673"/>
      <c r="N149" s="674"/>
      <c r="O149" s="673"/>
      <c r="P149" s="673"/>
      <c r="Q149" s="673"/>
      <c r="R149" s="673"/>
      <c r="S149" s="673"/>
      <c r="T149" s="673"/>
      <c r="U149" s="673"/>
      <c r="V149" s="674"/>
      <c r="W149" s="1027"/>
      <c r="X149" s="1027"/>
      <c r="Y149" s="1027"/>
      <c r="Z149" s="1027"/>
      <c r="AA149" s="1027"/>
      <c r="AB149" s="1027"/>
      <c r="AC149" s="1027"/>
      <c r="AD149" s="1027"/>
      <c r="AE149" s="1027"/>
      <c r="AF149" s="1027"/>
      <c r="AG149" s="1027"/>
      <c r="AH149" s="1027"/>
      <c r="AI149" s="1027"/>
      <c r="AJ149" s="1027"/>
      <c r="AK149" s="1027"/>
      <c r="AL149" s="1027"/>
      <c r="AM149" s="1027"/>
      <c r="AN149" s="1027"/>
      <c r="AO149" s="1027"/>
      <c r="AP149" s="1027"/>
      <c r="AQ149" s="1027"/>
      <c r="AR149" s="1027"/>
      <c r="AS149" s="1027"/>
      <c r="AT149" s="1027"/>
      <c r="AU149" s="1027"/>
      <c r="AV149" s="1027"/>
    </row>
    <row r="150" spans="7:48">
      <c r="G150" s="673"/>
      <c r="H150" s="673"/>
      <c r="I150" s="673"/>
      <c r="J150" s="673"/>
      <c r="K150" s="673"/>
      <c r="L150" s="673"/>
      <c r="M150" s="673"/>
      <c r="N150" s="674"/>
      <c r="O150" s="673"/>
      <c r="P150" s="673"/>
      <c r="Q150" s="673"/>
      <c r="R150" s="673"/>
      <c r="S150" s="673"/>
      <c r="T150" s="673"/>
      <c r="U150" s="673"/>
      <c r="V150" s="674"/>
      <c r="W150" s="1027"/>
      <c r="X150" s="1027"/>
      <c r="Y150" s="1027"/>
      <c r="Z150" s="1027"/>
      <c r="AA150" s="1027"/>
      <c r="AB150" s="1027"/>
      <c r="AC150" s="1027"/>
      <c r="AD150" s="1027"/>
      <c r="AE150" s="1027"/>
      <c r="AF150" s="1027"/>
      <c r="AG150" s="1027"/>
      <c r="AH150" s="1027"/>
      <c r="AI150" s="1027"/>
      <c r="AJ150" s="1027"/>
      <c r="AK150" s="1027"/>
      <c r="AL150" s="1027"/>
      <c r="AM150" s="1027"/>
      <c r="AN150" s="1027"/>
      <c r="AO150" s="1027"/>
      <c r="AP150" s="1027"/>
      <c r="AQ150" s="1027"/>
      <c r="AR150" s="1027"/>
      <c r="AS150" s="1027"/>
      <c r="AT150" s="1027"/>
      <c r="AU150" s="1027"/>
      <c r="AV150" s="1027"/>
    </row>
    <row r="151" spans="7:48">
      <c r="G151" s="673"/>
      <c r="H151" s="673"/>
      <c r="I151" s="673"/>
      <c r="J151" s="673"/>
      <c r="K151" s="673"/>
      <c r="L151" s="673"/>
      <c r="M151" s="673"/>
      <c r="N151" s="674"/>
      <c r="O151" s="673"/>
      <c r="P151" s="673"/>
      <c r="Q151" s="673"/>
      <c r="R151" s="673"/>
      <c r="S151" s="673"/>
      <c r="T151" s="673"/>
      <c r="U151" s="673"/>
      <c r="V151" s="674"/>
      <c r="W151" s="1027"/>
      <c r="X151" s="1027"/>
      <c r="Y151" s="1027"/>
      <c r="Z151" s="1027"/>
      <c r="AA151" s="1027"/>
      <c r="AB151" s="1027"/>
      <c r="AC151" s="1027"/>
      <c r="AD151" s="1027"/>
      <c r="AE151" s="1027"/>
      <c r="AF151" s="1027"/>
      <c r="AG151" s="1027"/>
      <c r="AH151" s="1027"/>
      <c r="AI151" s="1027"/>
      <c r="AJ151" s="1027"/>
      <c r="AK151" s="1027"/>
      <c r="AL151" s="1027"/>
      <c r="AM151" s="1027"/>
      <c r="AN151" s="1027"/>
      <c r="AO151" s="1027"/>
      <c r="AP151" s="1027"/>
      <c r="AQ151" s="1027"/>
      <c r="AR151" s="1027"/>
      <c r="AS151" s="1027"/>
      <c r="AT151" s="1027"/>
      <c r="AU151" s="1027"/>
      <c r="AV151" s="1027"/>
    </row>
    <row r="152" spans="7:48">
      <c r="G152" s="673"/>
      <c r="H152" s="673"/>
      <c r="I152" s="673"/>
      <c r="J152" s="673"/>
      <c r="K152" s="673"/>
      <c r="L152" s="673"/>
      <c r="M152" s="673"/>
      <c r="N152" s="674"/>
      <c r="O152" s="673"/>
      <c r="P152" s="673"/>
      <c r="Q152" s="673"/>
      <c r="R152" s="673"/>
      <c r="S152" s="673"/>
      <c r="T152" s="673"/>
      <c r="U152" s="673"/>
      <c r="V152" s="674"/>
      <c r="W152" s="1027"/>
      <c r="X152" s="1027"/>
      <c r="Y152" s="1027"/>
      <c r="Z152" s="1027"/>
      <c r="AA152" s="1027"/>
      <c r="AB152" s="1027"/>
      <c r="AC152" s="1027"/>
      <c r="AD152" s="1027"/>
      <c r="AE152" s="1027"/>
      <c r="AF152" s="1027"/>
      <c r="AG152" s="1027"/>
      <c r="AH152" s="1027"/>
      <c r="AI152" s="1027"/>
      <c r="AJ152" s="1027"/>
      <c r="AK152" s="1027"/>
      <c r="AL152" s="1027"/>
      <c r="AM152" s="1027"/>
      <c r="AN152" s="1027"/>
      <c r="AO152" s="1027"/>
      <c r="AP152" s="1027"/>
      <c r="AQ152" s="1027"/>
      <c r="AR152" s="1027"/>
      <c r="AS152" s="1027"/>
      <c r="AT152" s="1027"/>
      <c r="AU152" s="1027"/>
      <c r="AV152" s="1027"/>
    </row>
    <row r="153" spans="7:48">
      <c r="G153" s="673"/>
      <c r="H153" s="673"/>
      <c r="I153" s="673"/>
      <c r="J153" s="673"/>
      <c r="K153" s="673"/>
      <c r="L153" s="673"/>
      <c r="M153" s="673"/>
      <c r="N153" s="674"/>
      <c r="O153" s="673"/>
      <c r="P153" s="673"/>
      <c r="Q153" s="673"/>
      <c r="R153" s="673"/>
      <c r="S153" s="673"/>
      <c r="T153" s="673"/>
      <c r="U153" s="673"/>
      <c r="V153" s="674"/>
      <c r="W153" s="1027"/>
      <c r="X153" s="1027"/>
      <c r="Y153" s="1027"/>
      <c r="Z153" s="1027"/>
      <c r="AA153" s="1027"/>
      <c r="AB153" s="1027"/>
      <c r="AC153" s="1027"/>
      <c r="AD153" s="1027"/>
      <c r="AE153" s="1027"/>
      <c r="AF153" s="1027"/>
      <c r="AG153" s="1027"/>
      <c r="AH153" s="1027"/>
      <c r="AI153" s="1027"/>
      <c r="AJ153" s="1027"/>
      <c r="AK153" s="1027"/>
      <c r="AL153" s="1027"/>
      <c r="AM153" s="1027"/>
      <c r="AN153" s="1027"/>
      <c r="AO153" s="1027"/>
      <c r="AP153" s="1027"/>
      <c r="AQ153" s="1027"/>
      <c r="AR153" s="1027"/>
      <c r="AS153" s="1027"/>
      <c r="AT153" s="1027"/>
      <c r="AU153" s="1027"/>
      <c r="AV153" s="1027"/>
    </row>
    <row r="154" spans="7:48">
      <c r="G154" s="673"/>
      <c r="H154" s="673"/>
      <c r="I154" s="673"/>
      <c r="J154" s="673"/>
      <c r="K154" s="673"/>
      <c r="L154" s="673"/>
      <c r="M154" s="673"/>
      <c r="N154" s="674"/>
      <c r="O154" s="673"/>
      <c r="P154" s="673"/>
      <c r="Q154" s="673"/>
      <c r="R154" s="673"/>
      <c r="S154" s="673"/>
      <c r="T154" s="673"/>
      <c r="U154" s="673"/>
      <c r="V154" s="674"/>
      <c r="W154" s="1027"/>
      <c r="X154" s="1027"/>
      <c r="Y154" s="1027"/>
      <c r="Z154" s="1027"/>
      <c r="AA154" s="1027"/>
      <c r="AB154" s="1027"/>
      <c r="AC154" s="1027"/>
      <c r="AD154" s="1027"/>
      <c r="AE154" s="1027"/>
      <c r="AF154" s="1027"/>
      <c r="AG154" s="1027"/>
      <c r="AH154" s="1027"/>
      <c r="AI154" s="1027"/>
      <c r="AJ154" s="1027"/>
      <c r="AK154" s="1027"/>
      <c r="AL154" s="1027"/>
      <c r="AM154" s="1027"/>
      <c r="AN154" s="1027"/>
      <c r="AO154" s="1027"/>
      <c r="AP154" s="1027"/>
      <c r="AQ154" s="1027"/>
      <c r="AR154" s="1027"/>
      <c r="AS154" s="1027"/>
      <c r="AT154" s="1027"/>
      <c r="AU154" s="1027"/>
      <c r="AV154" s="1027"/>
    </row>
    <row r="155" spans="7:48">
      <c r="G155" s="673"/>
      <c r="H155" s="673"/>
      <c r="I155" s="673"/>
      <c r="J155" s="673"/>
      <c r="K155" s="673"/>
      <c r="L155" s="673"/>
      <c r="M155" s="673"/>
      <c r="N155" s="674"/>
      <c r="O155" s="673"/>
      <c r="P155" s="673"/>
      <c r="Q155" s="673"/>
      <c r="R155" s="673"/>
      <c r="S155" s="673"/>
      <c r="T155" s="673"/>
      <c r="U155" s="673"/>
      <c r="V155" s="674"/>
      <c r="W155" s="1027"/>
      <c r="X155" s="1027"/>
      <c r="Y155" s="1027"/>
      <c r="Z155" s="1027"/>
      <c r="AA155" s="1027"/>
      <c r="AB155" s="1027"/>
      <c r="AC155" s="1027"/>
      <c r="AD155" s="1027"/>
      <c r="AE155" s="1027"/>
      <c r="AF155" s="1027"/>
      <c r="AG155" s="1027"/>
      <c r="AH155" s="1027"/>
      <c r="AI155" s="1027"/>
      <c r="AJ155" s="1027"/>
      <c r="AK155" s="1027"/>
      <c r="AL155" s="1027"/>
      <c r="AM155" s="1027"/>
      <c r="AN155" s="1027"/>
      <c r="AO155" s="1027"/>
      <c r="AP155" s="1027"/>
      <c r="AQ155" s="1027"/>
      <c r="AR155" s="1027"/>
      <c r="AS155" s="1027"/>
      <c r="AT155" s="1027"/>
      <c r="AU155" s="1027"/>
      <c r="AV155" s="1027"/>
    </row>
    <row r="156" spans="7:48">
      <c r="G156" s="673"/>
      <c r="H156" s="673"/>
      <c r="I156" s="673"/>
      <c r="J156" s="673"/>
      <c r="K156" s="673"/>
      <c r="L156" s="673"/>
      <c r="M156" s="673"/>
      <c r="N156" s="674"/>
      <c r="O156" s="673"/>
      <c r="P156" s="673"/>
      <c r="Q156" s="673"/>
      <c r="R156" s="673"/>
      <c r="S156" s="673"/>
      <c r="T156" s="673"/>
      <c r="U156" s="673"/>
      <c r="V156" s="674"/>
      <c r="W156" s="1027"/>
      <c r="X156" s="1027"/>
      <c r="Y156" s="1027"/>
      <c r="Z156" s="1027"/>
      <c r="AA156" s="1027"/>
      <c r="AB156" s="1027"/>
      <c r="AC156" s="1027"/>
      <c r="AD156" s="1027"/>
      <c r="AE156" s="1027"/>
      <c r="AF156" s="1027"/>
      <c r="AG156" s="1027"/>
      <c r="AH156" s="1027"/>
      <c r="AI156" s="1027"/>
      <c r="AJ156" s="1027"/>
      <c r="AK156" s="1027"/>
      <c r="AL156" s="1027"/>
      <c r="AM156" s="1027"/>
      <c r="AN156" s="1027"/>
      <c r="AO156" s="1027"/>
      <c r="AP156" s="1027"/>
      <c r="AQ156" s="1027"/>
      <c r="AR156" s="1027"/>
      <c r="AS156" s="1027"/>
      <c r="AT156" s="1027"/>
      <c r="AU156" s="1027"/>
      <c r="AV156" s="1027"/>
    </row>
    <row r="157" spans="7:48">
      <c r="G157" s="673"/>
      <c r="H157" s="673"/>
      <c r="I157" s="673"/>
      <c r="J157" s="673"/>
      <c r="K157" s="673"/>
      <c r="L157" s="673"/>
      <c r="M157" s="673"/>
      <c r="N157" s="674"/>
      <c r="O157" s="673"/>
      <c r="P157" s="673"/>
      <c r="Q157" s="673"/>
      <c r="R157" s="673"/>
      <c r="S157" s="673"/>
      <c r="T157" s="673"/>
      <c r="U157" s="673"/>
      <c r="V157" s="674"/>
      <c r="W157" s="1027"/>
      <c r="X157" s="1027"/>
      <c r="Y157" s="1027"/>
      <c r="Z157" s="1027"/>
      <c r="AA157" s="1027"/>
      <c r="AB157" s="1027"/>
      <c r="AC157" s="1027"/>
      <c r="AD157" s="1027"/>
      <c r="AE157" s="1027"/>
      <c r="AF157" s="1027"/>
      <c r="AG157" s="1027"/>
      <c r="AH157" s="1027"/>
      <c r="AI157" s="1027"/>
      <c r="AJ157" s="1027"/>
      <c r="AK157" s="1027"/>
      <c r="AL157" s="1027"/>
      <c r="AM157" s="1027"/>
      <c r="AN157" s="1027"/>
      <c r="AO157" s="1027"/>
      <c r="AP157" s="1027"/>
      <c r="AQ157" s="1027"/>
      <c r="AR157" s="1027"/>
      <c r="AS157" s="1027"/>
      <c r="AT157" s="1027"/>
      <c r="AU157" s="1027"/>
      <c r="AV157" s="1027"/>
    </row>
    <row r="158" spans="7:48">
      <c r="G158" s="673"/>
      <c r="H158" s="673"/>
      <c r="I158" s="673"/>
      <c r="J158" s="673"/>
      <c r="K158" s="673"/>
      <c r="L158" s="673"/>
      <c r="M158" s="673"/>
      <c r="N158" s="674"/>
      <c r="O158" s="673"/>
      <c r="P158" s="673"/>
      <c r="Q158" s="673"/>
      <c r="R158" s="673"/>
      <c r="S158" s="673"/>
      <c r="T158" s="673"/>
      <c r="U158" s="673"/>
      <c r="V158" s="674"/>
      <c r="W158" s="1027"/>
      <c r="X158" s="1027"/>
      <c r="Y158" s="1027"/>
      <c r="Z158" s="1027"/>
      <c r="AA158" s="1027"/>
      <c r="AB158" s="1027"/>
      <c r="AC158" s="1027"/>
      <c r="AD158" s="1027"/>
      <c r="AE158" s="1027"/>
      <c r="AF158" s="1027"/>
      <c r="AG158" s="1027"/>
      <c r="AH158" s="1027"/>
      <c r="AI158" s="1027"/>
      <c r="AJ158" s="1027"/>
      <c r="AK158" s="1027"/>
      <c r="AL158" s="1027"/>
      <c r="AM158" s="1027"/>
      <c r="AN158" s="1027"/>
      <c r="AO158" s="1027"/>
      <c r="AP158" s="1027"/>
      <c r="AQ158" s="1027"/>
      <c r="AR158" s="1027"/>
      <c r="AS158" s="1027"/>
      <c r="AT158" s="1027"/>
      <c r="AU158" s="1027"/>
      <c r="AV158" s="1027"/>
    </row>
    <row r="159" spans="7:48">
      <c r="G159" s="673"/>
      <c r="H159" s="673"/>
      <c r="I159" s="673"/>
      <c r="J159" s="673"/>
      <c r="K159" s="673"/>
      <c r="L159" s="673"/>
      <c r="M159" s="673"/>
      <c r="N159" s="674"/>
      <c r="O159" s="673"/>
      <c r="P159" s="673"/>
      <c r="Q159" s="673"/>
      <c r="R159" s="673"/>
      <c r="S159" s="673"/>
      <c r="T159" s="673"/>
      <c r="U159" s="673"/>
      <c r="V159" s="674"/>
      <c r="W159" s="1027"/>
      <c r="X159" s="1027"/>
      <c r="Y159" s="1027"/>
      <c r="Z159" s="1027"/>
      <c r="AA159" s="1027"/>
      <c r="AB159" s="1027"/>
      <c r="AC159" s="1027"/>
      <c r="AD159" s="1027"/>
      <c r="AE159" s="1027"/>
      <c r="AF159" s="1027"/>
      <c r="AG159" s="1027"/>
      <c r="AH159" s="1027"/>
      <c r="AI159" s="1027"/>
      <c r="AJ159" s="1027"/>
      <c r="AK159" s="1027"/>
      <c r="AL159" s="1027"/>
      <c r="AM159" s="1027"/>
      <c r="AN159" s="1027"/>
      <c r="AO159" s="1027"/>
      <c r="AP159" s="1027"/>
      <c r="AQ159" s="1027"/>
      <c r="AR159" s="1027"/>
      <c r="AS159" s="1027"/>
      <c r="AT159" s="1027"/>
      <c r="AU159" s="1027"/>
      <c r="AV159" s="1027"/>
    </row>
    <row r="160" spans="7:48">
      <c r="G160" s="673"/>
      <c r="H160" s="673"/>
      <c r="I160" s="673"/>
      <c r="J160" s="673"/>
      <c r="K160" s="673"/>
      <c r="L160" s="673"/>
      <c r="M160" s="673"/>
      <c r="N160" s="674"/>
      <c r="O160" s="673"/>
      <c r="P160" s="673"/>
      <c r="Q160" s="673"/>
      <c r="R160" s="673"/>
      <c r="S160" s="673"/>
      <c r="T160" s="673"/>
      <c r="U160" s="673"/>
      <c r="V160" s="674"/>
      <c r="W160" s="1027"/>
      <c r="X160" s="1027"/>
      <c r="Y160" s="1027"/>
      <c r="Z160" s="1027"/>
      <c r="AA160" s="1027"/>
      <c r="AB160" s="1027"/>
      <c r="AC160" s="1027"/>
      <c r="AD160" s="1027"/>
      <c r="AE160" s="1027"/>
      <c r="AF160" s="1027"/>
      <c r="AG160" s="1027"/>
      <c r="AH160" s="1027"/>
      <c r="AI160" s="1027"/>
      <c r="AJ160" s="1027"/>
      <c r="AK160" s="1027"/>
      <c r="AL160" s="1027"/>
      <c r="AM160" s="1027"/>
      <c r="AN160" s="1027"/>
      <c r="AO160" s="1027"/>
      <c r="AP160" s="1027"/>
      <c r="AQ160" s="1027"/>
      <c r="AR160" s="1027"/>
      <c r="AS160" s="1027"/>
      <c r="AT160" s="1027"/>
      <c r="AU160" s="1027"/>
      <c r="AV160" s="1027"/>
    </row>
    <row r="161" spans="7:48">
      <c r="G161" s="673"/>
      <c r="H161" s="673"/>
      <c r="I161" s="673"/>
      <c r="J161" s="673"/>
      <c r="K161" s="673"/>
      <c r="L161" s="673"/>
      <c r="M161" s="673"/>
      <c r="N161" s="674"/>
      <c r="O161" s="673"/>
      <c r="P161" s="673"/>
      <c r="Q161" s="673"/>
      <c r="R161" s="673"/>
      <c r="S161" s="673"/>
      <c r="T161" s="673"/>
      <c r="U161" s="673"/>
      <c r="V161" s="674"/>
      <c r="W161" s="1027"/>
      <c r="X161" s="1027"/>
      <c r="Y161" s="1027"/>
      <c r="Z161" s="1027"/>
      <c r="AA161" s="1027"/>
      <c r="AB161" s="1027"/>
      <c r="AC161" s="1027"/>
      <c r="AD161" s="1027"/>
      <c r="AE161" s="1027"/>
      <c r="AF161" s="1027"/>
      <c r="AG161" s="1027"/>
      <c r="AH161" s="1027"/>
      <c r="AI161" s="1027"/>
      <c r="AJ161" s="1027"/>
      <c r="AK161" s="1027"/>
      <c r="AL161" s="1027"/>
      <c r="AM161" s="1027"/>
      <c r="AN161" s="1027"/>
      <c r="AO161" s="1027"/>
      <c r="AP161" s="1027"/>
      <c r="AQ161" s="1027"/>
      <c r="AR161" s="1027"/>
      <c r="AS161" s="1027"/>
      <c r="AT161" s="1027"/>
      <c r="AU161" s="1027"/>
      <c r="AV161" s="1027"/>
    </row>
    <row r="162" spans="7:48">
      <c r="G162" s="673"/>
      <c r="H162" s="673"/>
      <c r="I162" s="673"/>
      <c r="J162" s="673"/>
      <c r="K162" s="673"/>
      <c r="L162" s="673"/>
      <c r="M162" s="673"/>
      <c r="N162" s="674"/>
      <c r="O162" s="673"/>
      <c r="P162" s="673"/>
      <c r="Q162" s="673"/>
      <c r="R162" s="673"/>
      <c r="S162" s="673"/>
      <c r="T162" s="673"/>
      <c r="U162" s="673"/>
      <c r="V162" s="674"/>
      <c r="W162" s="1027"/>
      <c r="X162" s="1027"/>
      <c r="Y162" s="1027"/>
      <c r="Z162" s="1027"/>
      <c r="AA162" s="1027"/>
      <c r="AB162" s="1027"/>
      <c r="AC162" s="1027"/>
      <c r="AD162" s="1027"/>
      <c r="AE162" s="1027"/>
      <c r="AF162" s="1027"/>
      <c r="AG162" s="1027"/>
      <c r="AH162" s="1027"/>
      <c r="AI162" s="1027"/>
      <c r="AJ162" s="1027"/>
      <c r="AK162" s="1027"/>
      <c r="AL162" s="1027"/>
      <c r="AM162" s="1027"/>
      <c r="AN162" s="1027"/>
      <c r="AO162" s="1027"/>
      <c r="AP162" s="1027"/>
      <c r="AQ162" s="1027"/>
      <c r="AR162" s="1027"/>
      <c r="AS162" s="1027"/>
      <c r="AT162" s="1027"/>
      <c r="AU162" s="1027"/>
      <c r="AV162" s="1027"/>
    </row>
    <row r="163" spans="7:48">
      <c r="G163" s="673"/>
      <c r="H163" s="673"/>
      <c r="I163" s="673"/>
      <c r="J163" s="673"/>
      <c r="K163" s="673"/>
      <c r="L163" s="673"/>
      <c r="M163" s="673"/>
      <c r="N163" s="674"/>
      <c r="O163" s="673"/>
      <c r="P163" s="673"/>
      <c r="Q163" s="673"/>
      <c r="R163" s="673"/>
      <c r="S163" s="673"/>
      <c r="T163" s="673"/>
      <c r="U163" s="673"/>
      <c r="V163" s="674"/>
      <c r="W163" s="1027"/>
      <c r="X163" s="1027"/>
      <c r="Y163" s="1027"/>
      <c r="Z163" s="1027"/>
      <c r="AA163" s="1027"/>
      <c r="AB163" s="1027"/>
      <c r="AC163" s="1027"/>
      <c r="AD163" s="1027"/>
      <c r="AE163" s="1027"/>
      <c r="AF163" s="1027"/>
      <c r="AG163" s="1027"/>
      <c r="AH163" s="1027"/>
      <c r="AI163" s="1027"/>
      <c r="AJ163" s="1027"/>
      <c r="AK163" s="1027"/>
      <c r="AL163" s="1027"/>
      <c r="AM163" s="1027"/>
      <c r="AN163" s="1027"/>
      <c r="AO163" s="1027"/>
      <c r="AP163" s="1027"/>
      <c r="AQ163" s="1027"/>
      <c r="AR163" s="1027"/>
      <c r="AS163" s="1027"/>
      <c r="AT163" s="1027"/>
      <c r="AU163" s="1027"/>
      <c r="AV163" s="1027"/>
    </row>
    <row r="164" spans="7:48">
      <c r="G164" s="673"/>
      <c r="H164" s="673"/>
      <c r="I164" s="673"/>
      <c r="J164" s="673"/>
      <c r="K164" s="673"/>
      <c r="L164" s="673"/>
      <c r="M164" s="673"/>
      <c r="N164" s="674"/>
      <c r="O164" s="673"/>
      <c r="P164" s="673"/>
      <c r="Q164" s="673"/>
      <c r="R164" s="673"/>
      <c r="S164" s="673"/>
      <c r="T164" s="673"/>
      <c r="U164" s="673"/>
      <c r="V164" s="674"/>
      <c r="W164" s="1027"/>
      <c r="X164" s="1027"/>
      <c r="Y164" s="1027"/>
      <c r="Z164" s="1027"/>
      <c r="AA164" s="1027"/>
      <c r="AB164" s="1027"/>
      <c r="AC164" s="1027"/>
      <c r="AD164" s="1027"/>
      <c r="AE164" s="1027"/>
      <c r="AF164" s="1027"/>
      <c r="AG164" s="1027"/>
      <c r="AH164" s="1027"/>
      <c r="AI164" s="1027"/>
      <c r="AJ164" s="1027"/>
      <c r="AK164" s="1027"/>
      <c r="AL164" s="1027"/>
      <c r="AM164" s="1027"/>
      <c r="AN164" s="1027"/>
      <c r="AO164" s="1027"/>
      <c r="AP164" s="1027"/>
      <c r="AQ164" s="1027"/>
      <c r="AR164" s="1027"/>
      <c r="AS164" s="1027"/>
      <c r="AT164" s="1027"/>
      <c r="AU164" s="1027"/>
      <c r="AV164" s="1027"/>
    </row>
    <row r="165" spans="7:48">
      <c r="G165" s="673"/>
      <c r="H165" s="673"/>
      <c r="I165" s="673"/>
      <c r="J165" s="673"/>
      <c r="K165" s="673"/>
      <c r="L165" s="673"/>
      <c r="M165" s="673"/>
      <c r="N165" s="674"/>
      <c r="O165" s="673"/>
      <c r="P165" s="673"/>
      <c r="Q165" s="673"/>
      <c r="R165" s="673"/>
      <c r="S165" s="673"/>
      <c r="T165" s="673"/>
      <c r="U165" s="673"/>
      <c r="V165" s="674"/>
      <c r="W165" s="1027"/>
      <c r="X165" s="1027"/>
      <c r="Y165" s="1027"/>
      <c r="Z165" s="1027"/>
      <c r="AA165" s="1027"/>
      <c r="AB165" s="1027"/>
      <c r="AC165" s="1027"/>
      <c r="AD165" s="1027"/>
      <c r="AE165" s="1027"/>
      <c r="AF165" s="1027"/>
      <c r="AG165" s="1027"/>
      <c r="AH165" s="1027"/>
      <c r="AI165" s="1027"/>
      <c r="AJ165" s="1027"/>
      <c r="AK165" s="1027"/>
      <c r="AL165" s="1027"/>
      <c r="AM165" s="1027"/>
      <c r="AN165" s="1027"/>
      <c r="AO165" s="1027"/>
      <c r="AP165" s="1027"/>
      <c r="AQ165" s="1027"/>
      <c r="AR165" s="1027"/>
      <c r="AS165" s="1027"/>
      <c r="AT165" s="1027"/>
      <c r="AU165" s="1027"/>
      <c r="AV165" s="1027"/>
    </row>
  </sheetData>
  <sheetProtection algorithmName="SHA-512" hashValue="F5H/fDLkBHQ1OdAParoPaCivMPQvlOgSs7Jr78Hux1WUxf+NwADrAZxbFwdOFyMrkPf2Knpi+I4rVd9WhRDKvw==" saltValue="tf1nBGD0xgbAI1K/cW60zg==" spinCount="100000" sheet="1" formatCells="0" formatColumns="0" formatRows="0" insertColumns="0" insertRows="0" sort="0" autoFilter="0" pivotTables="0"/>
  <mergeCells count="1">
    <mergeCell ref="C20:D20"/>
  </mergeCell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C1929-1DBE-4267-9DA5-2C68808F4CA0}">
  <dimension ref="A1:AV165"/>
  <sheetViews>
    <sheetView zoomScale="90" zoomScaleNormal="90" workbookViewId="0">
      <selection sqref="A1:XFD1048576"/>
    </sheetView>
  </sheetViews>
  <sheetFormatPr defaultColWidth="9.109375" defaultRowHeight="15.6"/>
  <cols>
    <col min="1" max="1" width="3.6640625" style="2" customWidth="1"/>
    <col min="2" max="2" width="44.109375" style="2" customWidth="1"/>
    <col min="3" max="4" width="25.6640625" style="583" customWidth="1"/>
    <col min="5" max="5" width="18.6640625" style="2" customWidth="1"/>
    <col min="6" max="6" width="1.6640625" style="3" customWidth="1"/>
    <col min="7" max="7" width="3.6640625" style="560" customWidth="1"/>
    <col min="8" max="8" width="48" style="560" customWidth="1"/>
    <col min="9" max="10" width="21" style="560" customWidth="1"/>
    <col min="11" max="13" width="3.33203125" style="560" customWidth="1"/>
    <col min="14" max="14" width="1.6640625" style="561" customWidth="1"/>
    <col min="15" max="15" width="3.6640625" style="560" customWidth="1"/>
    <col min="16" max="16" width="42.109375" style="560" customWidth="1"/>
    <col min="17" max="18" width="22.33203125" style="560" customWidth="1"/>
    <col min="19" max="19" width="25.6640625" style="560" customWidth="1"/>
    <col min="20" max="21" width="2.88671875" style="560" customWidth="1"/>
    <col min="22" max="22" width="1.6640625" style="561" customWidth="1"/>
    <col min="23" max="16384" width="9.109375" style="4"/>
  </cols>
  <sheetData>
    <row r="1" spans="1:48">
      <c r="A1" s="1" t="s">
        <v>1731</v>
      </c>
      <c r="G1" s="1" t="s">
        <v>1731</v>
      </c>
      <c r="H1" s="687"/>
      <c r="I1" s="687"/>
      <c r="J1" s="687"/>
      <c r="K1" s="687"/>
      <c r="L1" s="687"/>
      <c r="M1" s="687"/>
      <c r="O1" s="1" t="s">
        <v>1731</v>
      </c>
      <c r="P1" s="687"/>
      <c r="Q1" s="687"/>
      <c r="R1" s="687"/>
      <c r="S1" s="687"/>
      <c r="T1" s="687"/>
      <c r="U1" s="687"/>
    </row>
    <row r="2" spans="1:48">
      <c r="A2" s="1" t="s">
        <v>732</v>
      </c>
      <c r="G2" s="1" t="s">
        <v>732</v>
      </c>
      <c r="H2" s="687"/>
      <c r="I2" s="687"/>
      <c r="J2" s="687"/>
      <c r="K2" s="687"/>
      <c r="L2" s="687"/>
      <c r="M2" s="687"/>
      <c r="O2" s="1" t="s">
        <v>732</v>
      </c>
      <c r="P2" s="687"/>
      <c r="Q2" s="687"/>
      <c r="R2" s="687"/>
      <c r="S2" s="687"/>
      <c r="T2" s="687"/>
      <c r="U2" s="687"/>
    </row>
    <row r="3" spans="1:48">
      <c r="A3" s="1" t="s">
        <v>1730</v>
      </c>
      <c r="G3" s="1" t="s">
        <v>1730</v>
      </c>
      <c r="H3" s="687"/>
      <c r="I3" s="687"/>
      <c r="J3" s="687"/>
      <c r="K3" s="687"/>
      <c r="L3" s="687"/>
      <c r="M3" s="687"/>
      <c r="O3" s="1" t="s">
        <v>1730</v>
      </c>
      <c r="P3" s="687"/>
      <c r="Q3" s="687"/>
      <c r="R3" s="687"/>
      <c r="S3" s="687"/>
      <c r="T3" s="687"/>
      <c r="U3" s="687"/>
    </row>
    <row r="4" spans="1:48">
      <c r="G4" s="687"/>
      <c r="H4" s="687"/>
      <c r="I4" s="687"/>
      <c r="J4" s="687"/>
      <c r="K4" s="687"/>
      <c r="L4" s="687"/>
      <c r="M4" s="687"/>
      <c r="O4" s="687"/>
      <c r="P4" s="687"/>
      <c r="Q4" s="687"/>
      <c r="R4" s="687"/>
      <c r="S4" s="687"/>
      <c r="T4" s="687"/>
      <c r="U4" s="687"/>
    </row>
    <row r="5" spans="1:48" ht="16.2">
      <c r="A5" s="6" t="s">
        <v>697</v>
      </c>
      <c r="G5" s="688" t="s">
        <v>696</v>
      </c>
      <c r="H5" s="687"/>
      <c r="I5" s="687"/>
      <c r="J5" s="687"/>
      <c r="K5" s="687"/>
      <c r="L5" s="687"/>
      <c r="M5" s="687"/>
      <c r="O5" s="688" t="s">
        <v>786</v>
      </c>
      <c r="P5" s="687"/>
      <c r="Q5" s="687"/>
      <c r="R5" s="687"/>
      <c r="S5" s="687"/>
      <c r="T5" s="687"/>
      <c r="U5" s="687"/>
    </row>
    <row r="6" spans="1:48">
      <c r="G6" s="687"/>
      <c r="H6" s="687"/>
      <c r="I6" s="687"/>
      <c r="J6" s="687"/>
      <c r="K6" s="687"/>
      <c r="L6" s="687"/>
      <c r="M6" s="687"/>
      <c r="O6" s="687"/>
      <c r="P6" s="687"/>
      <c r="Q6" s="687"/>
      <c r="R6" s="687"/>
      <c r="S6" s="687"/>
      <c r="T6" s="687"/>
      <c r="U6" s="687"/>
    </row>
    <row r="7" spans="1:48">
      <c r="B7" s="2" t="s">
        <v>1729</v>
      </c>
      <c r="G7" s="687" t="s">
        <v>246</v>
      </c>
      <c r="H7" s="687" t="s">
        <v>1728</v>
      </c>
      <c r="I7" s="687"/>
      <c r="J7" s="687"/>
      <c r="K7" s="687"/>
      <c r="L7" s="687"/>
      <c r="M7" s="687"/>
      <c r="O7" s="687" t="s">
        <v>6</v>
      </c>
      <c r="P7" s="687" t="s">
        <v>1727</v>
      </c>
      <c r="Q7" s="687"/>
      <c r="R7" s="687"/>
      <c r="S7" s="687"/>
      <c r="T7" s="687"/>
      <c r="U7" s="687"/>
    </row>
    <row r="8" spans="1:48">
      <c r="B8" s="2" t="s">
        <v>1726</v>
      </c>
      <c r="G8" s="687"/>
      <c r="H8" s="687"/>
      <c r="I8" s="687"/>
      <c r="J8" s="687"/>
      <c r="K8" s="687"/>
      <c r="L8" s="687"/>
      <c r="M8" s="687"/>
      <c r="O8" s="687"/>
      <c r="P8" s="687"/>
      <c r="Q8" s="687"/>
      <c r="R8" s="687"/>
      <c r="S8" s="687"/>
      <c r="T8" s="687"/>
      <c r="U8" s="687"/>
    </row>
    <row r="9" spans="1:48">
      <c r="G9" s="687"/>
      <c r="H9" s="687" t="s">
        <v>683</v>
      </c>
      <c r="I9" s="687"/>
      <c r="J9" s="687"/>
      <c r="K9" s="687"/>
      <c r="L9" s="687"/>
      <c r="M9" s="687"/>
      <c r="O9" s="687"/>
      <c r="P9" s="687" t="s">
        <v>683</v>
      </c>
      <c r="Q9" s="687"/>
      <c r="R9" s="687"/>
      <c r="S9" s="687"/>
      <c r="T9" s="687"/>
      <c r="U9" s="687"/>
    </row>
    <row r="10" spans="1:48">
      <c r="B10" s="2" t="s">
        <v>1725</v>
      </c>
      <c r="G10" s="687"/>
      <c r="H10" s="687"/>
      <c r="I10" s="687"/>
      <c r="J10" s="687"/>
      <c r="K10" s="687"/>
      <c r="L10" s="687"/>
      <c r="M10" s="687"/>
      <c r="O10" s="687"/>
      <c r="P10" s="687"/>
      <c r="Q10" s="687"/>
      <c r="R10" s="687"/>
      <c r="S10" s="687"/>
      <c r="T10" s="687"/>
      <c r="U10" s="687"/>
    </row>
    <row r="11" spans="1:48" ht="16.2" thickBot="1">
      <c r="G11" s="673"/>
      <c r="H11" s="673"/>
      <c r="I11" s="673"/>
      <c r="J11" s="676"/>
      <c r="K11" s="676"/>
      <c r="L11" s="673"/>
      <c r="M11" s="673"/>
      <c r="N11" s="674"/>
      <c r="O11" s="673"/>
      <c r="P11" s="33"/>
      <c r="Q11" s="33"/>
      <c r="R11" s="46" t="s">
        <v>1769</v>
      </c>
      <c r="S11" s="46" t="s">
        <v>1768</v>
      </c>
      <c r="T11" s="673"/>
      <c r="U11" s="673"/>
      <c r="V11" s="674"/>
      <c r="W11" s="1027"/>
      <c r="X11" s="1027"/>
      <c r="Y11" s="1027"/>
      <c r="Z11" s="1027"/>
      <c r="AA11" s="1027"/>
      <c r="AB11" s="1027"/>
      <c r="AC11" s="1027"/>
      <c r="AD11" s="1027"/>
      <c r="AE11" s="1027"/>
      <c r="AF11" s="1027"/>
      <c r="AG11" s="1027"/>
      <c r="AH11" s="1027"/>
      <c r="AI11" s="1027"/>
      <c r="AJ11" s="1027"/>
      <c r="AK11" s="1027"/>
      <c r="AL11" s="1027"/>
      <c r="AM11" s="1027"/>
      <c r="AN11" s="1027"/>
      <c r="AO11" s="1027"/>
      <c r="AP11" s="1027"/>
      <c r="AQ11" s="1027"/>
      <c r="AR11" s="1027"/>
      <c r="AS11" s="1027"/>
      <c r="AT11" s="1027"/>
      <c r="AU11" s="1027"/>
      <c r="AV11" s="1027"/>
    </row>
    <row r="12" spans="1:48" ht="16.2" thickBot="1">
      <c r="B12" s="680"/>
      <c r="C12" s="1182" t="s">
        <v>1724</v>
      </c>
      <c r="D12" s="1182" t="s">
        <v>1723</v>
      </c>
      <c r="G12" s="673"/>
      <c r="H12" s="1200" t="s">
        <v>1767</v>
      </c>
      <c r="I12" s="1198">
        <v>45291</v>
      </c>
      <c r="J12" s="1211">
        <v>45657</v>
      </c>
      <c r="K12" s="676"/>
      <c r="L12" s="673"/>
      <c r="M12" s="673"/>
      <c r="N12" s="674"/>
      <c r="O12" s="673"/>
      <c r="P12" s="1200" t="s">
        <v>1767</v>
      </c>
      <c r="Q12" s="1198">
        <v>45657</v>
      </c>
      <c r="R12" s="1218">
        <v>45747</v>
      </c>
      <c r="S12" s="1211">
        <v>45747</v>
      </c>
      <c r="T12" s="673"/>
      <c r="U12" s="673"/>
      <c r="V12" s="674"/>
      <c r="W12" s="1027"/>
      <c r="X12" s="1027"/>
      <c r="Y12" s="1027"/>
      <c r="Z12" s="1027"/>
      <c r="AA12" s="1027"/>
      <c r="AB12" s="1027"/>
      <c r="AC12" s="1027"/>
      <c r="AD12" s="1027"/>
      <c r="AE12" s="1027"/>
      <c r="AF12" s="1027"/>
      <c r="AG12" s="1027"/>
      <c r="AH12" s="1027"/>
      <c r="AI12" s="1027"/>
      <c r="AJ12" s="1027"/>
      <c r="AK12" s="1027"/>
      <c r="AL12" s="1027"/>
      <c r="AM12" s="1027"/>
      <c r="AN12" s="1027"/>
      <c r="AO12" s="1027"/>
      <c r="AP12" s="1027"/>
      <c r="AQ12" s="1027"/>
      <c r="AR12" s="1027"/>
      <c r="AS12" s="1027"/>
      <c r="AT12" s="1027"/>
      <c r="AU12" s="1027"/>
      <c r="AV12" s="1027"/>
    </row>
    <row r="13" spans="1:48">
      <c r="B13" s="1177" t="s">
        <v>1722</v>
      </c>
      <c r="C13" s="1174">
        <v>225780000</v>
      </c>
      <c r="D13" s="1174">
        <v>245970000</v>
      </c>
      <c r="G13" s="673"/>
      <c r="H13" s="1183" t="s">
        <v>1766</v>
      </c>
      <c r="I13" s="1209"/>
      <c r="J13" s="1202">
        <f>I19</f>
        <v>250650000</v>
      </c>
      <c r="K13" s="676"/>
      <c r="L13" s="673"/>
      <c r="M13" s="673"/>
      <c r="N13" s="674"/>
      <c r="O13" s="673"/>
      <c r="P13" s="1183" t="s">
        <v>1766</v>
      </c>
      <c r="Q13" s="1202"/>
      <c r="R13" s="1210">
        <f>Q20</f>
        <v>270450000</v>
      </c>
      <c r="S13" s="33"/>
      <c r="T13" s="673"/>
      <c r="U13" s="673"/>
      <c r="V13" s="674"/>
      <c r="W13" s="1027"/>
      <c r="X13" s="1027"/>
      <c r="Y13" s="1027"/>
      <c r="Z13" s="1027"/>
      <c r="AA13" s="1027"/>
      <c r="AB13" s="1027"/>
      <c r="AC13" s="1027"/>
      <c r="AD13" s="1027"/>
      <c r="AE13" s="1027"/>
      <c r="AF13" s="1027"/>
      <c r="AG13" s="1027"/>
      <c r="AH13" s="1027"/>
      <c r="AI13" s="1027"/>
      <c r="AJ13" s="1027"/>
      <c r="AK13" s="1027"/>
      <c r="AL13" s="1027"/>
      <c r="AM13" s="1027"/>
      <c r="AN13" s="1027"/>
      <c r="AO13" s="1027"/>
      <c r="AP13" s="1027"/>
      <c r="AQ13" s="1027"/>
      <c r="AR13" s="1027"/>
      <c r="AS13" s="1027"/>
      <c r="AT13" s="1027"/>
      <c r="AU13" s="1027"/>
      <c r="AV13" s="1027"/>
    </row>
    <row r="14" spans="1:48">
      <c r="B14" s="1177" t="s">
        <v>769</v>
      </c>
      <c r="C14" s="1174">
        <v>250650000</v>
      </c>
      <c r="D14" s="1174">
        <v>270450000</v>
      </c>
      <c r="G14" s="673"/>
      <c r="H14" s="1183" t="s">
        <v>1005</v>
      </c>
      <c r="I14" s="1209"/>
      <c r="J14" s="1202">
        <f>C24</f>
        <v>19870000</v>
      </c>
      <c r="K14" s="673"/>
      <c r="L14" s="673"/>
      <c r="M14" s="673"/>
      <c r="N14" s="674"/>
      <c r="O14" s="673"/>
      <c r="P14" s="1183" t="s">
        <v>1005</v>
      </c>
      <c r="Q14" s="1202"/>
      <c r="R14" s="1210">
        <f>D24/4</f>
        <v>5120000</v>
      </c>
      <c r="S14" s="33"/>
      <c r="T14" s="673"/>
      <c r="U14" s="673"/>
      <c r="V14" s="674"/>
      <c r="W14" s="1027"/>
      <c r="X14" s="1027"/>
      <c r="Y14" s="1027"/>
      <c r="Z14" s="1027"/>
      <c r="AA14" s="1027"/>
      <c r="AB14" s="1027"/>
      <c r="AC14" s="1027"/>
      <c r="AD14" s="1027"/>
      <c r="AE14" s="1027"/>
      <c r="AF14" s="1027"/>
      <c r="AG14" s="1027"/>
      <c r="AH14" s="1027"/>
      <c r="AI14" s="1027"/>
      <c r="AJ14" s="1027"/>
      <c r="AK14" s="1027"/>
      <c r="AL14" s="1027"/>
      <c r="AM14" s="1027"/>
      <c r="AN14" s="1027"/>
      <c r="AO14" s="1027"/>
      <c r="AP14" s="1027"/>
      <c r="AQ14" s="1027"/>
      <c r="AR14" s="1027"/>
      <c r="AS14" s="1027"/>
      <c r="AT14" s="1027"/>
      <c r="AU14" s="1027"/>
      <c r="AV14" s="1027"/>
    </row>
    <row r="15" spans="1:48">
      <c r="B15" s="1177" t="s">
        <v>1721</v>
      </c>
      <c r="C15" s="1174">
        <v>-40150000</v>
      </c>
      <c r="D15" s="1174"/>
      <c r="G15" s="673"/>
      <c r="H15" s="1183" t="s">
        <v>1745</v>
      </c>
      <c r="I15" s="1209"/>
      <c r="J15" s="1202">
        <f>-C25</f>
        <v>-9251000</v>
      </c>
      <c r="K15" s="675"/>
      <c r="L15" s="673"/>
      <c r="M15" s="673"/>
      <c r="N15" s="674"/>
      <c r="O15" s="673"/>
      <c r="P15" s="1183" t="s">
        <v>1745</v>
      </c>
      <c r="Q15" s="1202"/>
      <c r="R15" s="1202">
        <f>-(D25/4)</f>
        <v>-2156000</v>
      </c>
      <c r="S15" s="33"/>
      <c r="T15" s="673"/>
      <c r="U15" s="673"/>
      <c r="V15" s="674"/>
      <c r="W15" s="1027"/>
      <c r="X15" s="1027"/>
      <c r="Y15" s="1027"/>
      <c r="Z15" s="1027"/>
      <c r="AA15" s="1027"/>
      <c r="AB15" s="1027"/>
      <c r="AC15" s="1027"/>
      <c r="AD15" s="1027"/>
      <c r="AE15" s="1027"/>
      <c r="AF15" s="1027"/>
      <c r="AG15" s="1027"/>
      <c r="AH15" s="1027"/>
      <c r="AI15" s="1027"/>
      <c r="AJ15" s="1027"/>
      <c r="AK15" s="1027"/>
      <c r="AL15" s="1027"/>
      <c r="AM15" s="1027"/>
      <c r="AN15" s="1027"/>
      <c r="AO15" s="1027"/>
      <c r="AP15" s="1027"/>
      <c r="AQ15" s="1027"/>
      <c r="AR15" s="1027"/>
      <c r="AS15" s="1027"/>
      <c r="AT15" s="1027"/>
      <c r="AU15" s="1027"/>
      <c r="AV15" s="1027"/>
    </row>
    <row r="16" spans="1:48">
      <c r="B16" s="1177" t="s">
        <v>1720</v>
      </c>
      <c r="C16" s="1174"/>
      <c r="D16" s="1181">
        <v>0.48199999999999998</v>
      </c>
      <c r="G16" s="673"/>
      <c r="H16" s="1183" t="s">
        <v>1041</v>
      </c>
      <c r="I16" s="1209"/>
      <c r="J16" s="1202">
        <f>C17*(J13+J14+J15/2)</f>
        <v>11965252.5</v>
      </c>
      <c r="K16" s="673"/>
      <c r="L16" s="673"/>
      <c r="M16" s="673"/>
      <c r="N16" s="674"/>
      <c r="O16" s="673"/>
      <c r="P16" s="1183" t="s">
        <v>1041</v>
      </c>
      <c r="Q16" s="1202"/>
      <c r="R16" s="1202">
        <f>D17*1/4*(R13+R14+R15/2)</f>
        <v>3088035</v>
      </c>
      <c r="S16" s="33"/>
      <c r="T16" s="673"/>
      <c r="U16" s="673"/>
      <c r="V16" s="674"/>
      <c r="W16" s="1027"/>
      <c r="X16" s="1027"/>
      <c r="Y16" s="1027"/>
      <c r="Z16" s="1027"/>
      <c r="AA16" s="1027"/>
      <c r="AB16" s="1027"/>
      <c r="AC16" s="1027"/>
      <c r="AD16" s="1027"/>
      <c r="AE16" s="1027"/>
      <c r="AF16" s="1027"/>
      <c r="AG16" s="1027"/>
      <c r="AH16" s="1027"/>
      <c r="AI16" s="1027"/>
      <c r="AJ16" s="1027"/>
      <c r="AK16" s="1027"/>
      <c r="AL16" s="1027"/>
      <c r="AM16" s="1027"/>
      <c r="AN16" s="1027"/>
      <c r="AO16" s="1027"/>
      <c r="AP16" s="1027"/>
      <c r="AQ16" s="1027"/>
      <c r="AR16" s="1027"/>
      <c r="AS16" s="1027"/>
      <c r="AT16" s="1027"/>
      <c r="AU16" s="1027"/>
      <c r="AV16" s="1027"/>
    </row>
    <row r="17" spans="1:48">
      <c r="B17" s="1180" t="s">
        <v>771</v>
      </c>
      <c r="C17" s="1179">
        <v>4.4999999999999998E-2</v>
      </c>
      <c r="D17" s="1179">
        <v>4.4999999999999998E-2</v>
      </c>
      <c r="G17" s="673"/>
      <c r="H17" s="1183" t="s">
        <v>1765</v>
      </c>
      <c r="I17" s="1217"/>
      <c r="J17" s="1202">
        <f>J19-SUM(J13:J16)-J18</f>
        <v>-2784252.5</v>
      </c>
      <c r="K17" s="675"/>
      <c r="L17" s="673"/>
      <c r="M17" s="673"/>
      <c r="N17" s="674"/>
      <c r="O17" s="673"/>
      <c r="P17" s="1183" t="s">
        <v>1765</v>
      </c>
      <c r="Q17" s="1202"/>
      <c r="R17" s="1216">
        <f>R20-SUM(R13:R16,R18:R19)</f>
        <v>0</v>
      </c>
      <c r="S17" s="33"/>
      <c r="T17" s="673"/>
      <c r="U17" s="673"/>
      <c r="V17" s="674"/>
      <c r="W17" s="1027"/>
      <c r="X17" s="1027"/>
      <c r="Y17" s="1027"/>
      <c r="Z17" s="1027"/>
      <c r="AA17" s="1027"/>
      <c r="AB17" s="1027"/>
      <c r="AC17" s="1027"/>
      <c r="AD17" s="1027"/>
      <c r="AE17" s="1027"/>
      <c r="AF17" s="1027"/>
      <c r="AG17" s="1027"/>
      <c r="AH17" s="1027"/>
      <c r="AI17" s="1027"/>
      <c r="AJ17" s="1027"/>
      <c r="AK17" s="1027"/>
      <c r="AL17" s="1027"/>
      <c r="AM17" s="1027"/>
      <c r="AN17" s="1027"/>
      <c r="AO17" s="1027"/>
      <c r="AP17" s="1027"/>
      <c r="AQ17" s="1027"/>
      <c r="AR17" s="1027"/>
      <c r="AS17" s="1027"/>
      <c r="AT17" s="1027"/>
      <c r="AU17" s="1027"/>
      <c r="AV17" s="1027"/>
    </row>
    <row r="18" spans="1:48" ht="17.399999999999999">
      <c r="B18" s="1177" t="s">
        <v>1719</v>
      </c>
      <c r="C18" s="1178">
        <v>0.06</v>
      </c>
      <c r="D18" s="1178">
        <v>0.06</v>
      </c>
      <c r="G18" s="673"/>
      <c r="H18" s="1183" t="s">
        <v>1764</v>
      </c>
      <c r="I18" s="1207">
        <v>0</v>
      </c>
      <c r="J18" s="1215">
        <v>0</v>
      </c>
      <c r="K18" s="675"/>
      <c r="L18" s="673"/>
      <c r="M18" s="673"/>
      <c r="N18" s="674"/>
      <c r="O18" s="673"/>
      <c r="P18" s="1183" t="s">
        <v>1764</v>
      </c>
      <c r="Q18" s="1215"/>
      <c r="R18" s="1202">
        <f>C38-Q48</f>
        <v>12494712.375</v>
      </c>
      <c r="S18" s="33"/>
      <c r="T18" s="673"/>
      <c r="U18" s="673"/>
      <c r="V18" s="674"/>
      <c r="W18" s="1027"/>
      <c r="X18" s="1027"/>
      <c r="Y18" s="1027"/>
      <c r="Z18" s="1027"/>
      <c r="AA18" s="1027"/>
      <c r="AB18" s="1027"/>
      <c r="AC18" s="1027"/>
      <c r="AD18" s="1027"/>
      <c r="AE18" s="1027"/>
      <c r="AF18" s="1027"/>
      <c r="AG18" s="1027"/>
      <c r="AH18" s="1027"/>
      <c r="AI18" s="1027"/>
      <c r="AJ18" s="1027"/>
      <c r="AK18" s="1027"/>
      <c r="AL18" s="1027"/>
      <c r="AM18" s="1027"/>
      <c r="AN18" s="1027"/>
      <c r="AO18" s="1027"/>
      <c r="AP18" s="1027"/>
      <c r="AQ18" s="1027"/>
      <c r="AR18" s="1027"/>
      <c r="AS18" s="1027"/>
      <c r="AT18" s="1027"/>
      <c r="AU18" s="1027"/>
      <c r="AV18" s="1027"/>
    </row>
    <row r="19" spans="1:48" ht="17.399999999999999">
      <c r="B19" s="1177" t="s">
        <v>758</v>
      </c>
      <c r="C19" s="1176">
        <v>12.5</v>
      </c>
      <c r="D19" s="1176">
        <v>13.1</v>
      </c>
      <c r="G19" s="673"/>
      <c r="H19" s="1183" t="s">
        <v>1762</v>
      </c>
      <c r="I19" s="1204">
        <f>C14</f>
        <v>250650000</v>
      </c>
      <c r="J19" s="1204">
        <f>D14</f>
        <v>270450000</v>
      </c>
      <c r="K19" s="675"/>
      <c r="L19" s="673"/>
      <c r="M19" s="673"/>
      <c r="N19" s="674"/>
      <c r="O19" s="673"/>
      <c r="P19" s="1183" t="s">
        <v>1763</v>
      </c>
      <c r="Q19" s="1215"/>
      <c r="R19" s="1215">
        <v>0</v>
      </c>
      <c r="S19" s="1215">
        <f>-C38</f>
        <v>-142150000</v>
      </c>
      <c r="T19" s="673"/>
      <c r="U19" s="673"/>
      <c r="V19" s="674"/>
      <c r="W19" s="1027"/>
      <c r="X19" s="1027"/>
      <c r="Y19" s="1027"/>
      <c r="Z19" s="1027"/>
      <c r="AA19" s="1027"/>
      <c r="AB19" s="1027"/>
      <c r="AC19" s="1027"/>
      <c r="AD19" s="1027"/>
      <c r="AE19" s="1027"/>
      <c r="AF19" s="1027"/>
      <c r="AG19" s="1027"/>
      <c r="AH19" s="1027"/>
      <c r="AI19" s="1027"/>
      <c r="AJ19" s="1027"/>
      <c r="AK19" s="1027"/>
      <c r="AL19" s="1027"/>
      <c r="AM19" s="1027"/>
      <c r="AN19" s="1027"/>
      <c r="AO19" s="1027"/>
      <c r="AP19" s="1027"/>
      <c r="AQ19" s="1027"/>
      <c r="AR19" s="1027"/>
      <c r="AS19" s="1027"/>
      <c r="AT19" s="1027"/>
      <c r="AU19" s="1027"/>
      <c r="AV19" s="1027"/>
    </row>
    <row r="20" spans="1:48" ht="40.5" customHeight="1" thickBot="1">
      <c r="B20" s="680" t="s">
        <v>805</v>
      </c>
      <c r="C20" s="1680" t="s">
        <v>1718</v>
      </c>
      <c r="D20" s="1681"/>
      <c r="G20" s="673"/>
      <c r="H20" s="1183"/>
      <c r="I20" s="1204"/>
      <c r="J20" s="1204"/>
      <c r="K20" s="673"/>
      <c r="L20" s="673"/>
      <c r="M20" s="673"/>
      <c r="N20" s="674"/>
      <c r="O20" s="673"/>
      <c r="P20" s="1214" t="s">
        <v>1762</v>
      </c>
      <c r="Q20" s="1213">
        <v>270450000</v>
      </c>
      <c r="R20" s="1212">
        <f>Q60</f>
        <v>288996747.375</v>
      </c>
      <c r="S20" s="1212">
        <f>R20+S19</f>
        <v>146846747.375</v>
      </c>
      <c r="T20" s="673"/>
      <c r="U20" s="673"/>
      <c r="V20" s="674"/>
      <c r="W20" s="1027"/>
      <c r="X20" s="1027"/>
      <c r="Y20" s="1027"/>
      <c r="Z20" s="1027"/>
      <c r="AA20" s="1027"/>
      <c r="AB20" s="1027"/>
      <c r="AC20" s="1027"/>
      <c r="AD20" s="1027"/>
      <c r="AE20" s="1027"/>
      <c r="AF20" s="1027"/>
      <c r="AG20" s="1027"/>
      <c r="AH20" s="1027"/>
      <c r="AI20" s="1027"/>
      <c r="AJ20" s="1027"/>
      <c r="AK20" s="1027"/>
      <c r="AL20" s="1027"/>
      <c r="AM20" s="1027"/>
      <c r="AN20" s="1027"/>
      <c r="AO20" s="1027"/>
      <c r="AP20" s="1027"/>
      <c r="AQ20" s="1027"/>
      <c r="AR20" s="1027"/>
      <c r="AS20" s="1027"/>
      <c r="AT20" s="1027"/>
      <c r="AU20" s="1027"/>
      <c r="AV20" s="1027"/>
    </row>
    <row r="21" spans="1:48" ht="22.5" customHeight="1" thickBot="1">
      <c r="G21" s="673"/>
      <c r="H21" s="1200" t="s">
        <v>1761</v>
      </c>
      <c r="I21" s="1198">
        <v>45291</v>
      </c>
      <c r="J21" s="1211">
        <v>45657</v>
      </c>
      <c r="K21" s="673"/>
      <c r="L21" s="673"/>
      <c r="M21" s="673"/>
      <c r="N21" s="674"/>
      <c r="O21" s="673"/>
      <c r="P21" s="1200" t="s">
        <v>1761</v>
      </c>
      <c r="Q21" s="1198">
        <f>Q12</f>
        <v>45657</v>
      </c>
      <c r="R21" s="1198">
        <f>R12</f>
        <v>45747</v>
      </c>
      <c r="S21" s="1197">
        <f>S12</f>
        <v>45747</v>
      </c>
      <c r="T21" s="673"/>
      <c r="U21" s="673"/>
      <c r="V21" s="674"/>
      <c r="W21" s="1027"/>
      <c r="X21" s="1027"/>
      <c r="Y21" s="1027"/>
      <c r="Z21" s="1027"/>
      <c r="AA21" s="1027"/>
      <c r="AB21" s="1027"/>
      <c r="AC21" s="1027"/>
      <c r="AD21" s="1027"/>
      <c r="AE21" s="1027"/>
      <c r="AF21" s="1027"/>
      <c r="AG21" s="1027"/>
      <c r="AH21" s="1027"/>
      <c r="AI21" s="1027"/>
      <c r="AJ21" s="1027"/>
      <c r="AK21" s="1027"/>
      <c r="AL21" s="1027"/>
      <c r="AM21" s="1027"/>
      <c r="AN21" s="1027"/>
      <c r="AO21" s="1027"/>
      <c r="AP21" s="1027"/>
      <c r="AQ21" s="1027"/>
      <c r="AR21" s="1027"/>
      <c r="AS21" s="1027"/>
      <c r="AT21" s="1027"/>
      <c r="AU21" s="1027"/>
      <c r="AV21" s="1027"/>
    </row>
    <row r="22" spans="1:48">
      <c r="G22" s="673"/>
      <c r="H22" s="1183" t="s">
        <v>1760</v>
      </c>
      <c r="I22" s="1209"/>
      <c r="J22" s="1209">
        <f>I28</f>
        <v>225780000</v>
      </c>
      <c r="K22" s="673"/>
      <c r="L22" s="673"/>
      <c r="M22" s="673"/>
      <c r="N22" s="674"/>
      <c r="O22" s="673"/>
      <c r="P22" s="1183" t="s">
        <v>1760</v>
      </c>
      <c r="Q22" s="1209"/>
      <c r="R22" s="1210">
        <f>Q28</f>
        <v>245970000</v>
      </c>
      <c r="S22" s="33"/>
      <c r="T22" s="673"/>
      <c r="U22" s="673"/>
      <c r="V22" s="674"/>
      <c r="W22" s="1027"/>
      <c r="X22" s="1027"/>
      <c r="Y22" s="1027"/>
      <c r="Z22" s="1027"/>
      <c r="AA22" s="1027"/>
      <c r="AB22" s="1027"/>
      <c r="AC22" s="1027"/>
      <c r="AD22" s="1027"/>
      <c r="AE22" s="1027"/>
      <c r="AF22" s="1027"/>
      <c r="AG22" s="1027"/>
      <c r="AH22" s="1027"/>
      <c r="AI22" s="1027"/>
      <c r="AJ22" s="1027"/>
      <c r="AK22" s="1027"/>
      <c r="AL22" s="1027"/>
      <c r="AM22" s="1027"/>
      <c r="AN22" s="1027"/>
      <c r="AO22" s="1027"/>
      <c r="AP22" s="1027"/>
      <c r="AQ22" s="1027"/>
      <c r="AR22" s="1027"/>
      <c r="AS22" s="1027"/>
      <c r="AT22" s="1027"/>
      <c r="AU22" s="1027"/>
      <c r="AV22" s="1027"/>
    </row>
    <row r="23" spans="1:48">
      <c r="B23" s="680"/>
      <c r="C23" s="1175">
        <v>2024</v>
      </c>
      <c r="D23" s="1175">
        <v>2025</v>
      </c>
      <c r="G23" s="673"/>
      <c r="H23" s="1183" t="s">
        <v>113</v>
      </c>
      <c r="I23" s="1209"/>
      <c r="J23" s="1209">
        <f>C26</f>
        <v>21550000</v>
      </c>
      <c r="K23" s="673"/>
      <c r="L23" s="673"/>
      <c r="M23" s="673"/>
      <c r="N23" s="674"/>
      <c r="O23" s="673"/>
      <c r="P23" s="1183" t="s">
        <v>113</v>
      </c>
      <c r="Q23" s="1209"/>
      <c r="R23" s="1210">
        <f>C37</f>
        <v>5952000</v>
      </c>
      <c r="S23" s="33"/>
      <c r="T23" s="673"/>
      <c r="U23" s="673"/>
      <c r="V23" s="674"/>
      <c r="W23" s="1027"/>
      <c r="X23" s="1027"/>
      <c r="Y23" s="1027"/>
      <c r="Z23" s="1027"/>
      <c r="AA23" s="1027"/>
      <c r="AB23" s="1027"/>
      <c r="AC23" s="1027"/>
      <c r="AD23" s="1027"/>
      <c r="AE23" s="1027"/>
      <c r="AF23" s="1027"/>
      <c r="AG23" s="1027"/>
      <c r="AH23" s="1027"/>
      <c r="AI23" s="1027"/>
      <c r="AJ23" s="1027"/>
      <c r="AK23" s="1027"/>
      <c r="AL23" s="1027"/>
      <c r="AM23" s="1027"/>
      <c r="AN23" s="1027"/>
      <c r="AO23" s="1027"/>
      <c r="AP23" s="1027"/>
      <c r="AQ23" s="1027"/>
      <c r="AR23" s="1027"/>
      <c r="AS23" s="1027"/>
      <c r="AT23" s="1027"/>
      <c r="AU23" s="1027"/>
      <c r="AV23" s="1027"/>
    </row>
    <row r="24" spans="1:48">
      <c r="B24" s="680" t="s">
        <v>1005</v>
      </c>
      <c r="C24" s="1174">
        <v>19870000</v>
      </c>
      <c r="D24" s="1174">
        <v>20480000</v>
      </c>
      <c r="G24" s="673"/>
      <c r="H24" s="1183" t="s">
        <v>1745</v>
      </c>
      <c r="I24" s="1209"/>
      <c r="J24" s="1202">
        <f>-C25</f>
        <v>-9251000</v>
      </c>
      <c r="K24" s="676"/>
      <c r="L24" s="673"/>
      <c r="M24" s="673"/>
      <c r="N24" s="674"/>
      <c r="O24" s="673"/>
      <c r="P24" s="1183" t="s">
        <v>1745</v>
      </c>
      <c r="Q24" s="1202"/>
      <c r="R24" s="1202">
        <f>-(C36)</f>
        <v>-2156000</v>
      </c>
      <c r="S24" s="33"/>
      <c r="T24" s="673"/>
      <c r="U24" s="673"/>
      <c r="V24" s="674"/>
      <c r="W24" s="1027"/>
      <c r="X24" s="1027"/>
      <c r="Y24" s="1027"/>
      <c r="Z24" s="1027"/>
      <c r="AA24" s="1027"/>
      <c r="AB24" s="1027"/>
      <c r="AC24" s="1027"/>
      <c r="AD24" s="1027"/>
      <c r="AE24" s="1027"/>
      <c r="AF24" s="1027"/>
      <c r="AG24" s="1027"/>
      <c r="AH24" s="1027"/>
      <c r="AI24" s="1027"/>
      <c r="AJ24" s="1027"/>
      <c r="AK24" s="1027"/>
      <c r="AL24" s="1027"/>
      <c r="AM24" s="1027"/>
      <c r="AN24" s="1027"/>
      <c r="AO24" s="1027"/>
      <c r="AP24" s="1027"/>
      <c r="AQ24" s="1027"/>
      <c r="AR24" s="1027"/>
      <c r="AS24" s="1027"/>
      <c r="AT24" s="1027"/>
      <c r="AU24" s="1027"/>
      <c r="AV24" s="1027"/>
    </row>
    <row r="25" spans="1:48">
      <c r="B25" s="680" t="s">
        <v>1717</v>
      </c>
      <c r="C25" s="1174">
        <v>9251000</v>
      </c>
      <c r="D25" s="1174">
        <v>8624000</v>
      </c>
      <c r="G25" s="673"/>
      <c r="H25" s="1183" t="s">
        <v>1719</v>
      </c>
      <c r="I25" s="1209"/>
      <c r="J25" s="1202">
        <f>C18*(J22+J23/2+J24/2)</f>
        <v>13915770</v>
      </c>
      <c r="K25" s="673"/>
      <c r="L25" s="673"/>
      <c r="M25" s="673"/>
      <c r="N25" s="674"/>
      <c r="O25" s="673"/>
      <c r="P25" s="1183" t="s">
        <v>1719</v>
      </c>
      <c r="Q25" s="1202"/>
      <c r="R25" s="1202">
        <f>-Q38/4</f>
        <v>3786495</v>
      </c>
      <c r="S25" s="1208"/>
      <c r="T25" s="673"/>
      <c r="U25" s="673"/>
      <c r="V25" s="674"/>
      <c r="W25" s="1027"/>
      <c r="X25" s="1027"/>
      <c r="Y25" s="1027"/>
      <c r="Z25" s="1027"/>
      <c r="AA25" s="1027"/>
      <c r="AB25" s="1027"/>
      <c r="AC25" s="1027"/>
      <c r="AD25" s="1027"/>
      <c r="AE25" s="1027"/>
      <c r="AF25" s="1027"/>
      <c r="AG25" s="1027"/>
      <c r="AH25" s="1027"/>
      <c r="AI25" s="1027"/>
      <c r="AJ25" s="1027"/>
      <c r="AK25" s="1027"/>
      <c r="AL25" s="1027"/>
      <c r="AM25" s="1027"/>
      <c r="AN25" s="1027"/>
      <c r="AO25" s="1027"/>
      <c r="AP25" s="1027"/>
      <c r="AQ25" s="1027"/>
      <c r="AR25" s="1027"/>
      <c r="AS25" s="1027"/>
      <c r="AT25" s="1027"/>
      <c r="AU25" s="1027"/>
      <c r="AV25" s="1027"/>
    </row>
    <row r="26" spans="1:48" ht="17.399999999999999">
      <c r="B26" s="680" t="s">
        <v>1716</v>
      </c>
      <c r="C26" s="1174">
        <v>21550000</v>
      </c>
      <c r="D26" s="1174">
        <v>21550000</v>
      </c>
      <c r="G26" s="673"/>
      <c r="H26" s="1183" t="s">
        <v>1759</v>
      </c>
      <c r="I26" s="1207"/>
      <c r="J26" s="1202">
        <f>J28-SUM(J22:J25)</f>
        <v>-6024770</v>
      </c>
      <c r="K26" s="675"/>
      <c r="L26" s="673"/>
      <c r="M26" s="673"/>
      <c r="N26" s="674"/>
      <c r="O26" s="673"/>
      <c r="P26" s="1183" t="s">
        <v>1759</v>
      </c>
      <c r="Q26" s="1202"/>
      <c r="R26" s="1202">
        <f>C35-SUM(R22:R25)</f>
        <v>-955495</v>
      </c>
      <c r="S26" s="33"/>
      <c r="T26" s="673"/>
      <c r="U26" s="673"/>
      <c r="V26" s="674"/>
      <c r="W26" s="1027"/>
      <c r="X26" s="1027"/>
      <c r="Y26" s="1027"/>
      <c r="Z26" s="1027"/>
      <c r="AA26" s="1027"/>
      <c r="AB26" s="1027"/>
      <c r="AC26" s="1027"/>
      <c r="AD26" s="1027"/>
      <c r="AE26" s="1027"/>
      <c r="AF26" s="1027"/>
      <c r="AG26" s="1027"/>
      <c r="AH26" s="1027"/>
      <c r="AI26" s="1027"/>
      <c r="AJ26" s="1027"/>
      <c r="AK26" s="1027"/>
      <c r="AL26" s="1027"/>
      <c r="AM26" s="1027"/>
      <c r="AN26" s="1027"/>
      <c r="AO26" s="1027"/>
      <c r="AP26" s="1027"/>
      <c r="AQ26" s="1027"/>
      <c r="AR26" s="1027"/>
      <c r="AS26" s="1027"/>
      <c r="AT26" s="1027"/>
      <c r="AU26" s="1027"/>
      <c r="AV26" s="1027"/>
    </row>
    <row r="27" spans="1:48" ht="17.399999999999999">
      <c r="G27" s="673"/>
      <c r="H27" s="1183" t="s">
        <v>1710</v>
      </c>
      <c r="I27" s="1206">
        <v>0</v>
      </c>
      <c r="J27" s="1206">
        <v>0</v>
      </c>
      <c r="K27" s="675"/>
      <c r="L27" s="673"/>
      <c r="M27" s="673"/>
      <c r="N27" s="674"/>
      <c r="O27" s="673"/>
      <c r="P27" s="1183" t="s">
        <v>1710</v>
      </c>
      <c r="Q27" s="1206">
        <v>0</v>
      </c>
      <c r="R27" s="1205">
        <v>0</v>
      </c>
      <c r="S27" s="1186">
        <f>S19</f>
        <v>-142150000</v>
      </c>
      <c r="T27" s="673"/>
      <c r="U27" s="673"/>
      <c r="V27" s="674"/>
      <c r="W27" s="1027"/>
      <c r="X27" s="1027"/>
      <c r="Y27" s="1027"/>
      <c r="Z27" s="1027"/>
      <c r="AA27" s="1027"/>
      <c r="AB27" s="1027"/>
      <c r="AC27" s="1027"/>
      <c r="AD27" s="1027"/>
      <c r="AE27" s="1027"/>
      <c r="AF27" s="1027"/>
      <c r="AG27" s="1027"/>
      <c r="AH27" s="1027"/>
      <c r="AI27" s="1027"/>
      <c r="AJ27" s="1027"/>
      <c r="AK27" s="1027"/>
      <c r="AL27" s="1027"/>
      <c r="AM27" s="1027"/>
      <c r="AN27" s="1027"/>
      <c r="AO27" s="1027"/>
      <c r="AP27" s="1027"/>
      <c r="AQ27" s="1027"/>
      <c r="AR27" s="1027"/>
      <c r="AS27" s="1027"/>
      <c r="AT27" s="1027"/>
      <c r="AU27" s="1027"/>
      <c r="AV27" s="1027"/>
    </row>
    <row r="28" spans="1:48" ht="17.399999999999999">
      <c r="G28" s="673"/>
      <c r="H28" s="1183" t="s">
        <v>1758</v>
      </c>
      <c r="I28" s="1204">
        <f>C13</f>
        <v>225780000</v>
      </c>
      <c r="J28" s="1204">
        <f>D13</f>
        <v>245970000</v>
      </c>
      <c r="K28" s="675"/>
      <c r="L28" s="673"/>
      <c r="M28" s="673"/>
      <c r="N28" s="674"/>
      <c r="O28" s="673"/>
      <c r="P28" s="1183" t="s">
        <v>1758</v>
      </c>
      <c r="Q28" s="1204">
        <v>245970000</v>
      </c>
      <c r="R28" s="1203">
        <f>C35</f>
        <v>252597000</v>
      </c>
      <c r="S28" s="1203">
        <f>R28+S27</f>
        <v>110447000</v>
      </c>
      <c r="T28" s="673"/>
      <c r="U28" s="673"/>
      <c r="V28" s="674"/>
      <c r="W28" s="1027"/>
      <c r="X28" s="1027"/>
      <c r="Y28" s="1027"/>
      <c r="Z28" s="1027"/>
      <c r="AA28" s="1027"/>
      <c r="AB28" s="1027"/>
      <c r="AC28" s="1027"/>
      <c r="AD28" s="1027"/>
      <c r="AE28" s="1027"/>
      <c r="AF28" s="1027"/>
      <c r="AG28" s="1027"/>
      <c r="AH28" s="1027"/>
      <c r="AI28" s="1027"/>
      <c r="AJ28" s="1027"/>
      <c r="AK28" s="1027"/>
      <c r="AL28" s="1027"/>
      <c r="AM28" s="1027"/>
      <c r="AN28" s="1027"/>
      <c r="AO28" s="1027"/>
      <c r="AP28" s="1027"/>
      <c r="AQ28" s="1027"/>
      <c r="AR28" s="1027"/>
      <c r="AS28" s="1027"/>
      <c r="AT28" s="1027"/>
      <c r="AU28" s="1027"/>
      <c r="AV28" s="1027"/>
    </row>
    <row r="29" spans="1:48">
      <c r="A29" s="594" t="s">
        <v>835</v>
      </c>
      <c r="G29" s="673"/>
      <c r="H29" s="33"/>
      <c r="I29" s="33"/>
      <c r="J29" s="1190"/>
      <c r="K29" s="675"/>
      <c r="L29" s="673"/>
      <c r="M29" s="673"/>
      <c r="N29" s="674"/>
      <c r="O29" s="673"/>
      <c r="P29" s="33"/>
      <c r="Q29" s="1190"/>
      <c r="R29" s="33"/>
      <c r="S29" s="33"/>
      <c r="T29" s="673"/>
      <c r="U29" s="673"/>
      <c r="V29" s="674"/>
      <c r="W29" s="1027"/>
      <c r="X29" s="1027"/>
      <c r="Y29" s="1027"/>
      <c r="Z29" s="1027"/>
      <c r="AA29" s="1027"/>
      <c r="AB29" s="1027"/>
      <c r="AC29" s="1027"/>
      <c r="AD29" s="1027"/>
      <c r="AE29" s="1027"/>
      <c r="AF29" s="1027"/>
      <c r="AG29" s="1027"/>
      <c r="AH29" s="1027"/>
      <c r="AI29" s="1027"/>
      <c r="AJ29" s="1027"/>
      <c r="AK29" s="1027"/>
      <c r="AL29" s="1027"/>
      <c r="AM29" s="1027"/>
      <c r="AN29" s="1027"/>
      <c r="AO29" s="1027"/>
      <c r="AP29" s="1027"/>
      <c r="AQ29" s="1027"/>
      <c r="AR29" s="1027"/>
      <c r="AS29" s="1027"/>
      <c r="AT29" s="1027"/>
      <c r="AU29" s="1027"/>
      <c r="AV29" s="1027"/>
    </row>
    <row r="30" spans="1:48">
      <c r="B30" s="682" t="s">
        <v>1715</v>
      </c>
      <c r="G30" s="673"/>
      <c r="H30" s="1183" t="s">
        <v>937</v>
      </c>
      <c r="I30" s="1202">
        <f>I28-I19</f>
        <v>-24870000</v>
      </c>
      <c r="J30" s="1202">
        <f>J28-J19</f>
        <v>-24480000</v>
      </c>
      <c r="K30" s="673"/>
      <c r="L30" s="673"/>
      <c r="M30" s="673"/>
      <c r="N30" s="674"/>
      <c r="O30" s="673"/>
      <c r="P30" s="1183" t="s">
        <v>937</v>
      </c>
      <c r="Q30" s="1202">
        <v>-24480000</v>
      </c>
      <c r="R30" s="1202">
        <f>R28-R20</f>
        <v>-36399747.375</v>
      </c>
      <c r="S30" s="1202">
        <f>S28-S20</f>
        <v>-36399747.375</v>
      </c>
      <c r="T30" s="673"/>
      <c r="U30" s="673"/>
      <c r="V30" s="674"/>
      <c r="W30" s="1027"/>
      <c r="X30" s="1027"/>
      <c r="Y30" s="1027"/>
      <c r="Z30" s="1027"/>
      <c r="AA30" s="1027"/>
      <c r="AB30" s="1027"/>
      <c r="AC30" s="1027"/>
      <c r="AD30" s="1027"/>
      <c r="AE30" s="1027"/>
      <c r="AF30" s="1027"/>
      <c r="AG30" s="1027"/>
      <c r="AH30" s="1027"/>
      <c r="AI30" s="1027"/>
      <c r="AJ30" s="1027"/>
      <c r="AK30" s="1027"/>
      <c r="AL30" s="1027"/>
      <c r="AM30" s="1027"/>
      <c r="AN30" s="1027"/>
      <c r="AO30" s="1027"/>
      <c r="AP30" s="1027"/>
      <c r="AQ30" s="1027"/>
      <c r="AR30" s="1027"/>
      <c r="AS30" s="1027"/>
      <c r="AT30" s="1027"/>
      <c r="AU30" s="1027"/>
      <c r="AV30" s="1027"/>
    </row>
    <row r="31" spans="1:48">
      <c r="A31" s="594"/>
      <c r="B31" s="682" t="s">
        <v>1714</v>
      </c>
      <c r="C31" s="681"/>
      <c r="D31" s="681"/>
      <c r="G31" s="673"/>
      <c r="H31" s="33"/>
      <c r="I31" s="1202"/>
      <c r="J31" s="1202"/>
      <c r="K31" s="673"/>
      <c r="L31" s="673"/>
      <c r="M31" s="673"/>
      <c r="N31" s="674"/>
      <c r="O31" s="673"/>
      <c r="P31" s="33"/>
      <c r="Q31" s="1202"/>
      <c r="R31" s="33"/>
      <c r="S31" s="33"/>
      <c r="T31" s="673"/>
      <c r="U31" s="673"/>
      <c r="V31" s="674"/>
      <c r="W31" s="1027"/>
      <c r="X31" s="1027"/>
      <c r="Y31" s="1027"/>
      <c r="Z31" s="1027"/>
      <c r="AA31" s="1027"/>
      <c r="AB31" s="1027"/>
      <c r="AC31" s="1027"/>
      <c r="AD31" s="1027"/>
      <c r="AE31" s="1027"/>
      <c r="AF31" s="1027"/>
      <c r="AG31" s="1027"/>
      <c r="AH31" s="1027"/>
      <c r="AI31" s="1027"/>
      <c r="AJ31" s="1027"/>
      <c r="AK31" s="1027"/>
      <c r="AL31" s="1027"/>
      <c r="AM31" s="1027"/>
      <c r="AN31" s="1027"/>
      <c r="AO31" s="1027"/>
      <c r="AP31" s="1027"/>
      <c r="AQ31" s="1027"/>
      <c r="AR31" s="1027"/>
      <c r="AS31" s="1027"/>
      <c r="AT31" s="1027"/>
      <c r="AU31" s="1027"/>
      <c r="AV31" s="1027"/>
    </row>
    <row r="32" spans="1:48">
      <c r="B32" s="682"/>
      <c r="C32" s="681"/>
      <c r="D32" s="681"/>
      <c r="G32" s="673"/>
      <c r="H32" s="1183" t="s">
        <v>1721</v>
      </c>
      <c r="I32" s="34">
        <f>C15</f>
        <v>-40150000</v>
      </c>
      <c r="J32" s="1190">
        <f>I32-J33+J17-J26</f>
        <v>-35702682.5</v>
      </c>
      <c r="K32" s="673"/>
      <c r="L32" s="673"/>
      <c r="M32" s="673"/>
      <c r="N32" s="674"/>
      <c r="O32" s="673"/>
      <c r="P32" s="1183" t="s">
        <v>1721</v>
      </c>
      <c r="Q32" s="1190">
        <f>J32</f>
        <v>-35702682.5</v>
      </c>
      <c r="R32" s="939">
        <f>Q67-R30</f>
        <v>-22223669.676526718</v>
      </c>
      <c r="S32" s="34">
        <f>R32-Q62</f>
        <v>-11292423.310563106</v>
      </c>
      <c r="T32" s="673"/>
      <c r="U32" s="673"/>
      <c r="V32" s="674"/>
      <c r="W32" s="1027"/>
      <c r="X32" s="1027"/>
      <c r="Y32" s="1027"/>
      <c r="Z32" s="1027"/>
      <c r="AA32" s="1027"/>
      <c r="AB32" s="1027"/>
      <c r="AC32" s="1027"/>
      <c r="AD32" s="1027"/>
      <c r="AE32" s="1027"/>
      <c r="AF32" s="1027"/>
      <c r="AG32" s="1027"/>
      <c r="AH32" s="1027"/>
      <c r="AI32" s="1027"/>
      <c r="AJ32" s="1027"/>
      <c r="AK32" s="1027"/>
      <c r="AL32" s="1027"/>
      <c r="AM32" s="1027"/>
      <c r="AN32" s="1027"/>
      <c r="AO32" s="1027"/>
      <c r="AP32" s="1027"/>
      <c r="AQ32" s="1027"/>
      <c r="AR32" s="1027"/>
      <c r="AS32" s="1027"/>
      <c r="AT32" s="1027"/>
      <c r="AU32" s="1027"/>
      <c r="AV32" s="1027"/>
    </row>
    <row r="33" spans="2:48">
      <c r="B33" s="2" t="s">
        <v>1713</v>
      </c>
      <c r="D33" s="681"/>
      <c r="G33" s="673"/>
      <c r="H33" s="1183" t="s">
        <v>1753</v>
      </c>
      <c r="I33" s="33"/>
      <c r="J33" s="1190">
        <f>J39</f>
        <v>-1206800</v>
      </c>
      <c r="K33" s="673"/>
      <c r="L33" s="673"/>
      <c r="M33" s="673"/>
      <c r="N33" s="674"/>
      <c r="O33" s="673"/>
      <c r="P33" s="1183"/>
      <c r="Q33" s="1190"/>
      <c r="R33" s="939"/>
      <c r="S33" s="34"/>
      <c r="T33" s="673"/>
      <c r="U33" s="673"/>
      <c r="V33" s="674"/>
      <c r="W33" s="1027"/>
      <c r="X33" s="1027"/>
      <c r="Y33" s="1027"/>
      <c r="Z33" s="1027"/>
      <c r="AA33" s="1027"/>
      <c r="AB33" s="1027"/>
      <c r="AC33" s="1027"/>
      <c r="AD33" s="1027"/>
      <c r="AE33" s="1027"/>
      <c r="AF33" s="1027"/>
      <c r="AG33" s="1027"/>
      <c r="AH33" s="1027"/>
      <c r="AI33" s="1027"/>
      <c r="AJ33" s="1027"/>
      <c r="AK33" s="1027"/>
      <c r="AL33" s="1027"/>
      <c r="AM33" s="1027"/>
      <c r="AN33" s="1027"/>
      <c r="AO33" s="1027"/>
      <c r="AP33" s="1027"/>
      <c r="AQ33" s="1027"/>
      <c r="AR33" s="1027"/>
      <c r="AS33" s="1027"/>
      <c r="AT33" s="1027"/>
      <c r="AU33" s="1027"/>
      <c r="AV33" s="1027"/>
    </row>
    <row r="34" spans="2:48" ht="16.2" thickBot="1">
      <c r="G34" s="673"/>
      <c r="H34" s="33"/>
      <c r="I34" s="33"/>
      <c r="J34" s="1190"/>
      <c r="K34" s="675"/>
      <c r="L34" s="673"/>
      <c r="M34" s="673"/>
      <c r="N34" s="674"/>
      <c r="O34" s="673"/>
      <c r="P34" s="33"/>
      <c r="Q34" s="1190"/>
      <c r="R34" s="34"/>
      <c r="S34" s="34"/>
      <c r="T34" s="673"/>
      <c r="U34" s="673"/>
      <c r="V34" s="674"/>
      <c r="W34" s="1027"/>
      <c r="X34" s="1027"/>
      <c r="Y34" s="1027"/>
      <c r="Z34" s="1027"/>
      <c r="AA34" s="1027"/>
      <c r="AB34" s="1027"/>
      <c r="AC34" s="1027"/>
      <c r="AD34" s="1027"/>
      <c r="AE34" s="1027"/>
      <c r="AF34" s="1027"/>
      <c r="AG34" s="1027"/>
      <c r="AH34" s="1027"/>
      <c r="AI34" s="1027"/>
      <c r="AJ34" s="1027"/>
      <c r="AK34" s="1027"/>
      <c r="AL34" s="1027"/>
      <c r="AM34" s="1027"/>
      <c r="AN34" s="1027"/>
      <c r="AO34" s="1027"/>
      <c r="AP34" s="1027"/>
      <c r="AQ34" s="1027"/>
      <c r="AR34" s="1027"/>
      <c r="AS34" s="1027"/>
      <c r="AT34" s="1027"/>
      <c r="AU34" s="1027"/>
      <c r="AV34" s="1027"/>
    </row>
    <row r="35" spans="2:48" ht="29.4" thickBot="1">
      <c r="B35" s="680" t="s">
        <v>1712</v>
      </c>
      <c r="C35" s="1174">
        <v>252597000</v>
      </c>
      <c r="G35" s="673"/>
      <c r="H35" s="1200" t="s">
        <v>1757</v>
      </c>
      <c r="I35" s="1199">
        <v>2023</v>
      </c>
      <c r="J35" s="1201">
        <v>2024</v>
      </c>
      <c r="K35" s="675"/>
      <c r="L35" s="673"/>
      <c r="M35" s="673"/>
      <c r="N35" s="674"/>
      <c r="O35" s="673"/>
      <c r="P35" s="1200" t="s">
        <v>1757</v>
      </c>
      <c r="Q35" s="1199" t="s">
        <v>1756</v>
      </c>
      <c r="R35" s="1198" t="s">
        <v>1755</v>
      </c>
      <c r="S35" s="1197" t="s">
        <v>1754</v>
      </c>
      <c r="T35" s="673"/>
      <c r="U35" s="673"/>
      <c r="V35" s="674"/>
      <c r="W35" s="1027"/>
      <c r="X35" s="1027"/>
      <c r="Y35" s="1027"/>
      <c r="Z35" s="1027"/>
      <c r="AA35" s="1027"/>
      <c r="AB35" s="1027"/>
      <c r="AC35" s="1027"/>
      <c r="AD35" s="1027"/>
      <c r="AE35" s="1027"/>
      <c r="AF35" s="1027"/>
      <c r="AG35" s="1027"/>
      <c r="AH35" s="1027"/>
      <c r="AI35" s="1027"/>
      <c r="AJ35" s="1027"/>
      <c r="AK35" s="1027"/>
      <c r="AL35" s="1027"/>
      <c r="AM35" s="1027"/>
      <c r="AN35" s="1027"/>
      <c r="AO35" s="1027"/>
      <c r="AP35" s="1027"/>
      <c r="AQ35" s="1027"/>
      <c r="AR35" s="1027"/>
      <c r="AS35" s="1027"/>
      <c r="AT35" s="1027"/>
      <c r="AU35" s="1027"/>
      <c r="AV35" s="1027"/>
    </row>
    <row r="36" spans="2:48">
      <c r="B36" s="680" t="s">
        <v>1711</v>
      </c>
      <c r="C36" s="1174">
        <v>2156000</v>
      </c>
      <c r="D36" s="678"/>
      <c r="G36" s="673"/>
      <c r="H36" s="1183" t="s">
        <v>1005</v>
      </c>
      <c r="I36" s="33"/>
      <c r="J36" s="1190">
        <f>C24</f>
        <v>19870000</v>
      </c>
      <c r="K36" s="675"/>
      <c r="L36" s="673"/>
      <c r="M36" s="673"/>
      <c r="N36" s="674"/>
      <c r="O36" s="673"/>
      <c r="P36" s="1183" t="s">
        <v>1005</v>
      </c>
      <c r="Q36" s="939">
        <f>D24</f>
        <v>20480000</v>
      </c>
      <c r="R36" s="939">
        <f>Q36</f>
        <v>20480000</v>
      </c>
      <c r="S36" s="34">
        <f>Q36/4+R36*3/4</f>
        <v>20480000</v>
      </c>
      <c r="T36" s="673"/>
      <c r="U36" s="673"/>
      <c r="V36" s="674"/>
      <c r="W36" s="1027"/>
      <c r="X36" s="1027"/>
      <c r="Y36" s="1027"/>
      <c r="Z36" s="1027"/>
      <c r="AA36" s="1027"/>
      <c r="AB36" s="1027"/>
      <c r="AC36" s="1027"/>
      <c r="AD36" s="1027"/>
      <c r="AE36" s="1027"/>
      <c r="AF36" s="1027"/>
      <c r="AG36" s="1027"/>
      <c r="AH36" s="1027"/>
      <c r="AI36" s="1027"/>
      <c r="AJ36" s="1027"/>
      <c r="AK36" s="1027"/>
      <c r="AL36" s="1027"/>
      <c r="AM36" s="1027"/>
      <c r="AN36" s="1027"/>
      <c r="AO36" s="1027"/>
      <c r="AP36" s="1027"/>
      <c r="AQ36" s="1027"/>
      <c r="AR36" s="1027"/>
      <c r="AS36" s="1027"/>
      <c r="AT36" s="1027"/>
      <c r="AU36" s="1027"/>
      <c r="AV36" s="1027"/>
    </row>
    <row r="37" spans="2:48">
      <c r="B37" s="680" t="s">
        <v>113</v>
      </c>
      <c r="C37" s="1174">
        <v>5952000</v>
      </c>
      <c r="D37" s="678"/>
      <c r="G37" s="673"/>
      <c r="H37" s="1183" t="s">
        <v>1041</v>
      </c>
      <c r="I37" s="33"/>
      <c r="J37" s="1190">
        <f>J16</f>
        <v>11965252.5</v>
      </c>
      <c r="K37" s="675"/>
      <c r="L37" s="673"/>
      <c r="M37" s="673"/>
      <c r="N37" s="674"/>
      <c r="O37" s="673"/>
      <c r="P37" s="1183" t="s">
        <v>1041</v>
      </c>
      <c r="Q37" s="939">
        <f>D17*(Q20+D24-D25/2)</f>
        <v>12897810</v>
      </c>
      <c r="R37" s="939">
        <f>D17*(S20+R36-0/2)</f>
        <v>7529703.631875</v>
      </c>
      <c r="S37" s="34">
        <f>Q37/4+R37*3/4</f>
        <v>8871730.2239062488</v>
      </c>
      <c r="T37" s="673"/>
      <c r="U37" s="673"/>
      <c r="V37" s="674"/>
      <c r="W37" s="1027"/>
      <c r="X37" s="1027"/>
      <c r="Y37" s="1027"/>
      <c r="Z37" s="1027"/>
      <c r="AA37" s="1027"/>
      <c r="AB37" s="1027"/>
      <c r="AC37" s="1027"/>
      <c r="AD37" s="1027"/>
      <c r="AE37" s="1027"/>
      <c r="AF37" s="1027"/>
      <c r="AG37" s="1027"/>
      <c r="AH37" s="1027"/>
      <c r="AI37" s="1027"/>
      <c r="AJ37" s="1027"/>
      <c r="AK37" s="1027"/>
      <c r="AL37" s="1027"/>
      <c r="AM37" s="1027"/>
      <c r="AN37" s="1027"/>
      <c r="AO37" s="1027"/>
      <c r="AP37" s="1027"/>
      <c r="AQ37" s="1027"/>
      <c r="AR37" s="1027"/>
      <c r="AS37" s="1027"/>
      <c r="AT37" s="1027"/>
      <c r="AU37" s="1027"/>
      <c r="AV37" s="1027"/>
    </row>
    <row r="38" spans="2:48">
      <c r="B38" s="680" t="s">
        <v>1710</v>
      </c>
      <c r="C38" s="1174">
        <v>142150000</v>
      </c>
      <c r="G38" s="673"/>
      <c r="H38" s="1183" t="s">
        <v>1719</v>
      </c>
      <c r="I38" s="33"/>
      <c r="J38" s="1190">
        <f>-J25</f>
        <v>-13915770</v>
      </c>
      <c r="K38" s="673"/>
      <c r="L38" s="673"/>
      <c r="M38" s="673"/>
      <c r="N38" s="674"/>
      <c r="O38" s="673"/>
      <c r="P38" s="1183" t="s">
        <v>1719</v>
      </c>
      <c r="Q38" s="939">
        <f>-D18*(Q28+D26/2-D25/2)</f>
        <v>-15145980</v>
      </c>
      <c r="R38" s="939">
        <f>-D18*(S28+0/2-0/2)</f>
        <v>-6626820</v>
      </c>
      <c r="S38" s="34">
        <f>Q38/4+R38*3/4</f>
        <v>-8756610</v>
      </c>
      <c r="T38" s="673"/>
      <c r="U38" s="673"/>
      <c r="V38" s="674"/>
      <c r="W38" s="1027"/>
      <c r="X38" s="1027"/>
      <c r="Y38" s="1027"/>
      <c r="Z38" s="1027"/>
      <c r="AA38" s="1027"/>
      <c r="AB38" s="1027"/>
      <c r="AC38" s="1027"/>
      <c r="AD38" s="1027"/>
      <c r="AE38" s="1027"/>
      <c r="AF38" s="1027"/>
      <c r="AG38" s="1027"/>
      <c r="AH38" s="1027"/>
      <c r="AI38" s="1027"/>
      <c r="AJ38" s="1027"/>
      <c r="AK38" s="1027"/>
      <c r="AL38" s="1027"/>
      <c r="AM38" s="1027"/>
      <c r="AN38" s="1027"/>
      <c r="AO38" s="1027"/>
      <c r="AP38" s="1027"/>
      <c r="AQ38" s="1027"/>
      <c r="AR38" s="1027"/>
      <c r="AS38" s="1027"/>
      <c r="AT38" s="1027"/>
      <c r="AU38" s="1027"/>
      <c r="AV38" s="1027"/>
    </row>
    <row r="39" spans="2:48">
      <c r="G39" s="673"/>
      <c r="H39" s="1183" t="s">
        <v>1753</v>
      </c>
      <c r="I39" s="33"/>
      <c r="J39" s="1190">
        <f>(ABS(C15)-0.1*(MAX(C13,C14)))/C19*SIGN(C15)</f>
        <v>-1206800</v>
      </c>
      <c r="K39" s="675"/>
      <c r="L39" s="673"/>
      <c r="M39" s="673"/>
      <c r="N39" s="674"/>
      <c r="O39" s="673"/>
      <c r="P39" s="1183" t="s">
        <v>1753</v>
      </c>
      <c r="Q39" s="939">
        <f>IF((ABS(Q32)&lt;0.1*(MAX(Q20,Q28))),0,((ABS(Q32))-0.1*MAX(Q20,Q28))/D19*SIGN(Q32))</f>
        <v>-660891.7938931298</v>
      </c>
      <c r="R39" s="1196">
        <f>IF(ABS(S32)&lt;(MAX(S20,S28)*0.1),0,(ABS(S32)-(MAX(S20,S28)*0.1))/D19)*SIGN(S32)</f>
        <v>0</v>
      </c>
      <c r="S39" s="34">
        <f>Q39/4+R39*3/4</f>
        <v>-165222.94847328245</v>
      </c>
      <c r="T39" s="673"/>
      <c r="U39" s="673"/>
      <c r="V39" s="674"/>
      <c r="W39" s="1027"/>
      <c r="X39" s="1027"/>
      <c r="Y39" s="1027"/>
      <c r="Z39" s="1027"/>
      <c r="AA39" s="1027"/>
      <c r="AB39" s="1027"/>
      <c r="AC39" s="1027"/>
      <c r="AD39" s="1027"/>
      <c r="AE39" s="1027"/>
      <c r="AF39" s="1027"/>
      <c r="AG39" s="1027"/>
      <c r="AH39" s="1027"/>
      <c r="AI39" s="1027"/>
      <c r="AJ39" s="1027"/>
      <c r="AK39" s="1027"/>
      <c r="AL39" s="1027"/>
      <c r="AM39" s="1027"/>
      <c r="AN39" s="1027"/>
      <c r="AO39" s="1027"/>
      <c r="AP39" s="1027"/>
      <c r="AQ39" s="1027"/>
      <c r="AR39" s="1027"/>
      <c r="AS39" s="1027"/>
      <c r="AT39" s="1027"/>
      <c r="AU39" s="1027"/>
      <c r="AV39" s="1027"/>
    </row>
    <row r="40" spans="2:48" ht="17.399999999999999">
      <c r="B40" s="2" t="s">
        <v>1709</v>
      </c>
      <c r="G40" s="673"/>
      <c r="H40" s="1183" t="s">
        <v>1752</v>
      </c>
      <c r="I40" s="35"/>
      <c r="J40" s="1195">
        <v>0</v>
      </c>
      <c r="K40" s="675"/>
      <c r="L40" s="673"/>
      <c r="M40" s="673"/>
      <c r="N40" s="674"/>
      <c r="O40" s="673"/>
      <c r="P40" s="1183" t="s">
        <v>1752</v>
      </c>
      <c r="Q40" s="1194">
        <v>0</v>
      </c>
      <c r="R40" s="1186">
        <v>0</v>
      </c>
      <c r="S40" s="1186">
        <f>Q62</f>
        <v>-10931246.365963612</v>
      </c>
      <c r="T40" s="673"/>
      <c r="U40" s="673"/>
      <c r="V40" s="674"/>
      <c r="W40" s="1027"/>
      <c r="X40" s="1027"/>
      <c r="Y40" s="1027"/>
      <c r="Z40" s="1027"/>
      <c r="AA40" s="1027"/>
      <c r="AB40" s="1027"/>
      <c r="AC40" s="1027"/>
      <c r="AD40" s="1027"/>
      <c r="AE40" s="1027"/>
      <c r="AF40" s="1027"/>
      <c r="AG40" s="1027"/>
      <c r="AH40" s="1027"/>
      <c r="AI40" s="1027"/>
      <c r="AJ40" s="1027"/>
      <c r="AK40" s="1027"/>
      <c r="AL40" s="1027"/>
      <c r="AM40" s="1027"/>
      <c r="AN40" s="1027"/>
      <c r="AO40" s="1027"/>
      <c r="AP40" s="1027"/>
      <c r="AQ40" s="1027"/>
      <c r="AR40" s="1027"/>
      <c r="AS40" s="1027"/>
      <c r="AT40" s="1027"/>
      <c r="AU40" s="1027"/>
      <c r="AV40" s="1027"/>
    </row>
    <row r="41" spans="2:48" ht="17.399999999999999">
      <c r="B41" s="2" t="s">
        <v>1708</v>
      </c>
      <c r="G41" s="673"/>
      <c r="H41" s="1183" t="s">
        <v>1751</v>
      </c>
      <c r="I41" s="33"/>
      <c r="J41" s="1193">
        <f>SUM(J36:J40)</f>
        <v>16712682.5</v>
      </c>
      <c r="K41" s="673"/>
      <c r="L41" s="673"/>
      <c r="M41" s="673"/>
      <c r="N41" s="674"/>
      <c r="O41" s="673"/>
      <c r="P41" s="1183" t="s">
        <v>1751</v>
      </c>
      <c r="Q41" s="1192">
        <f>SUM(Q36:Q40)</f>
        <v>17570938.206106871</v>
      </c>
      <c r="R41" s="1192">
        <f>SUM(R36:R40)</f>
        <v>21382883.631875001</v>
      </c>
      <c r="S41" s="1191">
        <f>SUM(S36:S40)</f>
        <v>9498650.9094693549</v>
      </c>
      <c r="T41" s="673"/>
      <c r="U41" s="673"/>
      <c r="V41" s="674"/>
      <c r="W41" s="1027"/>
      <c r="X41" s="1027"/>
      <c r="Y41" s="1027"/>
      <c r="Z41" s="1027"/>
      <c r="AA41" s="1027"/>
      <c r="AB41" s="1027"/>
      <c r="AC41" s="1027"/>
      <c r="AD41" s="1027"/>
      <c r="AE41" s="1027"/>
      <c r="AF41" s="1027"/>
      <c r="AG41" s="1027"/>
      <c r="AH41" s="1027"/>
      <c r="AI41" s="1027"/>
      <c r="AJ41" s="1027"/>
      <c r="AK41" s="1027"/>
      <c r="AL41" s="1027"/>
      <c r="AM41" s="1027"/>
      <c r="AN41" s="1027"/>
      <c r="AO41" s="1027"/>
      <c r="AP41" s="1027"/>
      <c r="AQ41" s="1027"/>
      <c r="AR41" s="1027"/>
      <c r="AS41" s="1027"/>
      <c r="AT41" s="1027"/>
      <c r="AU41" s="1027"/>
      <c r="AV41" s="1027"/>
    </row>
    <row r="42" spans="2:48">
      <c r="B42" s="2" t="s">
        <v>1707</v>
      </c>
      <c r="G42" s="673"/>
      <c r="H42" s="33"/>
      <c r="I42" s="35"/>
      <c r="J42" s="1190"/>
      <c r="K42" s="673"/>
      <c r="L42" s="673"/>
      <c r="M42" s="673"/>
      <c r="N42" s="674"/>
      <c r="O42" s="673"/>
      <c r="P42" s="33"/>
      <c r="Q42" s="1190"/>
      <c r="R42" s="36"/>
      <c r="S42" s="33"/>
      <c r="T42" s="673"/>
      <c r="U42" s="673"/>
      <c r="V42" s="674"/>
      <c r="W42" s="1027"/>
      <c r="X42" s="1027"/>
      <c r="Y42" s="1027"/>
      <c r="Z42" s="1027"/>
      <c r="AA42" s="1027"/>
      <c r="AB42" s="1027"/>
      <c r="AC42" s="1027"/>
      <c r="AD42" s="1027"/>
      <c r="AE42" s="1027"/>
      <c r="AF42" s="1027"/>
      <c r="AG42" s="1027"/>
      <c r="AH42" s="1027"/>
      <c r="AI42" s="1027"/>
      <c r="AJ42" s="1027"/>
      <c r="AK42" s="1027"/>
      <c r="AL42" s="1027"/>
      <c r="AM42" s="1027"/>
      <c r="AN42" s="1027"/>
      <c r="AO42" s="1027"/>
      <c r="AP42" s="1027"/>
      <c r="AQ42" s="1027"/>
      <c r="AR42" s="1027"/>
      <c r="AS42" s="1027"/>
      <c r="AT42" s="1027"/>
      <c r="AU42" s="1027"/>
      <c r="AV42" s="1027"/>
    </row>
    <row r="43" spans="2:48">
      <c r="B43" s="2" t="s">
        <v>1706</v>
      </c>
      <c r="G43" s="673"/>
      <c r="H43" s="1183" t="s">
        <v>1732</v>
      </c>
      <c r="I43" s="35"/>
      <c r="J43" s="1190"/>
      <c r="K43" s="673"/>
      <c r="L43" s="673"/>
      <c r="M43" s="673"/>
      <c r="N43" s="674"/>
      <c r="O43" s="673"/>
      <c r="P43" s="33"/>
      <c r="Q43" s="1190"/>
      <c r="R43" s="1189"/>
      <c r="S43" s="33"/>
      <c r="T43" s="673"/>
      <c r="U43" s="673"/>
      <c r="V43" s="674"/>
      <c r="W43" s="1027"/>
      <c r="X43" s="1027"/>
      <c r="Y43" s="1027"/>
      <c r="Z43" s="1027"/>
      <c r="AA43" s="1027"/>
      <c r="AB43" s="1027"/>
      <c r="AC43" s="1027"/>
      <c r="AD43" s="1027"/>
      <c r="AE43" s="1027"/>
      <c r="AF43" s="1027"/>
      <c r="AG43" s="1027"/>
      <c r="AH43" s="1027"/>
      <c r="AI43" s="1027"/>
      <c r="AJ43" s="1027"/>
      <c r="AK43" s="1027"/>
      <c r="AL43" s="1027"/>
      <c r="AM43" s="1027"/>
      <c r="AN43" s="1027"/>
      <c r="AO43" s="1027"/>
      <c r="AP43" s="1027"/>
      <c r="AQ43" s="1027"/>
      <c r="AR43" s="1027"/>
      <c r="AS43" s="1027"/>
      <c r="AT43" s="1027"/>
      <c r="AU43" s="1027"/>
      <c r="AV43" s="1027"/>
    </row>
    <row r="44" spans="2:48">
      <c r="B44" s="2" t="s">
        <v>1705</v>
      </c>
      <c r="G44" s="673"/>
      <c r="H44" s="673"/>
      <c r="I44" s="673"/>
      <c r="J44" s="673"/>
      <c r="K44" s="673"/>
      <c r="L44" s="673"/>
      <c r="M44" s="673"/>
      <c r="N44" s="674"/>
      <c r="O44" s="673"/>
      <c r="P44" s="1187" t="s">
        <v>1750</v>
      </c>
      <c r="Q44" s="33"/>
      <c r="R44" s="1189"/>
      <c r="S44" s="33"/>
      <c r="T44" s="673"/>
      <c r="U44" s="673"/>
      <c r="V44" s="674"/>
      <c r="W44" s="1027"/>
      <c r="X44" s="1027"/>
      <c r="Y44" s="1027"/>
      <c r="Z44" s="1027"/>
      <c r="AA44" s="1027"/>
      <c r="AB44" s="1027"/>
      <c r="AC44" s="1027"/>
      <c r="AD44" s="1027"/>
      <c r="AE44" s="1027"/>
      <c r="AF44" s="1027"/>
      <c r="AG44" s="1027"/>
      <c r="AH44" s="1027"/>
      <c r="AI44" s="1027"/>
      <c r="AJ44" s="1027"/>
      <c r="AK44" s="1027"/>
      <c r="AL44" s="1027"/>
      <c r="AM44" s="1027"/>
      <c r="AN44" s="1027"/>
      <c r="AO44" s="1027"/>
      <c r="AP44" s="1027"/>
      <c r="AQ44" s="1027"/>
      <c r="AR44" s="1027"/>
      <c r="AS44" s="1027"/>
      <c r="AT44" s="1027"/>
      <c r="AU44" s="1027"/>
      <c r="AV44" s="1027"/>
    </row>
    <row r="45" spans="2:48">
      <c r="G45" s="673"/>
      <c r="H45" s="673"/>
      <c r="I45" s="673"/>
      <c r="J45" s="675"/>
      <c r="K45" s="675"/>
      <c r="L45" s="673"/>
      <c r="M45" s="673"/>
      <c r="N45" s="674"/>
      <c r="O45" s="673"/>
      <c r="P45" s="33" t="s">
        <v>1749</v>
      </c>
      <c r="Q45" s="1184">
        <f>D14*D16</f>
        <v>130356900</v>
      </c>
      <c r="R45" s="33"/>
      <c r="S45" s="33"/>
      <c r="T45" s="673"/>
      <c r="U45" s="673"/>
      <c r="V45" s="674"/>
      <c r="W45" s="1027"/>
      <c r="X45" s="1027"/>
      <c r="Y45" s="1027"/>
      <c r="Z45" s="1027"/>
      <c r="AA45" s="1027"/>
      <c r="AB45" s="1027"/>
      <c r="AC45" s="1027"/>
      <c r="AD45" s="1027"/>
      <c r="AE45" s="1027"/>
      <c r="AF45" s="1027"/>
      <c r="AG45" s="1027"/>
      <c r="AH45" s="1027"/>
      <c r="AI45" s="1027"/>
      <c r="AJ45" s="1027"/>
      <c r="AK45" s="1027"/>
      <c r="AL45" s="1027"/>
      <c r="AM45" s="1027"/>
      <c r="AN45" s="1027"/>
      <c r="AO45" s="1027"/>
      <c r="AP45" s="1027"/>
      <c r="AQ45" s="1027"/>
      <c r="AR45" s="1027"/>
      <c r="AS45" s="1027"/>
      <c r="AT45" s="1027"/>
      <c r="AU45" s="1027"/>
      <c r="AV45" s="1027"/>
    </row>
    <row r="46" spans="2:48">
      <c r="G46" s="673"/>
      <c r="H46" s="673"/>
      <c r="I46" s="673"/>
      <c r="J46" s="675"/>
      <c r="K46" s="675"/>
      <c r="L46" s="673"/>
      <c r="M46" s="673"/>
      <c r="N46" s="674"/>
      <c r="O46" s="673"/>
      <c r="P46" s="33" t="s">
        <v>1745</v>
      </c>
      <c r="Q46" s="34">
        <f>-C36</f>
        <v>-2156000</v>
      </c>
      <c r="R46" s="33"/>
      <c r="S46" s="33"/>
      <c r="T46" s="673"/>
      <c r="U46" s="673"/>
      <c r="V46" s="674"/>
      <c r="W46" s="1027"/>
      <c r="X46" s="1027"/>
      <c r="Y46" s="1027"/>
      <c r="Z46" s="1027"/>
      <c r="AA46" s="1027"/>
      <c r="AB46" s="1027"/>
      <c r="AC46" s="1027"/>
      <c r="AD46" s="1027"/>
      <c r="AE46" s="1027"/>
      <c r="AF46" s="1027"/>
      <c r="AG46" s="1027"/>
      <c r="AH46" s="1027"/>
      <c r="AI46" s="1027"/>
      <c r="AJ46" s="1027"/>
      <c r="AK46" s="1027"/>
      <c r="AL46" s="1027"/>
      <c r="AM46" s="1027"/>
      <c r="AN46" s="1027"/>
      <c r="AO46" s="1027"/>
      <c r="AP46" s="1027"/>
      <c r="AQ46" s="1027"/>
      <c r="AR46" s="1027"/>
      <c r="AS46" s="1027"/>
      <c r="AT46" s="1027"/>
      <c r="AU46" s="1027"/>
      <c r="AV46" s="1027"/>
    </row>
    <row r="47" spans="2:48" ht="17.399999999999999">
      <c r="G47" s="673"/>
      <c r="H47" s="1030"/>
      <c r="I47" s="673"/>
      <c r="J47" s="673"/>
      <c r="K47" s="673"/>
      <c r="L47" s="673"/>
      <c r="M47" s="673"/>
      <c r="N47" s="674"/>
      <c r="O47" s="673"/>
      <c r="P47" s="33" t="s">
        <v>152</v>
      </c>
      <c r="Q47" s="1188">
        <f>D17*1/4*(Q45+Q46/2)</f>
        <v>1454387.625</v>
      </c>
      <c r="R47" s="33"/>
      <c r="S47" s="33"/>
      <c r="T47" s="673"/>
      <c r="U47" s="673"/>
      <c r="V47" s="674"/>
      <c r="W47" s="1027"/>
      <c r="X47" s="1027"/>
      <c r="Y47" s="1027"/>
      <c r="Z47" s="1027"/>
      <c r="AA47" s="1027"/>
      <c r="AB47" s="1027"/>
      <c r="AC47" s="1027"/>
      <c r="AD47" s="1027"/>
      <c r="AE47" s="1027"/>
      <c r="AF47" s="1027"/>
      <c r="AG47" s="1027"/>
      <c r="AH47" s="1027"/>
      <c r="AI47" s="1027"/>
      <c r="AJ47" s="1027"/>
      <c r="AK47" s="1027"/>
      <c r="AL47" s="1027"/>
      <c r="AM47" s="1027"/>
      <c r="AN47" s="1027"/>
      <c r="AO47" s="1027"/>
      <c r="AP47" s="1027"/>
      <c r="AQ47" s="1027"/>
      <c r="AR47" s="1027"/>
      <c r="AS47" s="1027"/>
      <c r="AT47" s="1027"/>
      <c r="AU47" s="1027"/>
      <c r="AV47" s="1027"/>
    </row>
    <row r="48" spans="2:48">
      <c r="G48" s="673"/>
      <c r="H48" s="673"/>
      <c r="I48" s="673"/>
      <c r="J48" s="673"/>
      <c r="K48" s="673"/>
      <c r="L48" s="673"/>
      <c r="M48" s="673"/>
      <c r="N48" s="674"/>
      <c r="O48" s="673"/>
      <c r="P48" s="33" t="s">
        <v>1748</v>
      </c>
      <c r="Q48" s="1184">
        <f>SUM(Q45:Q47)</f>
        <v>129655287.625</v>
      </c>
      <c r="R48" s="33"/>
      <c r="S48" s="33"/>
      <c r="T48" s="673"/>
      <c r="U48" s="673"/>
      <c r="V48" s="674"/>
      <c r="W48" s="1027"/>
      <c r="X48" s="1027"/>
      <c r="Y48" s="1027"/>
      <c r="Z48" s="1027"/>
      <c r="AA48" s="1027"/>
      <c r="AB48" s="1027"/>
      <c r="AC48" s="1027"/>
      <c r="AD48" s="1027"/>
      <c r="AE48" s="1027"/>
      <c r="AF48" s="1027"/>
      <c r="AG48" s="1027"/>
      <c r="AH48" s="1027"/>
      <c r="AI48" s="1027"/>
      <c r="AJ48" s="1027"/>
      <c r="AK48" s="1027"/>
      <c r="AL48" s="1027"/>
      <c r="AM48" s="1027"/>
      <c r="AN48" s="1027"/>
      <c r="AO48" s="1027"/>
      <c r="AP48" s="1027"/>
      <c r="AQ48" s="1027"/>
      <c r="AR48" s="1027"/>
      <c r="AS48" s="1027"/>
      <c r="AT48" s="1027"/>
      <c r="AU48" s="1027"/>
      <c r="AV48" s="1027"/>
    </row>
    <row r="49" spans="7:48">
      <c r="G49" s="673"/>
      <c r="H49" s="673"/>
      <c r="I49" s="673"/>
      <c r="J49" s="673"/>
      <c r="K49" s="673"/>
      <c r="L49" s="673"/>
      <c r="M49" s="673"/>
      <c r="N49" s="674"/>
      <c r="O49" s="673"/>
      <c r="P49" s="33"/>
      <c r="Q49" s="33"/>
      <c r="R49" s="33"/>
      <c r="S49" s="33"/>
      <c r="T49" s="673"/>
      <c r="U49" s="673"/>
      <c r="V49" s="674"/>
      <c r="W49" s="1027"/>
      <c r="X49" s="1027"/>
      <c r="Y49" s="1027"/>
      <c r="Z49" s="1027"/>
      <c r="AA49" s="1027"/>
      <c r="AB49" s="1027"/>
      <c r="AC49" s="1027"/>
      <c r="AD49" s="1027"/>
      <c r="AE49" s="1027"/>
      <c r="AF49" s="1027"/>
      <c r="AG49" s="1027"/>
      <c r="AH49" s="1027"/>
      <c r="AI49" s="1027"/>
      <c r="AJ49" s="1027"/>
      <c r="AK49" s="1027"/>
      <c r="AL49" s="1027"/>
      <c r="AM49" s="1027"/>
      <c r="AN49" s="1027"/>
      <c r="AO49" s="1027"/>
      <c r="AP49" s="1027"/>
      <c r="AQ49" s="1027"/>
      <c r="AR49" s="1027"/>
      <c r="AS49" s="1027"/>
      <c r="AT49" s="1027"/>
      <c r="AU49" s="1027"/>
      <c r="AV49" s="1027"/>
    </row>
    <row r="50" spans="7:48">
      <c r="G50" s="673"/>
      <c r="H50" s="1030"/>
      <c r="I50" s="673"/>
      <c r="J50" s="673"/>
      <c r="K50" s="673"/>
      <c r="L50" s="673"/>
      <c r="M50" s="673"/>
      <c r="N50" s="674"/>
      <c r="O50" s="673"/>
      <c r="P50" s="1187" t="s">
        <v>1747</v>
      </c>
      <c r="Q50" s="1184"/>
      <c r="R50" s="33"/>
      <c r="S50" s="33"/>
      <c r="T50" s="673"/>
      <c r="U50" s="673"/>
      <c r="V50" s="674"/>
      <c r="W50" s="1027"/>
      <c r="X50" s="1027"/>
      <c r="Y50" s="1027"/>
      <c r="Z50" s="1027"/>
      <c r="AA50" s="1027"/>
      <c r="AB50" s="1027"/>
      <c r="AC50" s="1027"/>
      <c r="AD50" s="1027"/>
      <c r="AE50" s="1027"/>
      <c r="AF50" s="1027"/>
      <c r="AG50" s="1027"/>
      <c r="AH50" s="1027"/>
      <c r="AI50" s="1027"/>
      <c r="AJ50" s="1027"/>
      <c r="AK50" s="1027"/>
      <c r="AL50" s="1027"/>
      <c r="AM50" s="1027"/>
      <c r="AN50" s="1027"/>
      <c r="AO50" s="1027"/>
      <c r="AP50" s="1027"/>
      <c r="AQ50" s="1027"/>
      <c r="AR50" s="1027"/>
      <c r="AS50" s="1027"/>
      <c r="AT50" s="1027"/>
      <c r="AU50" s="1027"/>
      <c r="AV50" s="1027"/>
    </row>
    <row r="51" spans="7:48">
      <c r="G51" s="673"/>
      <c r="H51" s="673"/>
      <c r="I51" s="673"/>
      <c r="J51" s="673"/>
      <c r="K51" s="673"/>
      <c r="L51" s="673"/>
      <c r="M51" s="673"/>
      <c r="N51" s="674"/>
      <c r="O51" s="673"/>
      <c r="P51" s="33" t="s">
        <v>1746</v>
      </c>
      <c r="Q51" s="34">
        <f>D14</f>
        <v>270450000</v>
      </c>
      <c r="R51" s="33"/>
      <c r="S51" s="33"/>
      <c r="T51" s="673"/>
      <c r="U51" s="673"/>
      <c r="V51" s="674"/>
      <c r="W51" s="1027"/>
      <c r="X51" s="1027"/>
      <c r="Y51" s="1027"/>
      <c r="Z51" s="1027"/>
      <c r="AA51" s="1027"/>
      <c r="AB51" s="1027"/>
      <c r="AC51" s="1027"/>
      <c r="AD51" s="1027"/>
      <c r="AE51" s="1027"/>
      <c r="AF51" s="1027"/>
      <c r="AG51" s="1027"/>
      <c r="AH51" s="1027"/>
      <c r="AI51" s="1027"/>
      <c r="AJ51" s="1027"/>
      <c r="AK51" s="1027"/>
      <c r="AL51" s="1027"/>
      <c r="AM51" s="1027"/>
      <c r="AN51" s="1027"/>
      <c r="AO51" s="1027"/>
      <c r="AP51" s="1027"/>
      <c r="AQ51" s="1027"/>
      <c r="AR51" s="1027"/>
      <c r="AS51" s="1027"/>
      <c r="AT51" s="1027"/>
      <c r="AU51" s="1027"/>
      <c r="AV51" s="1027"/>
    </row>
    <row r="52" spans="7:48">
      <c r="G52" s="673"/>
      <c r="H52" s="673"/>
      <c r="I52" s="673"/>
      <c r="J52" s="673"/>
      <c r="K52" s="673"/>
      <c r="L52" s="673"/>
      <c r="M52" s="673"/>
      <c r="N52" s="674"/>
      <c r="O52" s="673"/>
      <c r="P52" s="33" t="s">
        <v>1005</v>
      </c>
      <c r="Q52" s="34">
        <f>R14</f>
        <v>5120000</v>
      </c>
      <c r="R52" s="33"/>
      <c r="S52" s="33"/>
      <c r="T52" s="673"/>
      <c r="U52" s="673"/>
      <c r="V52" s="674"/>
      <c r="W52" s="1027"/>
      <c r="X52" s="1027"/>
      <c r="Y52" s="1027"/>
      <c r="Z52" s="1027"/>
      <c r="AA52" s="1027"/>
      <c r="AB52" s="1027"/>
      <c r="AC52" s="1027"/>
      <c r="AD52" s="1027"/>
      <c r="AE52" s="1027"/>
      <c r="AF52" s="1027"/>
      <c r="AG52" s="1027"/>
      <c r="AH52" s="1027"/>
      <c r="AI52" s="1027"/>
      <c r="AJ52" s="1027"/>
      <c r="AK52" s="1027"/>
      <c r="AL52" s="1027"/>
      <c r="AM52" s="1027"/>
      <c r="AN52" s="1027"/>
      <c r="AO52" s="1027"/>
      <c r="AP52" s="1027"/>
      <c r="AQ52" s="1027"/>
      <c r="AR52" s="1027"/>
      <c r="AS52" s="1027"/>
      <c r="AT52" s="1027"/>
      <c r="AU52" s="1027"/>
      <c r="AV52" s="1027"/>
    </row>
    <row r="53" spans="7:48">
      <c r="G53" s="673"/>
      <c r="H53" s="673"/>
      <c r="I53" s="673"/>
      <c r="J53" s="673"/>
      <c r="K53" s="673"/>
      <c r="L53" s="673"/>
      <c r="M53" s="673"/>
      <c r="N53" s="674"/>
      <c r="O53" s="673"/>
      <c r="P53" s="33" t="s">
        <v>1745</v>
      </c>
      <c r="Q53" s="34">
        <f>R15</f>
        <v>-2156000</v>
      </c>
      <c r="R53" s="33"/>
      <c r="S53" s="33"/>
      <c r="T53" s="673"/>
      <c r="U53" s="673"/>
      <c r="V53" s="674"/>
      <c r="W53" s="1027"/>
      <c r="X53" s="1027"/>
      <c r="Y53" s="1027"/>
      <c r="Z53" s="1027"/>
      <c r="AA53" s="1027"/>
      <c r="AB53" s="1027"/>
      <c r="AC53" s="1027"/>
      <c r="AD53" s="1027"/>
      <c r="AE53" s="1027"/>
      <c r="AF53" s="1027"/>
      <c r="AG53" s="1027"/>
      <c r="AH53" s="1027"/>
      <c r="AI53" s="1027"/>
      <c r="AJ53" s="1027"/>
      <c r="AK53" s="1027"/>
      <c r="AL53" s="1027"/>
      <c r="AM53" s="1027"/>
      <c r="AN53" s="1027"/>
      <c r="AO53" s="1027"/>
      <c r="AP53" s="1027"/>
      <c r="AQ53" s="1027"/>
      <c r="AR53" s="1027"/>
      <c r="AS53" s="1027"/>
      <c r="AT53" s="1027"/>
      <c r="AU53" s="1027"/>
      <c r="AV53" s="1027"/>
    </row>
    <row r="54" spans="7:48" ht="17.399999999999999">
      <c r="G54" s="673"/>
      <c r="H54" s="673"/>
      <c r="I54" s="673"/>
      <c r="J54" s="673"/>
      <c r="K54" s="673"/>
      <c r="L54" s="673"/>
      <c r="M54" s="673"/>
      <c r="N54" s="674"/>
      <c r="O54" s="673"/>
      <c r="P54" s="33" t="s">
        <v>152</v>
      </c>
      <c r="Q54" s="1186">
        <f>D17*1/4*(Q51+Q52+Q53/2)</f>
        <v>3088035</v>
      </c>
      <c r="R54" s="33"/>
      <c r="S54" s="33"/>
      <c r="T54" s="673"/>
      <c r="U54" s="673"/>
      <c r="V54" s="674"/>
      <c r="W54" s="1027"/>
      <c r="X54" s="1027"/>
      <c r="Y54" s="1027"/>
      <c r="Z54" s="1027"/>
      <c r="AA54" s="1027"/>
      <c r="AB54" s="1027"/>
      <c r="AC54" s="1027"/>
      <c r="AD54" s="1027"/>
      <c r="AE54" s="1027"/>
      <c r="AF54" s="1027"/>
      <c r="AG54" s="1027"/>
      <c r="AH54" s="1027"/>
      <c r="AI54" s="1027"/>
      <c r="AJ54" s="1027"/>
      <c r="AK54" s="1027"/>
      <c r="AL54" s="1027"/>
      <c r="AM54" s="1027"/>
      <c r="AN54" s="1027"/>
      <c r="AO54" s="1027"/>
      <c r="AP54" s="1027"/>
      <c r="AQ54" s="1027"/>
      <c r="AR54" s="1027"/>
      <c r="AS54" s="1027"/>
      <c r="AT54" s="1027"/>
      <c r="AU54" s="1027"/>
      <c r="AV54" s="1027"/>
    </row>
    <row r="55" spans="7:48">
      <c r="G55" s="673"/>
      <c r="H55" s="673"/>
      <c r="I55" s="673"/>
      <c r="J55" s="673"/>
      <c r="K55" s="673"/>
      <c r="L55" s="673"/>
      <c r="M55" s="673"/>
      <c r="N55" s="674"/>
      <c r="O55" s="673"/>
      <c r="P55" s="33" t="s">
        <v>1744</v>
      </c>
      <c r="Q55" s="1184">
        <f>SUM(Q51:Q54)</f>
        <v>276502035</v>
      </c>
      <c r="R55" s="33"/>
      <c r="S55" s="33"/>
      <c r="T55" s="673"/>
      <c r="U55" s="673"/>
      <c r="V55" s="674"/>
      <c r="W55" s="1027"/>
      <c r="X55" s="1027"/>
      <c r="Y55" s="1027"/>
      <c r="Z55" s="1027"/>
      <c r="AA55" s="1027"/>
      <c r="AB55" s="1027"/>
      <c r="AC55" s="1027"/>
      <c r="AD55" s="1027"/>
      <c r="AE55" s="1027"/>
      <c r="AF55" s="1027"/>
      <c r="AG55" s="1027"/>
      <c r="AH55" s="1027"/>
      <c r="AI55" s="1027"/>
      <c r="AJ55" s="1027"/>
      <c r="AK55" s="1027"/>
      <c r="AL55" s="1027"/>
      <c r="AM55" s="1027"/>
      <c r="AN55" s="1027"/>
      <c r="AO55" s="1027"/>
      <c r="AP55" s="1027"/>
      <c r="AQ55" s="1027"/>
      <c r="AR55" s="1027"/>
      <c r="AS55" s="1027"/>
      <c r="AT55" s="1027"/>
      <c r="AU55" s="1027"/>
      <c r="AV55" s="1027"/>
    </row>
    <row r="56" spans="7:48">
      <c r="G56" s="673"/>
      <c r="H56" s="673"/>
      <c r="I56" s="673"/>
      <c r="J56" s="673"/>
      <c r="K56" s="673"/>
      <c r="L56" s="673"/>
      <c r="M56" s="673"/>
      <c r="N56" s="674"/>
      <c r="O56" s="673"/>
      <c r="P56" s="33"/>
      <c r="Q56" s="1184"/>
      <c r="R56" s="33"/>
      <c r="S56" s="33"/>
      <c r="T56" s="673"/>
      <c r="U56" s="673"/>
      <c r="V56" s="674"/>
      <c r="W56" s="1027"/>
      <c r="X56" s="1027"/>
      <c r="Y56" s="1027"/>
      <c r="Z56" s="1027"/>
      <c r="AA56" s="1027"/>
      <c r="AB56" s="1027"/>
      <c r="AC56" s="1027"/>
      <c r="AD56" s="1027"/>
      <c r="AE56" s="1027"/>
      <c r="AF56" s="1027"/>
      <c r="AG56" s="1027"/>
      <c r="AH56" s="1027"/>
      <c r="AI56" s="1027"/>
      <c r="AJ56" s="1027"/>
      <c r="AK56" s="1027"/>
      <c r="AL56" s="1027"/>
      <c r="AM56" s="1027"/>
      <c r="AN56" s="1027"/>
      <c r="AO56" s="1027"/>
      <c r="AP56" s="1027"/>
      <c r="AQ56" s="1027"/>
      <c r="AR56" s="1027"/>
      <c r="AS56" s="1027"/>
      <c r="AT56" s="1027"/>
      <c r="AU56" s="1027"/>
      <c r="AV56" s="1027"/>
    </row>
    <row r="57" spans="7:48">
      <c r="G57" s="673"/>
      <c r="H57" s="673"/>
      <c r="I57" s="673"/>
      <c r="J57" s="673"/>
      <c r="K57" s="673"/>
      <c r="L57" s="673"/>
      <c r="M57" s="673"/>
      <c r="N57" s="674"/>
      <c r="O57" s="673"/>
      <c r="P57" s="1183" t="s">
        <v>1743</v>
      </c>
      <c r="Q57" s="33"/>
      <c r="R57" s="33"/>
      <c r="S57" s="33"/>
      <c r="T57" s="673"/>
      <c r="U57" s="673"/>
      <c r="V57" s="674"/>
      <c r="W57" s="1027"/>
      <c r="X57" s="1027"/>
      <c r="Y57" s="1027"/>
      <c r="Z57" s="1027"/>
      <c r="AA57" s="1027"/>
      <c r="AB57" s="1027"/>
      <c r="AC57" s="1027"/>
      <c r="AD57" s="1027"/>
      <c r="AE57" s="1027"/>
      <c r="AF57" s="1027"/>
      <c r="AG57" s="1027"/>
      <c r="AH57" s="1027"/>
      <c r="AI57" s="1027"/>
      <c r="AJ57" s="1027"/>
      <c r="AK57" s="1027"/>
      <c r="AL57" s="1027"/>
      <c r="AM57" s="1027"/>
      <c r="AN57" s="1027"/>
      <c r="AO57" s="1027"/>
      <c r="AP57" s="1027"/>
      <c r="AQ57" s="1027"/>
      <c r="AR57" s="1027"/>
      <c r="AS57" s="1027"/>
      <c r="AT57" s="1027"/>
      <c r="AU57" s="1027"/>
      <c r="AV57" s="1027"/>
    </row>
    <row r="58" spans="7:48">
      <c r="G58" s="673"/>
      <c r="H58" s="673"/>
      <c r="I58" s="673"/>
      <c r="J58" s="673"/>
      <c r="K58" s="673"/>
      <c r="L58" s="673"/>
      <c r="M58" s="673"/>
      <c r="N58" s="674"/>
      <c r="O58" s="673"/>
      <c r="P58" s="33" t="s">
        <v>1742</v>
      </c>
      <c r="Q58" s="1184">
        <f>Q55</f>
        <v>276502035</v>
      </c>
      <c r="R58" s="33"/>
      <c r="S58" s="33"/>
      <c r="T58" s="673"/>
      <c r="U58" s="673"/>
      <c r="V58" s="674"/>
      <c r="W58" s="1027"/>
      <c r="X58" s="1027"/>
      <c r="Y58" s="1027"/>
      <c r="Z58" s="1027"/>
      <c r="AA58" s="1027"/>
      <c r="AB58" s="1027"/>
      <c r="AC58" s="1027"/>
      <c r="AD58" s="1027"/>
      <c r="AE58" s="1027"/>
      <c r="AF58" s="1027"/>
      <c r="AG58" s="1027"/>
      <c r="AH58" s="1027"/>
      <c r="AI58" s="1027"/>
      <c r="AJ58" s="1027"/>
      <c r="AK58" s="1027"/>
      <c r="AL58" s="1027"/>
      <c r="AM58" s="1027"/>
      <c r="AN58" s="1027"/>
      <c r="AO58" s="1027"/>
      <c r="AP58" s="1027"/>
      <c r="AQ58" s="1027"/>
      <c r="AR58" s="1027"/>
      <c r="AS58" s="1027"/>
      <c r="AT58" s="1027"/>
      <c r="AU58" s="1027"/>
      <c r="AV58" s="1027"/>
    </row>
    <row r="59" spans="7:48">
      <c r="G59" s="673"/>
      <c r="H59" s="673"/>
      <c r="I59" s="673"/>
      <c r="J59" s="673"/>
      <c r="K59" s="673"/>
      <c r="L59" s="673"/>
      <c r="M59" s="673"/>
      <c r="N59" s="674"/>
      <c r="O59" s="673"/>
      <c r="P59" s="33" t="s">
        <v>1741</v>
      </c>
      <c r="Q59" s="34">
        <f>C38-Q48</f>
        <v>12494712.375</v>
      </c>
      <c r="R59" s="33"/>
      <c r="S59" s="33"/>
      <c r="T59" s="673"/>
      <c r="U59" s="673"/>
      <c r="V59" s="674"/>
      <c r="W59" s="1027"/>
      <c r="X59" s="1027"/>
      <c r="Y59" s="1027"/>
      <c r="Z59" s="1027"/>
      <c r="AA59" s="1027"/>
      <c r="AB59" s="1027"/>
      <c r="AC59" s="1027"/>
      <c r="AD59" s="1027"/>
      <c r="AE59" s="1027"/>
      <c r="AF59" s="1027"/>
      <c r="AG59" s="1027"/>
      <c r="AH59" s="1027"/>
      <c r="AI59" s="1027"/>
      <c r="AJ59" s="1027"/>
      <c r="AK59" s="1027"/>
      <c r="AL59" s="1027"/>
      <c r="AM59" s="1027"/>
      <c r="AN59" s="1027"/>
      <c r="AO59" s="1027"/>
      <c r="AP59" s="1027"/>
      <c r="AQ59" s="1027"/>
      <c r="AR59" s="1027"/>
      <c r="AS59" s="1027"/>
      <c r="AT59" s="1027"/>
      <c r="AU59" s="1027"/>
      <c r="AV59" s="1027"/>
    </row>
    <row r="60" spans="7:48">
      <c r="G60" s="673"/>
      <c r="H60" s="673"/>
      <c r="I60" s="673"/>
      <c r="J60" s="673"/>
      <c r="K60" s="673"/>
      <c r="L60" s="673"/>
      <c r="M60" s="673"/>
      <c r="N60" s="674"/>
      <c r="O60" s="673"/>
      <c r="P60" s="33" t="s">
        <v>1740</v>
      </c>
      <c r="Q60" s="1184">
        <f>Q58+Q59</f>
        <v>288996747.375</v>
      </c>
      <c r="R60" s="33"/>
      <c r="S60" s="33"/>
      <c r="T60" s="673"/>
      <c r="U60" s="673"/>
      <c r="V60" s="674"/>
      <c r="W60" s="1027"/>
      <c r="X60" s="1027"/>
      <c r="Y60" s="1027"/>
      <c r="Z60" s="1027"/>
      <c r="AA60" s="1027"/>
      <c r="AB60" s="1027"/>
      <c r="AC60" s="1027"/>
      <c r="AD60" s="1027"/>
      <c r="AE60" s="1027"/>
      <c r="AF60" s="1027"/>
      <c r="AG60" s="1027"/>
      <c r="AH60" s="1027"/>
      <c r="AI60" s="1027"/>
      <c r="AJ60" s="1027"/>
      <c r="AK60" s="1027"/>
      <c r="AL60" s="1027"/>
      <c r="AM60" s="1027"/>
      <c r="AN60" s="1027"/>
      <c r="AO60" s="1027"/>
      <c r="AP60" s="1027"/>
      <c r="AQ60" s="1027"/>
      <c r="AR60" s="1027"/>
      <c r="AS60" s="1027"/>
      <c r="AT60" s="1027"/>
      <c r="AU60" s="1027"/>
      <c r="AV60" s="1027"/>
    </row>
    <row r="61" spans="7:48">
      <c r="G61" s="673"/>
      <c r="H61" s="673"/>
      <c r="I61" s="673"/>
      <c r="J61" s="673"/>
      <c r="K61" s="673"/>
      <c r="L61" s="673"/>
      <c r="M61" s="673"/>
      <c r="N61" s="674"/>
      <c r="O61" s="673"/>
      <c r="P61" s="33" t="s">
        <v>1739</v>
      </c>
      <c r="Q61" s="1185">
        <f>C38/Q60</f>
        <v>0.4918740480339982</v>
      </c>
      <c r="R61" s="33"/>
      <c r="S61" s="33"/>
      <c r="T61" s="673"/>
      <c r="U61" s="673"/>
      <c r="V61" s="674"/>
      <c r="W61" s="1027"/>
      <c r="X61" s="1027"/>
      <c r="Y61" s="1027"/>
      <c r="Z61" s="1027"/>
      <c r="AA61" s="1027"/>
      <c r="AB61" s="1027"/>
      <c r="AC61" s="1027"/>
      <c r="AD61" s="1027"/>
      <c r="AE61" s="1027"/>
      <c r="AF61" s="1027"/>
      <c r="AG61" s="1027"/>
      <c r="AH61" s="1027"/>
      <c r="AI61" s="1027"/>
      <c r="AJ61" s="1027"/>
      <c r="AK61" s="1027"/>
      <c r="AL61" s="1027"/>
      <c r="AM61" s="1027"/>
      <c r="AN61" s="1027"/>
      <c r="AO61" s="1027"/>
      <c r="AP61" s="1027"/>
      <c r="AQ61" s="1027"/>
      <c r="AR61" s="1027"/>
      <c r="AS61" s="1027"/>
      <c r="AT61" s="1027"/>
      <c r="AU61" s="1027"/>
      <c r="AV61" s="1027"/>
    </row>
    <row r="62" spans="7:48">
      <c r="G62" s="673"/>
      <c r="H62" s="673"/>
      <c r="I62" s="673"/>
      <c r="J62" s="673"/>
      <c r="K62" s="673"/>
      <c r="L62" s="673"/>
      <c r="M62" s="673"/>
      <c r="N62" s="674"/>
      <c r="O62" s="673"/>
      <c r="P62" s="33" t="s">
        <v>1738</v>
      </c>
      <c r="Q62" s="34">
        <f>Q61*R32</f>
        <v>-10931246.365963612</v>
      </c>
      <c r="R62" s="33"/>
      <c r="S62" s="33"/>
      <c r="T62" s="673"/>
      <c r="U62" s="673"/>
      <c r="V62" s="674"/>
      <c r="W62" s="1027"/>
      <c r="X62" s="1027"/>
      <c r="Y62" s="1027"/>
      <c r="Z62" s="1027"/>
      <c r="AA62" s="1027"/>
      <c r="AB62" s="1027"/>
      <c r="AC62" s="1027"/>
      <c r="AD62" s="1027"/>
      <c r="AE62" s="1027"/>
      <c r="AF62" s="1027"/>
      <c r="AG62" s="1027"/>
      <c r="AH62" s="1027"/>
      <c r="AI62" s="1027"/>
      <c r="AJ62" s="1027"/>
      <c r="AK62" s="1027"/>
      <c r="AL62" s="1027"/>
      <c r="AM62" s="1027"/>
      <c r="AN62" s="1027"/>
      <c r="AO62" s="1027"/>
      <c r="AP62" s="1027"/>
      <c r="AQ62" s="1027"/>
      <c r="AR62" s="1027"/>
      <c r="AS62" s="1027"/>
      <c r="AT62" s="1027"/>
      <c r="AU62" s="1027"/>
      <c r="AV62" s="1027"/>
    </row>
    <row r="63" spans="7:48">
      <c r="G63" s="673"/>
      <c r="H63" s="673"/>
      <c r="I63" s="673"/>
      <c r="J63" s="673"/>
      <c r="K63" s="673"/>
      <c r="L63" s="673"/>
      <c r="M63" s="673"/>
      <c r="N63" s="674"/>
      <c r="O63" s="673"/>
      <c r="P63" s="33"/>
      <c r="Q63" s="1184"/>
      <c r="R63" s="33"/>
      <c r="S63" s="33"/>
      <c r="T63" s="673"/>
      <c r="U63" s="673"/>
      <c r="V63" s="674"/>
      <c r="W63" s="1027"/>
      <c r="X63" s="1027"/>
      <c r="Y63" s="1027"/>
      <c r="Z63" s="1027"/>
      <c r="AA63" s="1027"/>
      <c r="AB63" s="1027"/>
      <c r="AC63" s="1027"/>
      <c r="AD63" s="1027"/>
      <c r="AE63" s="1027"/>
      <c r="AF63" s="1027"/>
      <c r="AG63" s="1027"/>
      <c r="AH63" s="1027"/>
      <c r="AI63" s="1027"/>
      <c r="AJ63" s="1027"/>
      <c r="AK63" s="1027"/>
      <c r="AL63" s="1027"/>
      <c r="AM63" s="1027"/>
      <c r="AN63" s="1027"/>
      <c r="AO63" s="1027"/>
      <c r="AP63" s="1027"/>
      <c r="AQ63" s="1027"/>
      <c r="AR63" s="1027"/>
      <c r="AS63" s="1027"/>
      <c r="AT63" s="1027"/>
      <c r="AU63" s="1027"/>
      <c r="AV63" s="1027"/>
    </row>
    <row r="64" spans="7:48">
      <c r="G64" s="673"/>
      <c r="H64" s="673"/>
      <c r="I64" s="673"/>
      <c r="J64" s="673"/>
      <c r="K64" s="673"/>
      <c r="L64" s="673"/>
      <c r="M64" s="673"/>
      <c r="N64" s="674"/>
      <c r="O64" s="673"/>
      <c r="P64" s="1183" t="s">
        <v>1737</v>
      </c>
      <c r="Q64" s="34">
        <f>J30+J32</f>
        <v>-60182682.5</v>
      </c>
      <c r="R64" s="33"/>
      <c r="S64" s="33"/>
      <c r="T64" s="673"/>
      <c r="U64" s="673"/>
      <c r="V64" s="674"/>
      <c r="W64" s="1027"/>
      <c r="X64" s="1027"/>
      <c r="Y64" s="1027"/>
      <c r="Z64" s="1027"/>
      <c r="AA64" s="1027"/>
      <c r="AB64" s="1027"/>
      <c r="AC64" s="1027"/>
      <c r="AD64" s="1027"/>
      <c r="AE64" s="1027"/>
      <c r="AF64" s="1027"/>
      <c r="AG64" s="1027"/>
      <c r="AH64" s="1027"/>
      <c r="AI64" s="1027"/>
      <c r="AJ64" s="1027"/>
      <c r="AK64" s="1027"/>
      <c r="AL64" s="1027"/>
      <c r="AM64" s="1027"/>
      <c r="AN64" s="1027"/>
      <c r="AO64" s="1027"/>
      <c r="AP64" s="1027"/>
      <c r="AQ64" s="1027"/>
      <c r="AR64" s="1027"/>
      <c r="AS64" s="1027"/>
      <c r="AT64" s="1027"/>
      <c r="AU64" s="1027"/>
      <c r="AV64" s="1027"/>
    </row>
    <row r="65" spans="7:48">
      <c r="G65" s="673"/>
      <c r="H65" s="673"/>
      <c r="I65" s="673"/>
      <c r="J65" s="673"/>
      <c r="K65" s="673"/>
      <c r="L65" s="673"/>
      <c r="M65" s="673"/>
      <c r="N65" s="674"/>
      <c r="O65" s="673"/>
      <c r="P65" s="1183" t="s">
        <v>1736</v>
      </c>
      <c r="Q65" s="34">
        <f>Q41/4</f>
        <v>4392734.5515267178</v>
      </c>
      <c r="R65" s="33"/>
      <c r="S65" s="33"/>
      <c r="T65" s="673"/>
      <c r="U65" s="673"/>
      <c r="V65" s="674"/>
      <c r="W65" s="1027"/>
      <c r="X65" s="1027"/>
      <c r="Y65" s="1027"/>
      <c r="Z65" s="1027"/>
      <c r="AA65" s="1027"/>
      <c r="AB65" s="1027"/>
      <c r="AC65" s="1027"/>
      <c r="AD65" s="1027"/>
      <c r="AE65" s="1027"/>
      <c r="AF65" s="1027"/>
      <c r="AG65" s="1027"/>
      <c r="AH65" s="1027"/>
      <c r="AI65" s="1027"/>
      <c r="AJ65" s="1027"/>
      <c r="AK65" s="1027"/>
      <c r="AL65" s="1027"/>
      <c r="AM65" s="1027"/>
      <c r="AN65" s="1027"/>
      <c r="AO65" s="1027"/>
      <c r="AP65" s="1027"/>
      <c r="AQ65" s="1027"/>
      <c r="AR65" s="1027"/>
      <c r="AS65" s="1027"/>
      <c r="AT65" s="1027"/>
      <c r="AU65" s="1027"/>
      <c r="AV65" s="1027"/>
    </row>
    <row r="66" spans="7:48">
      <c r="G66" s="673"/>
      <c r="H66" s="673"/>
      <c r="I66" s="673"/>
      <c r="J66" s="673"/>
      <c r="K66" s="673"/>
      <c r="L66" s="673"/>
      <c r="M66" s="673"/>
      <c r="N66" s="674"/>
      <c r="O66" s="673"/>
      <c r="P66" s="1183" t="s">
        <v>1735</v>
      </c>
      <c r="Q66" s="34">
        <f>C37</f>
        <v>5952000</v>
      </c>
      <c r="R66" s="33"/>
      <c r="S66" s="33"/>
      <c r="T66" s="673"/>
      <c r="U66" s="673"/>
      <c r="V66" s="674"/>
      <c r="W66" s="1027"/>
      <c r="X66" s="1027"/>
      <c r="Y66" s="1027"/>
      <c r="Z66" s="1027"/>
      <c r="AA66" s="1027"/>
      <c r="AB66" s="1027"/>
      <c r="AC66" s="1027"/>
      <c r="AD66" s="1027"/>
      <c r="AE66" s="1027"/>
      <c r="AF66" s="1027"/>
      <c r="AG66" s="1027"/>
      <c r="AH66" s="1027"/>
      <c r="AI66" s="1027"/>
      <c r="AJ66" s="1027"/>
      <c r="AK66" s="1027"/>
      <c r="AL66" s="1027"/>
      <c r="AM66" s="1027"/>
      <c r="AN66" s="1027"/>
      <c r="AO66" s="1027"/>
      <c r="AP66" s="1027"/>
      <c r="AQ66" s="1027"/>
      <c r="AR66" s="1027"/>
      <c r="AS66" s="1027"/>
      <c r="AT66" s="1027"/>
      <c r="AU66" s="1027"/>
      <c r="AV66" s="1027"/>
    </row>
    <row r="67" spans="7:48">
      <c r="G67" s="673"/>
      <c r="H67" s="673"/>
      <c r="I67" s="673"/>
      <c r="J67" s="673"/>
      <c r="K67" s="673"/>
      <c r="L67" s="673"/>
      <c r="M67" s="673"/>
      <c r="N67" s="674"/>
      <c r="O67" s="673"/>
      <c r="P67" s="1183" t="s">
        <v>1734</v>
      </c>
      <c r="Q67" s="34">
        <f>Q64-Q65+Q66</f>
        <v>-58623417.051526718</v>
      </c>
      <c r="R67" s="33"/>
      <c r="S67" s="33"/>
      <c r="T67" s="673"/>
      <c r="U67" s="673"/>
      <c r="V67" s="674"/>
      <c r="W67" s="1027"/>
      <c r="X67" s="1027"/>
      <c r="Y67" s="1027"/>
      <c r="Z67" s="1027"/>
      <c r="AA67" s="1027"/>
      <c r="AB67" s="1027"/>
      <c r="AC67" s="1027"/>
      <c r="AD67" s="1027"/>
      <c r="AE67" s="1027"/>
      <c r="AF67" s="1027"/>
      <c r="AG67" s="1027"/>
      <c r="AH67" s="1027"/>
      <c r="AI67" s="1027"/>
      <c r="AJ67" s="1027"/>
      <c r="AK67" s="1027"/>
      <c r="AL67" s="1027"/>
      <c r="AM67" s="1027"/>
      <c r="AN67" s="1027"/>
      <c r="AO67" s="1027"/>
      <c r="AP67" s="1027"/>
      <c r="AQ67" s="1027"/>
      <c r="AR67" s="1027"/>
      <c r="AS67" s="1027"/>
      <c r="AT67" s="1027"/>
      <c r="AU67" s="1027"/>
      <c r="AV67" s="1027"/>
    </row>
    <row r="68" spans="7:48">
      <c r="G68" s="673"/>
      <c r="H68" s="673"/>
      <c r="I68" s="673"/>
      <c r="J68" s="673"/>
      <c r="K68" s="673"/>
      <c r="L68" s="673"/>
      <c r="M68" s="673"/>
      <c r="N68" s="674"/>
      <c r="O68" s="673"/>
      <c r="P68" s="1183" t="s">
        <v>1358</v>
      </c>
      <c r="Q68" s="34">
        <f>Q62</f>
        <v>-10931246.365963612</v>
      </c>
      <c r="R68" s="33"/>
      <c r="S68" s="33"/>
      <c r="T68" s="673"/>
      <c r="U68" s="673"/>
      <c r="V68" s="674"/>
      <c r="W68" s="1027"/>
      <c r="X68" s="1027"/>
      <c r="Y68" s="1027"/>
      <c r="Z68" s="1027"/>
      <c r="AA68" s="1027"/>
      <c r="AB68" s="1027"/>
      <c r="AC68" s="1027"/>
      <c r="AD68" s="1027"/>
      <c r="AE68" s="1027"/>
      <c r="AF68" s="1027"/>
      <c r="AG68" s="1027"/>
      <c r="AH68" s="1027"/>
      <c r="AI68" s="1027"/>
      <c r="AJ68" s="1027"/>
      <c r="AK68" s="1027"/>
      <c r="AL68" s="1027"/>
      <c r="AM68" s="1027"/>
      <c r="AN68" s="1027"/>
      <c r="AO68" s="1027"/>
      <c r="AP68" s="1027"/>
      <c r="AQ68" s="1027"/>
      <c r="AR68" s="1027"/>
      <c r="AS68" s="1027"/>
      <c r="AT68" s="1027"/>
      <c r="AU68" s="1027"/>
      <c r="AV68" s="1027"/>
    </row>
    <row r="69" spans="7:48">
      <c r="G69" s="673"/>
      <c r="H69" s="673"/>
      <c r="I69" s="673"/>
      <c r="J69" s="673"/>
      <c r="K69" s="673"/>
      <c r="L69" s="673"/>
      <c r="M69" s="673"/>
      <c r="N69" s="674"/>
      <c r="O69" s="673"/>
      <c r="P69" s="1183" t="s">
        <v>1733</v>
      </c>
      <c r="Q69" s="34">
        <f>Q67-Q68</f>
        <v>-47692170.685563102</v>
      </c>
      <c r="R69" s="34"/>
      <c r="S69" s="33"/>
      <c r="T69" s="673"/>
      <c r="U69" s="673"/>
      <c r="V69" s="674"/>
      <c r="W69" s="1027"/>
      <c r="X69" s="1027"/>
      <c r="Y69" s="1027"/>
      <c r="Z69" s="1027"/>
      <c r="AA69" s="1027"/>
      <c r="AB69" s="1027"/>
      <c r="AC69" s="1027"/>
      <c r="AD69" s="1027"/>
      <c r="AE69" s="1027"/>
      <c r="AF69" s="1027"/>
      <c r="AG69" s="1027"/>
      <c r="AH69" s="1027"/>
      <c r="AI69" s="1027"/>
      <c r="AJ69" s="1027"/>
      <c r="AK69" s="1027"/>
      <c r="AL69" s="1027"/>
      <c r="AM69" s="1027"/>
      <c r="AN69" s="1027"/>
      <c r="AO69" s="1027"/>
      <c r="AP69" s="1027"/>
      <c r="AQ69" s="1027"/>
      <c r="AR69" s="1027"/>
      <c r="AS69" s="1027"/>
      <c r="AT69" s="1027"/>
      <c r="AU69" s="1027"/>
      <c r="AV69" s="1027"/>
    </row>
    <row r="70" spans="7:48">
      <c r="G70" s="673"/>
      <c r="H70" s="673"/>
      <c r="I70" s="673"/>
      <c r="J70" s="673"/>
      <c r="K70" s="673"/>
      <c r="L70" s="673"/>
      <c r="M70" s="673"/>
      <c r="N70" s="674"/>
      <c r="O70" s="673"/>
      <c r="P70" s="1183"/>
      <c r="Q70" s="34"/>
      <c r="R70" s="33"/>
      <c r="T70" s="673"/>
      <c r="U70" s="673"/>
      <c r="V70" s="674"/>
      <c r="W70" s="1027"/>
      <c r="X70" s="1027"/>
      <c r="Y70" s="1027"/>
      <c r="Z70" s="1027"/>
      <c r="AA70" s="1027"/>
      <c r="AB70" s="1027"/>
      <c r="AC70" s="1027"/>
      <c r="AD70" s="1027"/>
      <c r="AE70" s="1027"/>
      <c r="AF70" s="1027"/>
      <c r="AG70" s="1027"/>
      <c r="AH70" s="1027"/>
      <c r="AI70" s="1027"/>
      <c r="AJ70" s="1027"/>
      <c r="AK70" s="1027"/>
      <c r="AL70" s="1027"/>
      <c r="AM70" s="1027"/>
      <c r="AN70" s="1027"/>
      <c r="AO70" s="1027"/>
      <c r="AP70" s="1027"/>
      <c r="AQ70" s="1027"/>
      <c r="AR70" s="1027"/>
      <c r="AS70" s="1027"/>
      <c r="AT70" s="1027"/>
      <c r="AU70" s="1027"/>
      <c r="AV70" s="1027"/>
    </row>
    <row r="71" spans="7:48">
      <c r="G71" s="673"/>
      <c r="H71" s="673"/>
      <c r="I71" s="673"/>
      <c r="J71" s="673"/>
      <c r="K71" s="673"/>
      <c r="L71" s="673"/>
      <c r="M71" s="673"/>
      <c r="N71" s="674"/>
      <c r="O71" s="673"/>
      <c r="P71" s="1183" t="s">
        <v>1732</v>
      </c>
      <c r="Q71" s="33"/>
      <c r="R71" s="33"/>
      <c r="S71" s="33"/>
      <c r="T71" s="673"/>
      <c r="U71" s="673"/>
      <c r="V71" s="674"/>
      <c r="W71" s="1027"/>
      <c r="X71" s="1027"/>
      <c r="Y71" s="1027"/>
      <c r="Z71" s="1027"/>
      <c r="AA71" s="1027"/>
      <c r="AB71" s="1027"/>
      <c r="AC71" s="1027"/>
      <c r="AD71" s="1027"/>
      <c r="AE71" s="1027"/>
      <c r="AF71" s="1027"/>
      <c r="AG71" s="1027"/>
      <c r="AH71" s="1027"/>
      <c r="AI71" s="1027"/>
      <c r="AJ71" s="1027"/>
      <c r="AK71" s="1027"/>
      <c r="AL71" s="1027"/>
      <c r="AM71" s="1027"/>
      <c r="AN71" s="1027"/>
      <c r="AO71" s="1027"/>
      <c r="AP71" s="1027"/>
      <c r="AQ71" s="1027"/>
      <c r="AR71" s="1027"/>
      <c r="AS71" s="1027"/>
      <c r="AT71" s="1027"/>
      <c r="AU71" s="1027"/>
      <c r="AV71" s="1027"/>
    </row>
    <row r="72" spans="7:48">
      <c r="G72" s="673"/>
      <c r="H72" s="673"/>
      <c r="I72" s="673"/>
      <c r="J72" s="673"/>
      <c r="K72" s="673"/>
      <c r="L72" s="673"/>
      <c r="M72" s="673"/>
      <c r="N72" s="674"/>
      <c r="O72" s="673"/>
      <c r="P72" s="1183"/>
      <c r="Q72" s="33"/>
      <c r="R72" s="33"/>
      <c r="S72" s="33"/>
      <c r="T72" s="673"/>
      <c r="U72" s="673"/>
      <c r="V72" s="674"/>
      <c r="W72" s="1027"/>
      <c r="X72" s="1027"/>
      <c r="Y72" s="1027"/>
      <c r="Z72" s="1027"/>
      <c r="AA72" s="1027"/>
      <c r="AB72" s="1027"/>
      <c r="AC72" s="1027"/>
      <c r="AD72" s="1027"/>
      <c r="AE72" s="1027"/>
      <c r="AF72" s="1027"/>
      <c r="AG72" s="1027"/>
      <c r="AH72" s="1027"/>
      <c r="AI72" s="1027"/>
      <c r="AJ72" s="1027"/>
      <c r="AK72" s="1027"/>
      <c r="AL72" s="1027"/>
      <c r="AM72" s="1027"/>
      <c r="AN72" s="1027"/>
      <c r="AO72" s="1027"/>
      <c r="AP72" s="1027"/>
      <c r="AQ72" s="1027"/>
      <c r="AR72" s="1027"/>
      <c r="AS72" s="1027"/>
      <c r="AT72" s="1027"/>
      <c r="AU72" s="1027"/>
      <c r="AV72" s="1027"/>
    </row>
    <row r="73" spans="7:48">
      <c r="G73" s="673"/>
      <c r="H73" s="673"/>
      <c r="I73" s="673"/>
      <c r="J73" s="673"/>
      <c r="K73" s="673"/>
      <c r="L73" s="673"/>
      <c r="M73" s="673"/>
      <c r="N73" s="674"/>
      <c r="O73" s="673"/>
      <c r="S73" s="33"/>
      <c r="T73" s="673"/>
      <c r="U73" s="673"/>
      <c r="V73" s="674"/>
      <c r="W73" s="1027"/>
      <c r="X73" s="1027"/>
      <c r="Y73" s="1027"/>
      <c r="Z73" s="1027"/>
      <c r="AA73" s="1027"/>
      <c r="AB73" s="1027"/>
      <c r="AC73" s="1027"/>
      <c r="AD73" s="1027"/>
      <c r="AE73" s="1027"/>
      <c r="AF73" s="1027"/>
      <c r="AG73" s="1027"/>
      <c r="AH73" s="1027"/>
      <c r="AI73" s="1027"/>
      <c r="AJ73" s="1027"/>
      <c r="AK73" s="1027"/>
      <c r="AL73" s="1027"/>
      <c r="AM73" s="1027"/>
      <c r="AN73" s="1027"/>
      <c r="AO73" s="1027"/>
      <c r="AP73" s="1027"/>
      <c r="AQ73" s="1027"/>
      <c r="AR73" s="1027"/>
      <c r="AS73" s="1027"/>
      <c r="AT73" s="1027"/>
      <c r="AU73" s="1027"/>
      <c r="AV73" s="1027"/>
    </row>
    <row r="74" spans="7:48">
      <c r="G74" s="673"/>
      <c r="H74" s="673"/>
      <c r="I74" s="673"/>
      <c r="J74" s="673"/>
      <c r="K74" s="673"/>
      <c r="L74" s="673"/>
      <c r="M74" s="673"/>
      <c r="N74" s="674"/>
      <c r="O74" s="673"/>
      <c r="U74" s="673"/>
      <c r="V74" s="674"/>
      <c r="W74" s="1027"/>
      <c r="X74" s="1027"/>
      <c r="Y74" s="1027"/>
      <c r="Z74" s="1027"/>
      <c r="AA74" s="1027"/>
      <c r="AB74" s="1027"/>
      <c r="AC74" s="1027"/>
      <c r="AD74" s="1027"/>
      <c r="AE74" s="1027"/>
      <c r="AF74" s="1027"/>
      <c r="AG74" s="1027"/>
      <c r="AH74" s="1027"/>
      <c r="AI74" s="1027"/>
      <c r="AJ74" s="1027"/>
      <c r="AK74" s="1027"/>
      <c r="AL74" s="1027"/>
      <c r="AM74" s="1027"/>
      <c r="AN74" s="1027"/>
      <c r="AO74" s="1027"/>
      <c r="AP74" s="1027"/>
      <c r="AQ74" s="1027"/>
      <c r="AR74" s="1027"/>
      <c r="AS74" s="1027"/>
      <c r="AT74" s="1027"/>
      <c r="AU74" s="1027"/>
      <c r="AV74" s="1027"/>
    </row>
    <row r="75" spans="7:48">
      <c r="G75" s="673"/>
      <c r="H75" s="673"/>
      <c r="I75" s="673"/>
      <c r="J75" s="673"/>
      <c r="K75" s="673"/>
      <c r="L75" s="673"/>
      <c r="M75" s="673"/>
      <c r="N75" s="674"/>
      <c r="O75" s="673"/>
      <c r="S75" s="33"/>
      <c r="T75" s="673"/>
      <c r="U75" s="673"/>
      <c r="V75" s="674"/>
      <c r="W75" s="1027"/>
      <c r="X75" s="1027"/>
      <c r="Y75" s="1027"/>
      <c r="Z75" s="1027"/>
      <c r="AA75" s="1027"/>
      <c r="AB75" s="1027"/>
      <c r="AC75" s="1027"/>
      <c r="AD75" s="1027"/>
      <c r="AE75" s="1027"/>
      <c r="AF75" s="1027"/>
      <c r="AG75" s="1027"/>
      <c r="AH75" s="1027"/>
      <c r="AI75" s="1027"/>
      <c r="AJ75" s="1027"/>
      <c r="AK75" s="1027"/>
      <c r="AL75" s="1027"/>
      <c r="AM75" s="1027"/>
      <c r="AN75" s="1027"/>
      <c r="AO75" s="1027"/>
      <c r="AP75" s="1027"/>
      <c r="AQ75" s="1027"/>
      <c r="AR75" s="1027"/>
      <c r="AS75" s="1027"/>
      <c r="AT75" s="1027"/>
      <c r="AU75" s="1027"/>
      <c r="AV75" s="1027"/>
    </row>
    <row r="76" spans="7:48">
      <c r="G76" s="673"/>
      <c r="H76" s="673"/>
      <c r="I76" s="673"/>
      <c r="J76" s="673"/>
      <c r="K76" s="673"/>
      <c r="L76" s="673"/>
      <c r="M76" s="673"/>
      <c r="N76" s="674"/>
      <c r="O76" s="673"/>
      <c r="S76" s="33"/>
      <c r="T76" s="673"/>
      <c r="U76" s="673"/>
      <c r="V76" s="674"/>
      <c r="W76" s="1027"/>
      <c r="X76" s="1027"/>
      <c r="Y76" s="1027"/>
      <c r="Z76" s="1027"/>
      <c r="AA76" s="1027"/>
      <c r="AB76" s="1027"/>
      <c r="AC76" s="1027"/>
      <c r="AD76" s="1027"/>
      <c r="AE76" s="1027"/>
      <c r="AF76" s="1027"/>
      <c r="AG76" s="1027"/>
      <c r="AH76" s="1027"/>
      <c r="AI76" s="1027"/>
      <c r="AJ76" s="1027"/>
      <c r="AK76" s="1027"/>
      <c r="AL76" s="1027"/>
      <c r="AM76" s="1027"/>
      <c r="AN76" s="1027"/>
      <c r="AO76" s="1027"/>
      <c r="AP76" s="1027"/>
      <c r="AQ76" s="1027"/>
      <c r="AR76" s="1027"/>
      <c r="AS76" s="1027"/>
      <c r="AT76" s="1027"/>
      <c r="AU76" s="1027"/>
      <c r="AV76" s="1027"/>
    </row>
    <row r="77" spans="7:48">
      <c r="G77" s="673"/>
      <c r="H77" s="673"/>
      <c r="I77" s="673"/>
      <c r="J77" s="673"/>
      <c r="K77" s="673"/>
      <c r="L77" s="673"/>
      <c r="M77" s="673"/>
      <c r="N77" s="674"/>
      <c r="O77" s="673"/>
      <c r="S77" s="33"/>
      <c r="T77" s="673"/>
      <c r="U77" s="673"/>
      <c r="V77" s="674"/>
      <c r="W77" s="1027"/>
      <c r="X77" s="1027"/>
      <c r="Y77" s="1027"/>
      <c r="Z77" s="1027"/>
      <c r="AA77" s="1027"/>
      <c r="AB77" s="1027"/>
      <c r="AC77" s="1027"/>
      <c r="AD77" s="1027"/>
      <c r="AE77" s="1027"/>
      <c r="AF77" s="1027"/>
      <c r="AG77" s="1027"/>
      <c r="AH77" s="1027"/>
      <c r="AI77" s="1027"/>
      <c r="AJ77" s="1027"/>
      <c r="AK77" s="1027"/>
      <c r="AL77" s="1027"/>
      <c r="AM77" s="1027"/>
      <c r="AN77" s="1027"/>
      <c r="AO77" s="1027"/>
      <c r="AP77" s="1027"/>
      <c r="AQ77" s="1027"/>
      <c r="AR77" s="1027"/>
      <c r="AS77" s="1027"/>
      <c r="AT77" s="1027"/>
      <c r="AU77" s="1027"/>
      <c r="AV77" s="1027"/>
    </row>
    <row r="78" spans="7:48">
      <c r="G78" s="673"/>
      <c r="H78" s="673"/>
      <c r="I78" s="673"/>
      <c r="J78" s="673"/>
      <c r="K78" s="673"/>
      <c r="L78" s="673"/>
      <c r="M78" s="673"/>
      <c r="N78" s="674"/>
      <c r="O78" s="673"/>
      <c r="S78" s="33"/>
      <c r="T78" s="673"/>
      <c r="U78" s="673"/>
      <c r="V78" s="674"/>
      <c r="W78" s="1027"/>
      <c r="X78" s="1027"/>
      <c r="Y78" s="1027"/>
      <c r="Z78" s="1027"/>
      <c r="AA78" s="1027"/>
      <c r="AB78" s="1027"/>
      <c r="AC78" s="1027"/>
      <c r="AD78" s="1027"/>
      <c r="AE78" s="1027"/>
      <c r="AF78" s="1027"/>
      <c r="AG78" s="1027"/>
      <c r="AH78" s="1027"/>
      <c r="AI78" s="1027"/>
      <c r="AJ78" s="1027"/>
      <c r="AK78" s="1027"/>
      <c r="AL78" s="1027"/>
      <c r="AM78" s="1027"/>
      <c r="AN78" s="1027"/>
      <c r="AO78" s="1027"/>
      <c r="AP78" s="1027"/>
      <c r="AQ78" s="1027"/>
      <c r="AR78" s="1027"/>
      <c r="AS78" s="1027"/>
      <c r="AT78" s="1027"/>
      <c r="AU78" s="1027"/>
      <c r="AV78" s="1027"/>
    </row>
    <row r="79" spans="7:48">
      <c r="G79" s="673"/>
      <c r="H79" s="673"/>
      <c r="I79" s="673"/>
      <c r="J79" s="673"/>
      <c r="K79" s="673"/>
      <c r="L79" s="673"/>
      <c r="M79" s="673"/>
      <c r="N79" s="674"/>
      <c r="O79" s="673"/>
      <c r="S79" s="33"/>
      <c r="T79" s="673"/>
      <c r="U79" s="673"/>
      <c r="V79" s="674"/>
      <c r="W79" s="1027"/>
      <c r="X79" s="1027"/>
      <c r="Y79" s="1027"/>
      <c r="Z79" s="1027"/>
      <c r="AA79" s="1027"/>
      <c r="AB79" s="1027"/>
      <c r="AC79" s="1027"/>
      <c r="AD79" s="1027"/>
      <c r="AE79" s="1027"/>
      <c r="AF79" s="1027"/>
      <c r="AG79" s="1027"/>
      <c r="AH79" s="1027"/>
      <c r="AI79" s="1027"/>
      <c r="AJ79" s="1027"/>
      <c r="AK79" s="1027"/>
      <c r="AL79" s="1027"/>
      <c r="AM79" s="1027"/>
      <c r="AN79" s="1027"/>
      <c r="AO79" s="1027"/>
      <c r="AP79" s="1027"/>
      <c r="AQ79" s="1027"/>
      <c r="AR79" s="1027"/>
      <c r="AS79" s="1027"/>
      <c r="AT79" s="1027"/>
      <c r="AU79" s="1027"/>
      <c r="AV79" s="1027"/>
    </row>
    <row r="80" spans="7:48">
      <c r="G80" s="673"/>
      <c r="H80" s="673"/>
      <c r="I80" s="673"/>
      <c r="J80" s="673"/>
      <c r="K80" s="673"/>
      <c r="L80" s="673"/>
      <c r="M80" s="673"/>
      <c r="N80" s="674"/>
      <c r="O80" s="673"/>
      <c r="S80" s="33"/>
      <c r="T80" s="673"/>
      <c r="U80" s="673"/>
      <c r="V80" s="674"/>
      <c r="W80" s="1027"/>
      <c r="X80" s="1027"/>
      <c r="Y80" s="1027"/>
      <c r="Z80" s="1027"/>
      <c r="AA80" s="1027"/>
      <c r="AB80" s="1027"/>
      <c r="AC80" s="1027"/>
      <c r="AD80" s="1027"/>
      <c r="AE80" s="1027"/>
      <c r="AF80" s="1027"/>
      <c r="AG80" s="1027"/>
      <c r="AH80" s="1027"/>
      <c r="AI80" s="1027"/>
      <c r="AJ80" s="1027"/>
      <c r="AK80" s="1027"/>
      <c r="AL80" s="1027"/>
      <c r="AM80" s="1027"/>
      <c r="AN80" s="1027"/>
      <c r="AO80" s="1027"/>
      <c r="AP80" s="1027"/>
      <c r="AQ80" s="1027"/>
      <c r="AR80" s="1027"/>
      <c r="AS80" s="1027"/>
      <c r="AT80" s="1027"/>
      <c r="AU80" s="1027"/>
      <c r="AV80" s="1027"/>
    </row>
    <row r="81" spans="7:48">
      <c r="G81" s="673"/>
      <c r="H81" s="673"/>
      <c r="I81" s="673"/>
      <c r="J81" s="673"/>
      <c r="K81" s="673"/>
      <c r="L81" s="673"/>
      <c r="M81" s="673"/>
      <c r="N81" s="674"/>
      <c r="O81" s="673"/>
      <c r="S81" s="33"/>
      <c r="T81" s="673"/>
      <c r="U81" s="673"/>
      <c r="V81" s="674"/>
      <c r="W81" s="1027"/>
      <c r="X81" s="1027"/>
      <c r="Y81" s="1027"/>
      <c r="Z81" s="1027"/>
      <c r="AA81" s="1027"/>
      <c r="AB81" s="1027"/>
      <c r="AC81" s="1027"/>
      <c r="AD81" s="1027"/>
      <c r="AE81" s="1027"/>
      <c r="AF81" s="1027"/>
      <c r="AG81" s="1027"/>
      <c r="AH81" s="1027"/>
      <c r="AI81" s="1027"/>
      <c r="AJ81" s="1027"/>
      <c r="AK81" s="1027"/>
      <c r="AL81" s="1027"/>
      <c r="AM81" s="1027"/>
      <c r="AN81" s="1027"/>
      <c r="AO81" s="1027"/>
      <c r="AP81" s="1027"/>
      <c r="AQ81" s="1027"/>
      <c r="AR81" s="1027"/>
      <c r="AS81" s="1027"/>
      <c r="AT81" s="1027"/>
      <c r="AU81" s="1027"/>
      <c r="AV81" s="1027"/>
    </row>
    <row r="82" spans="7:48">
      <c r="G82" s="673"/>
      <c r="H82" s="673"/>
      <c r="I82" s="673"/>
      <c r="J82" s="673"/>
      <c r="K82" s="673"/>
      <c r="L82" s="673"/>
      <c r="M82" s="673"/>
      <c r="N82" s="674"/>
      <c r="O82" s="673"/>
      <c r="S82" s="33"/>
      <c r="T82" s="673"/>
      <c r="U82" s="673"/>
      <c r="V82" s="674"/>
      <c r="W82" s="1027"/>
      <c r="X82" s="1027"/>
      <c r="Y82" s="1027"/>
      <c r="Z82" s="1027"/>
      <c r="AA82" s="1027"/>
      <c r="AB82" s="1027"/>
      <c r="AC82" s="1027"/>
      <c r="AD82" s="1027"/>
      <c r="AE82" s="1027"/>
      <c r="AF82" s="1027"/>
      <c r="AG82" s="1027"/>
      <c r="AH82" s="1027"/>
      <c r="AI82" s="1027"/>
      <c r="AJ82" s="1027"/>
      <c r="AK82" s="1027"/>
      <c r="AL82" s="1027"/>
      <c r="AM82" s="1027"/>
      <c r="AN82" s="1027"/>
      <c r="AO82" s="1027"/>
      <c r="AP82" s="1027"/>
      <c r="AQ82" s="1027"/>
      <c r="AR82" s="1027"/>
      <c r="AS82" s="1027"/>
      <c r="AT82" s="1027"/>
      <c r="AU82" s="1027"/>
      <c r="AV82" s="1027"/>
    </row>
    <row r="83" spans="7:48">
      <c r="G83" s="673"/>
      <c r="H83" s="673"/>
      <c r="I83" s="673"/>
      <c r="J83" s="673"/>
      <c r="K83" s="673"/>
      <c r="L83" s="673"/>
      <c r="M83" s="673"/>
      <c r="N83" s="674"/>
      <c r="O83" s="673"/>
      <c r="R83" s="33"/>
      <c r="S83" s="33"/>
      <c r="T83" s="673"/>
      <c r="U83" s="673"/>
      <c r="V83" s="674"/>
      <c r="W83" s="1027"/>
      <c r="X83" s="1027"/>
      <c r="Y83" s="1027"/>
      <c r="Z83" s="1027"/>
      <c r="AA83" s="1027"/>
      <c r="AB83" s="1027"/>
      <c r="AC83" s="1027"/>
      <c r="AD83" s="1027"/>
      <c r="AE83" s="1027"/>
      <c r="AF83" s="1027"/>
      <c r="AG83" s="1027"/>
      <c r="AH83" s="1027"/>
      <c r="AI83" s="1027"/>
      <c r="AJ83" s="1027"/>
      <c r="AK83" s="1027"/>
      <c r="AL83" s="1027"/>
      <c r="AM83" s="1027"/>
      <c r="AN83" s="1027"/>
      <c r="AO83" s="1027"/>
      <c r="AP83" s="1027"/>
      <c r="AQ83" s="1027"/>
      <c r="AR83" s="1027"/>
      <c r="AS83" s="1027"/>
      <c r="AT83" s="1027"/>
      <c r="AU83" s="1027"/>
      <c r="AV83" s="1027"/>
    </row>
    <row r="84" spans="7:48">
      <c r="G84" s="673"/>
      <c r="H84" s="673"/>
      <c r="I84" s="673"/>
      <c r="J84" s="673"/>
      <c r="K84" s="673"/>
      <c r="L84" s="673"/>
      <c r="M84" s="673"/>
      <c r="N84" s="674"/>
      <c r="O84" s="673"/>
      <c r="R84" s="33"/>
      <c r="S84" s="33"/>
      <c r="T84" s="673"/>
      <c r="U84" s="673"/>
      <c r="V84" s="674"/>
      <c r="W84" s="1027"/>
      <c r="X84" s="1027"/>
      <c r="Y84" s="1027"/>
      <c r="Z84" s="1027"/>
      <c r="AA84" s="1027"/>
      <c r="AB84" s="1027"/>
      <c r="AC84" s="1027"/>
      <c r="AD84" s="1027"/>
      <c r="AE84" s="1027"/>
      <c r="AF84" s="1027"/>
      <c r="AG84" s="1027"/>
      <c r="AH84" s="1027"/>
      <c r="AI84" s="1027"/>
      <c r="AJ84" s="1027"/>
      <c r="AK84" s="1027"/>
      <c r="AL84" s="1027"/>
      <c r="AM84" s="1027"/>
      <c r="AN84" s="1027"/>
      <c r="AO84" s="1027"/>
      <c r="AP84" s="1027"/>
      <c r="AQ84" s="1027"/>
      <c r="AR84" s="1027"/>
      <c r="AS84" s="1027"/>
      <c r="AT84" s="1027"/>
      <c r="AU84" s="1027"/>
      <c r="AV84" s="1027"/>
    </row>
    <row r="85" spans="7:48">
      <c r="G85" s="673"/>
      <c r="H85" s="673"/>
      <c r="I85" s="673"/>
      <c r="J85" s="673"/>
      <c r="K85" s="673"/>
      <c r="L85" s="673"/>
      <c r="M85" s="673"/>
      <c r="N85" s="674"/>
      <c r="O85" s="673"/>
      <c r="R85" s="33"/>
      <c r="S85" s="33"/>
      <c r="T85" s="673"/>
      <c r="U85" s="673"/>
      <c r="V85" s="674"/>
      <c r="W85" s="1027"/>
      <c r="X85" s="1027"/>
      <c r="Y85" s="1027"/>
      <c r="Z85" s="1027"/>
      <c r="AA85" s="1027"/>
      <c r="AB85" s="1027"/>
      <c r="AC85" s="1027"/>
      <c r="AD85" s="1027"/>
      <c r="AE85" s="1027"/>
      <c r="AF85" s="1027"/>
      <c r="AG85" s="1027"/>
      <c r="AH85" s="1027"/>
      <c r="AI85" s="1027"/>
      <c r="AJ85" s="1027"/>
      <c r="AK85" s="1027"/>
      <c r="AL85" s="1027"/>
      <c r="AM85" s="1027"/>
      <c r="AN85" s="1027"/>
      <c r="AO85" s="1027"/>
      <c r="AP85" s="1027"/>
      <c r="AQ85" s="1027"/>
      <c r="AR85" s="1027"/>
      <c r="AS85" s="1027"/>
      <c r="AT85" s="1027"/>
      <c r="AU85" s="1027"/>
      <c r="AV85" s="1027"/>
    </row>
    <row r="86" spans="7:48">
      <c r="G86" s="673"/>
      <c r="H86" s="673"/>
      <c r="I86" s="673"/>
      <c r="J86" s="673"/>
      <c r="K86" s="673"/>
      <c r="L86" s="673"/>
      <c r="M86" s="673"/>
      <c r="N86" s="674"/>
      <c r="O86" s="673"/>
      <c r="R86" s="33"/>
      <c r="S86" s="33"/>
      <c r="T86" s="673"/>
      <c r="U86" s="673"/>
      <c r="V86" s="674"/>
      <c r="W86" s="1027"/>
      <c r="X86" s="1027"/>
      <c r="Y86" s="1027"/>
      <c r="Z86" s="1027"/>
      <c r="AA86" s="1027"/>
      <c r="AB86" s="1027"/>
      <c r="AC86" s="1027"/>
      <c r="AD86" s="1027"/>
      <c r="AE86" s="1027"/>
      <c r="AF86" s="1027"/>
      <c r="AG86" s="1027"/>
      <c r="AH86" s="1027"/>
      <c r="AI86" s="1027"/>
      <c r="AJ86" s="1027"/>
      <c r="AK86" s="1027"/>
      <c r="AL86" s="1027"/>
      <c r="AM86" s="1027"/>
      <c r="AN86" s="1027"/>
      <c r="AO86" s="1027"/>
      <c r="AP86" s="1027"/>
      <c r="AQ86" s="1027"/>
      <c r="AR86" s="1027"/>
      <c r="AS86" s="1027"/>
      <c r="AT86" s="1027"/>
      <c r="AU86" s="1027"/>
      <c r="AV86" s="1027"/>
    </row>
    <row r="87" spans="7:48">
      <c r="G87" s="673"/>
      <c r="H87" s="673"/>
      <c r="I87" s="673"/>
      <c r="J87" s="673"/>
      <c r="K87" s="673"/>
      <c r="L87" s="673"/>
      <c r="M87" s="673"/>
      <c r="N87" s="674"/>
      <c r="O87" s="673"/>
      <c r="R87" s="33"/>
      <c r="S87" s="33"/>
      <c r="T87" s="673"/>
      <c r="U87" s="673"/>
      <c r="V87" s="674"/>
      <c r="W87" s="1027"/>
      <c r="X87" s="1027"/>
      <c r="Y87" s="1027"/>
      <c r="Z87" s="1027"/>
      <c r="AA87" s="1027"/>
      <c r="AB87" s="1027"/>
      <c r="AC87" s="1027"/>
      <c r="AD87" s="1027"/>
      <c r="AE87" s="1027"/>
      <c r="AF87" s="1027"/>
      <c r="AG87" s="1027"/>
      <c r="AH87" s="1027"/>
      <c r="AI87" s="1027"/>
      <c r="AJ87" s="1027"/>
      <c r="AK87" s="1027"/>
      <c r="AL87" s="1027"/>
      <c r="AM87" s="1027"/>
      <c r="AN87" s="1027"/>
      <c r="AO87" s="1027"/>
      <c r="AP87" s="1027"/>
      <c r="AQ87" s="1027"/>
      <c r="AR87" s="1027"/>
      <c r="AS87" s="1027"/>
      <c r="AT87" s="1027"/>
      <c r="AU87" s="1027"/>
      <c r="AV87" s="1027"/>
    </row>
    <row r="88" spans="7:48">
      <c r="G88" s="673"/>
      <c r="H88" s="673"/>
      <c r="I88" s="673"/>
      <c r="J88" s="673"/>
      <c r="K88" s="673"/>
      <c r="L88" s="673"/>
      <c r="M88" s="673"/>
      <c r="N88" s="674"/>
      <c r="O88" s="673"/>
      <c r="R88" s="33"/>
      <c r="S88" s="33"/>
      <c r="T88" s="673"/>
      <c r="U88" s="673"/>
      <c r="V88" s="674"/>
      <c r="W88" s="1027"/>
      <c r="X88" s="1027"/>
      <c r="Y88" s="1027"/>
      <c r="Z88" s="1027"/>
      <c r="AA88" s="1027"/>
      <c r="AB88" s="1027"/>
      <c r="AC88" s="1027"/>
      <c r="AD88" s="1027"/>
      <c r="AE88" s="1027"/>
      <c r="AF88" s="1027"/>
      <c r="AG88" s="1027"/>
      <c r="AH88" s="1027"/>
      <c r="AI88" s="1027"/>
      <c r="AJ88" s="1027"/>
      <c r="AK88" s="1027"/>
      <c r="AL88" s="1027"/>
      <c r="AM88" s="1027"/>
      <c r="AN88" s="1027"/>
      <c r="AO88" s="1027"/>
      <c r="AP88" s="1027"/>
      <c r="AQ88" s="1027"/>
      <c r="AR88" s="1027"/>
      <c r="AS88" s="1027"/>
      <c r="AT88" s="1027"/>
      <c r="AU88" s="1027"/>
      <c r="AV88" s="1027"/>
    </row>
    <row r="89" spans="7:48">
      <c r="G89" s="673"/>
      <c r="H89" s="673"/>
      <c r="I89" s="673"/>
      <c r="J89" s="673"/>
      <c r="K89" s="673"/>
      <c r="L89" s="673"/>
      <c r="M89" s="673"/>
      <c r="N89" s="674"/>
      <c r="O89" s="673"/>
      <c r="R89" s="33"/>
      <c r="S89" s="33"/>
      <c r="T89" s="673"/>
      <c r="U89" s="673"/>
      <c r="V89" s="674"/>
      <c r="W89" s="1027"/>
      <c r="X89" s="1027"/>
      <c r="Y89" s="1027"/>
      <c r="Z89" s="1027"/>
      <c r="AA89" s="1027"/>
      <c r="AB89" s="1027"/>
      <c r="AC89" s="1027"/>
      <c r="AD89" s="1027"/>
      <c r="AE89" s="1027"/>
      <c r="AF89" s="1027"/>
      <c r="AG89" s="1027"/>
      <c r="AH89" s="1027"/>
      <c r="AI89" s="1027"/>
      <c r="AJ89" s="1027"/>
      <c r="AK89" s="1027"/>
      <c r="AL89" s="1027"/>
      <c r="AM89" s="1027"/>
      <c r="AN89" s="1027"/>
      <c r="AO89" s="1027"/>
      <c r="AP89" s="1027"/>
      <c r="AQ89" s="1027"/>
      <c r="AR89" s="1027"/>
      <c r="AS89" s="1027"/>
      <c r="AT89" s="1027"/>
      <c r="AU89" s="1027"/>
      <c r="AV89" s="1027"/>
    </row>
    <row r="90" spans="7:48">
      <c r="G90" s="673"/>
      <c r="H90" s="673"/>
      <c r="I90" s="673"/>
      <c r="J90" s="673"/>
      <c r="K90" s="673"/>
      <c r="L90" s="673"/>
      <c r="M90" s="673"/>
      <c r="N90" s="674"/>
      <c r="O90" s="673"/>
      <c r="R90" s="33"/>
      <c r="S90" s="33"/>
      <c r="T90" s="673"/>
      <c r="U90" s="673"/>
      <c r="V90" s="674"/>
      <c r="W90" s="1027"/>
      <c r="X90" s="1027"/>
      <c r="Y90" s="1027"/>
      <c r="Z90" s="1027"/>
      <c r="AA90" s="1027"/>
      <c r="AB90" s="1027"/>
      <c r="AC90" s="1027"/>
      <c r="AD90" s="1027"/>
      <c r="AE90" s="1027"/>
      <c r="AF90" s="1027"/>
      <c r="AG90" s="1027"/>
      <c r="AH90" s="1027"/>
      <c r="AI90" s="1027"/>
      <c r="AJ90" s="1027"/>
      <c r="AK90" s="1027"/>
      <c r="AL90" s="1027"/>
      <c r="AM90" s="1027"/>
      <c r="AN90" s="1027"/>
      <c r="AO90" s="1027"/>
      <c r="AP90" s="1027"/>
      <c r="AQ90" s="1027"/>
      <c r="AR90" s="1027"/>
      <c r="AS90" s="1027"/>
      <c r="AT90" s="1027"/>
      <c r="AU90" s="1027"/>
      <c r="AV90" s="1027"/>
    </row>
    <row r="91" spans="7:48">
      <c r="G91" s="673"/>
      <c r="H91" s="673"/>
      <c r="I91" s="673"/>
      <c r="J91" s="673"/>
      <c r="K91" s="673"/>
      <c r="L91" s="673"/>
      <c r="M91" s="673"/>
      <c r="N91" s="674"/>
      <c r="O91" s="673"/>
      <c r="R91" s="33"/>
      <c r="S91" s="33"/>
      <c r="T91" s="673"/>
      <c r="U91" s="673"/>
      <c r="V91" s="674"/>
      <c r="W91" s="1027"/>
      <c r="X91" s="1027"/>
      <c r="Y91" s="1027"/>
      <c r="Z91" s="1027"/>
      <c r="AA91" s="1027"/>
      <c r="AB91" s="1027"/>
      <c r="AC91" s="1027"/>
      <c r="AD91" s="1027"/>
      <c r="AE91" s="1027"/>
      <c r="AF91" s="1027"/>
      <c r="AG91" s="1027"/>
      <c r="AH91" s="1027"/>
      <c r="AI91" s="1027"/>
      <c r="AJ91" s="1027"/>
      <c r="AK91" s="1027"/>
      <c r="AL91" s="1027"/>
      <c r="AM91" s="1027"/>
      <c r="AN91" s="1027"/>
      <c r="AO91" s="1027"/>
      <c r="AP91" s="1027"/>
      <c r="AQ91" s="1027"/>
      <c r="AR91" s="1027"/>
      <c r="AS91" s="1027"/>
      <c r="AT91" s="1027"/>
      <c r="AU91" s="1027"/>
      <c r="AV91" s="1027"/>
    </row>
    <row r="92" spans="7:48">
      <c r="G92" s="673"/>
      <c r="H92" s="673"/>
      <c r="I92" s="673"/>
      <c r="J92" s="673"/>
      <c r="K92" s="673"/>
      <c r="L92" s="673"/>
      <c r="M92" s="673"/>
      <c r="N92" s="674"/>
      <c r="O92" s="673"/>
      <c r="P92" s="673"/>
      <c r="Q92" s="673"/>
      <c r="R92" s="673"/>
      <c r="S92" s="673"/>
      <c r="T92" s="673"/>
      <c r="U92" s="673"/>
      <c r="V92" s="674"/>
      <c r="W92" s="1027"/>
      <c r="X92" s="1027"/>
      <c r="Y92" s="1027"/>
      <c r="Z92" s="1027"/>
      <c r="AA92" s="1027"/>
      <c r="AB92" s="1027"/>
      <c r="AC92" s="1027"/>
      <c r="AD92" s="1027"/>
      <c r="AE92" s="1027"/>
      <c r="AF92" s="1027"/>
      <c r="AG92" s="1027"/>
      <c r="AH92" s="1027"/>
      <c r="AI92" s="1027"/>
      <c r="AJ92" s="1027"/>
      <c r="AK92" s="1027"/>
      <c r="AL92" s="1027"/>
      <c r="AM92" s="1027"/>
      <c r="AN92" s="1027"/>
      <c r="AO92" s="1027"/>
      <c r="AP92" s="1027"/>
      <c r="AQ92" s="1027"/>
      <c r="AR92" s="1027"/>
      <c r="AS92" s="1027"/>
      <c r="AT92" s="1027"/>
      <c r="AU92" s="1027"/>
      <c r="AV92" s="1027"/>
    </row>
    <row r="93" spans="7:48">
      <c r="G93" s="673"/>
      <c r="H93" s="673"/>
      <c r="I93" s="673"/>
      <c r="J93" s="673"/>
      <c r="K93" s="673"/>
      <c r="L93" s="673"/>
      <c r="M93" s="673"/>
      <c r="N93" s="674"/>
      <c r="O93" s="673"/>
      <c r="P93" s="673"/>
      <c r="Q93" s="673"/>
      <c r="R93" s="673"/>
      <c r="S93" s="673"/>
      <c r="T93" s="673"/>
      <c r="U93" s="673"/>
      <c r="V93" s="674"/>
      <c r="W93" s="1027"/>
      <c r="X93" s="1027"/>
      <c r="Y93" s="1027"/>
      <c r="Z93" s="1027"/>
      <c r="AA93" s="1027"/>
      <c r="AB93" s="1027"/>
      <c r="AC93" s="1027"/>
      <c r="AD93" s="1027"/>
      <c r="AE93" s="1027"/>
      <c r="AF93" s="1027"/>
      <c r="AG93" s="1027"/>
      <c r="AH93" s="1027"/>
      <c r="AI93" s="1027"/>
      <c r="AJ93" s="1027"/>
      <c r="AK93" s="1027"/>
      <c r="AL93" s="1027"/>
      <c r="AM93" s="1027"/>
      <c r="AN93" s="1027"/>
      <c r="AO93" s="1027"/>
      <c r="AP93" s="1027"/>
      <c r="AQ93" s="1027"/>
      <c r="AR93" s="1027"/>
      <c r="AS93" s="1027"/>
      <c r="AT93" s="1027"/>
      <c r="AU93" s="1027"/>
      <c r="AV93" s="1027"/>
    </row>
    <row r="94" spans="7:48">
      <c r="G94" s="673"/>
      <c r="H94" s="673"/>
      <c r="I94" s="673"/>
      <c r="J94" s="673"/>
      <c r="K94" s="673"/>
      <c r="L94" s="673"/>
      <c r="M94" s="673"/>
      <c r="N94" s="674"/>
      <c r="O94" s="673"/>
      <c r="P94" s="673"/>
      <c r="Q94" s="673"/>
      <c r="R94" s="673"/>
      <c r="S94" s="673"/>
      <c r="T94" s="673"/>
      <c r="U94" s="673"/>
      <c r="V94" s="674"/>
      <c r="W94" s="1027"/>
      <c r="X94" s="1027"/>
      <c r="Y94" s="1027"/>
      <c r="Z94" s="1027"/>
      <c r="AA94" s="1027"/>
      <c r="AB94" s="1027"/>
      <c r="AC94" s="1027"/>
      <c r="AD94" s="1027"/>
      <c r="AE94" s="1027"/>
      <c r="AF94" s="1027"/>
      <c r="AG94" s="1027"/>
      <c r="AH94" s="1027"/>
      <c r="AI94" s="1027"/>
      <c r="AJ94" s="1027"/>
      <c r="AK94" s="1027"/>
      <c r="AL94" s="1027"/>
      <c r="AM94" s="1027"/>
      <c r="AN94" s="1027"/>
      <c r="AO94" s="1027"/>
      <c r="AP94" s="1027"/>
      <c r="AQ94" s="1027"/>
      <c r="AR94" s="1027"/>
      <c r="AS94" s="1027"/>
      <c r="AT94" s="1027"/>
      <c r="AU94" s="1027"/>
      <c r="AV94" s="1027"/>
    </row>
    <row r="95" spans="7:48">
      <c r="G95" s="673"/>
      <c r="H95" s="673"/>
      <c r="I95" s="673"/>
      <c r="J95" s="673"/>
      <c r="K95" s="673"/>
      <c r="L95" s="673"/>
      <c r="M95" s="673"/>
      <c r="N95" s="674"/>
      <c r="O95" s="673"/>
      <c r="P95" s="673"/>
      <c r="Q95" s="673"/>
      <c r="R95" s="673"/>
      <c r="S95" s="673"/>
      <c r="T95" s="673"/>
      <c r="U95" s="673"/>
      <c r="V95" s="674"/>
      <c r="W95" s="1027"/>
      <c r="X95" s="1027"/>
      <c r="Y95" s="1027"/>
      <c r="Z95" s="1027"/>
      <c r="AA95" s="1027"/>
      <c r="AB95" s="1027"/>
      <c r="AC95" s="1027"/>
      <c r="AD95" s="1027"/>
      <c r="AE95" s="1027"/>
      <c r="AF95" s="1027"/>
      <c r="AG95" s="1027"/>
      <c r="AH95" s="1027"/>
      <c r="AI95" s="1027"/>
      <c r="AJ95" s="1027"/>
      <c r="AK95" s="1027"/>
      <c r="AL95" s="1027"/>
      <c r="AM95" s="1027"/>
      <c r="AN95" s="1027"/>
      <c r="AO95" s="1027"/>
      <c r="AP95" s="1027"/>
      <c r="AQ95" s="1027"/>
      <c r="AR95" s="1027"/>
      <c r="AS95" s="1027"/>
      <c r="AT95" s="1027"/>
      <c r="AU95" s="1027"/>
      <c r="AV95" s="1027"/>
    </row>
    <row r="96" spans="7:48">
      <c r="G96" s="673"/>
      <c r="H96" s="673"/>
      <c r="I96" s="673"/>
      <c r="J96" s="673"/>
      <c r="K96" s="673"/>
      <c r="L96" s="673"/>
      <c r="M96" s="673"/>
      <c r="N96" s="674"/>
      <c r="O96" s="673"/>
      <c r="P96" s="673"/>
      <c r="Q96" s="673"/>
      <c r="R96" s="673"/>
      <c r="S96" s="673"/>
      <c r="T96" s="673"/>
      <c r="U96" s="673"/>
      <c r="V96" s="674"/>
      <c r="W96" s="1027"/>
      <c r="X96" s="1027"/>
      <c r="Y96" s="1027"/>
      <c r="Z96" s="1027"/>
      <c r="AA96" s="1027"/>
      <c r="AB96" s="1027"/>
      <c r="AC96" s="1027"/>
      <c r="AD96" s="1027"/>
      <c r="AE96" s="1027"/>
      <c r="AF96" s="1027"/>
      <c r="AG96" s="1027"/>
      <c r="AH96" s="1027"/>
      <c r="AI96" s="1027"/>
      <c r="AJ96" s="1027"/>
      <c r="AK96" s="1027"/>
      <c r="AL96" s="1027"/>
      <c r="AM96" s="1027"/>
      <c r="AN96" s="1027"/>
      <c r="AO96" s="1027"/>
      <c r="AP96" s="1027"/>
      <c r="AQ96" s="1027"/>
      <c r="AR96" s="1027"/>
      <c r="AS96" s="1027"/>
      <c r="AT96" s="1027"/>
      <c r="AU96" s="1027"/>
      <c r="AV96" s="1027"/>
    </row>
    <row r="97" spans="7:48">
      <c r="G97" s="673"/>
      <c r="H97" s="673"/>
      <c r="I97" s="673"/>
      <c r="J97" s="673"/>
      <c r="K97" s="673"/>
      <c r="L97" s="673"/>
      <c r="M97" s="673"/>
      <c r="N97" s="674"/>
      <c r="O97" s="673"/>
      <c r="P97" s="673"/>
      <c r="Q97" s="673"/>
      <c r="R97" s="673"/>
      <c r="S97" s="673"/>
      <c r="T97" s="673"/>
      <c r="U97" s="673"/>
      <c r="V97" s="674"/>
      <c r="W97" s="1027"/>
      <c r="X97" s="1027"/>
      <c r="Y97" s="1027"/>
      <c r="Z97" s="1027"/>
      <c r="AA97" s="1027"/>
      <c r="AB97" s="1027"/>
      <c r="AC97" s="1027"/>
      <c r="AD97" s="1027"/>
      <c r="AE97" s="1027"/>
      <c r="AF97" s="1027"/>
      <c r="AG97" s="1027"/>
      <c r="AH97" s="1027"/>
      <c r="AI97" s="1027"/>
      <c r="AJ97" s="1027"/>
      <c r="AK97" s="1027"/>
      <c r="AL97" s="1027"/>
      <c r="AM97" s="1027"/>
      <c r="AN97" s="1027"/>
      <c r="AO97" s="1027"/>
      <c r="AP97" s="1027"/>
      <c r="AQ97" s="1027"/>
      <c r="AR97" s="1027"/>
      <c r="AS97" s="1027"/>
      <c r="AT97" s="1027"/>
      <c r="AU97" s="1027"/>
      <c r="AV97" s="1027"/>
    </row>
    <row r="98" spans="7:48">
      <c r="G98" s="673"/>
      <c r="H98" s="673"/>
      <c r="I98" s="673"/>
      <c r="J98" s="673"/>
      <c r="K98" s="673"/>
      <c r="L98" s="673"/>
      <c r="M98" s="673"/>
      <c r="N98" s="674"/>
      <c r="O98" s="673"/>
      <c r="P98" s="673"/>
      <c r="Q98" s="673"/>
      <c r="R98" s="673"/>
      <c r="S98" s="673"/>
      <c r="T98" s="673"/>
      <c r="U98" s="673"/>
      <c r="V98" s="674"/>
      <c r="W98" s="1027"/>
      <c r="X98" s="1027"/>
      <c r="Y98" s="1027"/>
      <c r="Z98" s="1027"/>
      <c r="AA98" s="1027"/>
      <c r="AB98" s="1027"/>
      <c r="AC98" s="1027"/>
      <c r="AD98" s="1027"/>
      <c r="AE98" s="1027"/>
      <c r="AF98" s="1027"/>
      <c r="AG98" s="1027"/>
      <c r="AH98" s="1027"/>
      <c r="AI98" s="1027"/>
      <c r="AJ98" s="1027"/>
      <c r="AK98" s="1027"/>
      <c r="AL98" s="1027"/>
      <c r="AM98" s="1027"/>
      <c r="AN98" s="1027"/>
      <c r="AO98" s="1027"/>
      <c r="AP98" s="1027"/>
      <c r="AQ98" s="1027"/>
      <c r="AR98" s="1027"/>
      <c r="AS98" s="1027"/>
      <c r="AT98" s="1027"/>
      <c r="AU98" s="1027"/>
      <c r="AV98" s="1027"/>
    </row>
    <row r="99" spans="7:48">
      <c r="G99" s="673"/>
      <c r="H99" s="673"/>
      <c r="I99" s="673"/>
      <c r="J99" s="673"/>
      <c r="K99" s="673"/>
      <c r="L99" s="673"/>
      <c r="M99" s="673"/>
      <c r="N99" s="674"/>
      <c r="O99" s="673"/>
      <c r="P99" s="673"/>
      <c r="Q99" s="673"/>
      <c r="R99" s="673"/>
      <c r="S99" s="673"/>
      <c r="T99" s="673"/>
      <c r="U99" s="673"/>
      <c r="V99" s="674"/>
      <c r="W99" s="1027"/>
      <c r="X99" s="1027"/>
      <c r="Y99" s="1027"/>
      <c r="Z99" s="1027"/>
      <c r="AA99" s="1027"/>
      <c r="AB99" s="1027"/>
      <c r="AC99" s="1027"/>
      <c r="AD99" s="1027"/>
      <c r="AE99" s="1027"/>
      <c r="AF99" s="1027"/>
      <c r="AG99" s="1027"/>
      <c r="AH99" s="1027"/>
      <c r="AI99" s="1027"/>
      <c r="AJ99" s="1027"/>
      <c r="AK99" s="1027"/>
      <c r="AL99" s="1027"/>
      <c r="AM99" s="1027"/>
      <c r="AN99" s="1027"/>
      <c r="AO99" s="1027"/>
      <c r="AP99" s="1027"/>
      <c r="AQ99" s="1027"/>
      <c r="AR99" s="1027"/>
      <c r="AS99" s="1027"/>
      <c r="AT99" s="1027"/>
      <c r="AU99" s="1027"/>
      <c r="AV99" s="1027"/>
    </row>
    <row r="100" spans="7:48">
      <c r="G100" s="673"/>
      <c r="H100" s="673"/>
      <c r="I100" s="673"/>
      <c r="J100" s="673"/>
      <c r="K100" s="673"/>
      <c r="L100" s="673"/>
      <c r="M100" s="673"/>
      <c r="N100" s="674"/>
      <c r="O100" s="673"/>
      <c r="P100" s="673"/>
      <c r="Q100" s="673"/>
      <c r="R100" s="673"/>
      <c r="S100" s="673"/>
      <c r="T100" s="673"/>
      <c r="U100" s="673"/>
      <c r="V100" s="674"/>
      <c r="W100" s="1027"/>
      <c r="X100" s="1027"/>
      <c r="Y100" s="1027"/>
      <c r="Z100" s="1027"/>
      <c r="AA100" s="1027"/>
      <c r="AB100" s="1027"/>
      <c r="AC100" s="1027"/>
      <c r="AD100" s="1027"/>
      <c r="AE100" s="1027"/>
      <c r="AF100" s="1027"/>
      <c r="AG100" s="1027"/>
      <c r="AH100" s="1027"/>
      <c r="AI100" s="1027"/>
      <c r="AJ100" s="1027"/>
      <c r="AK100" s="1027"/>
      <c r="AL100" s="1027"/>
      <c r="AM100" s="1027"/>
      <c r="AN100" s="1027"/>
      <c r="AO100" s="1027"/>
      <c r="AP100" s="1027"/>
      <c r="AQ100" s="1027"/>
      <c r="AR100" s="1027"/>
      <c r="AS100" s="1027"/>
      <c r="AT100" s="1027"/>
      <c r="AU100" s="1027"/>
      <c r="AV100" s="1027"/>
    </row>
    <row r="101" spans="7:48">
      <c r="G101" s="673"/>
      <c r="H101" s="673"/>
      <c r="I101" s="673"/>
      <c r="J101" s="673"/>
      <c r="K101" s="673"/>
      <c r="L101" s="673"/>
      <c r="M101" s="673"/>
      <c r="N101" s="674"/>
      <c r="O101" s="673"/>
      <c r="P101" s="673"/>
      <c r="Q101" s="673"/>
      <c r="R101" s="673"/>
      <c r="S101" s="673"/>
      <c r="T101" s="673"/>
      <c r="U101" s="673"/>
      <c r="V101" s="674"/>
      <c r="W101" s="1027"/>
      <c r="X101" s="1027"/>
      <c r="Y101" s="1027"/>
      <c r="Z101" s="1027"/>
      <c r="AA101" s="1027"/>
      <c r="AB101" s="1027"/>
      <c r="AC101" s="1027"/>
      <c r="AD101" s="1027"/>
      <c r="AE101" s="1027"/>
      <c r="AF101" s="1027"/>
      <c r="AG101" s="1027"/>
      <c r="AH101" s="1027"/>
      <c r="AI101" s="1027"/>
      <c r="AJ101" s="1027"/>
      <c r="AK101" s="1027"/>
      <c r="AL101" s="1027"/>
      <c r="AM101" s="1027"/>
      <c r="AN101" s="1027"/>
      <c r="AO101" s="1027"/>
      <c r="AP101" s="1027"/>
      <c r="AQ101" s="1027"/>
      <c r="AR101" s="1027"/>
      <c r="AS101" s="1027"/>
      <c r="AT101" s="1027"/>
      <c r="AU101" s="1027"/>
      <c r="AV101" s="1027"/>
    </row>
    <row r="102" spans="7:48">
      <c r="G102" s="673"/>
      <c r="H102" s="673"/>
      <c r="I102" s="673"/>
      <c r="J102" s="673"/>
      <c r="K102" s="673"/>
      <c r="L102" s="673"/>
      <c r="M102" s="673"/>
      <c r="N102" s="674"/>
      <c r="O102" s="673"/>
      <c r="P102" s="673"/>
      <c r="Q102" s="673"/>
      <c r="R102" s="673"/>
      <c r="S102" s="673"/>
      <c r="T102" s="673"/>
      <c r="U102" s="673"/>
      <c r="V102" s="674"/>
      <c r="W102" s="1027"/>
      <c r="X102" s="1027"/>
      <c r="Y102" s="1027"/>
      <c r="Z102" s="1027"/>
      <c r="AA102" s="1027"/>
      <c r="AB102" s="1027"/>
      <c r="AC102" s="1027"/>
      <c r="AD102" s="1027"/>
      <c r="AE102" s="1027"/>
      <c r="AF102" s="1027"/>
      <c r="AG102" s="1027"/>
      <c r="AH102" s="1027"/>
      <c r="AI102" s="1027"/>
      <c r="AJ102" s="1027"/>
      <c r="AK102" s="1027"/>
      <c r="AL102" s="1027"/>
      <c r="AM102" s="1027"/>
      <c r="AN102" s="1027"/>
      <c r="AO102" s="1027"/>
      <c r="AP102" s="1027"/>
      <c r="AQ102" s="1027"/>
      <c r="AR102" s="1027"/>
      <c r="AS102" s="1027"/>
      <c r="AT102" s="1027"/>
      <c r="AU102" s="1027"/>
      <c r="AV102" s="1027"/>
    </row>
    <row r="103" spans="7:48">
      <c r="G103" s="673"/>
      <c r="H103" s="673"/>
      <c r="I103" s="673"/>
      <c r="J103" s="673"/>
      <c r="K103" s="673"/>
      <c r="L103" s="673"/>
      <c r="M103" s="673"/>
      <c r="N103" s="674"/>
      <c r="O103" s="673"/>
      <c r="P103" s="673"/>
      <c r="Q103" s="673"/>
      <c r="R103" s="673"/>
      <c r="S103" s="673"/>
      <c r="T103" s="673"/>
      <c r="U103" s="673"/>
      <c r="V103" s="674"/>
      <c r="W103" s="1027"/>
      <c r="X103" s="1027"/>
      <c r="Y103" s="1027"/>
      <c r="Z103" s="1027"/>
      <c r="AA103" s="1027"/>
      <c r="AB103" s="1027"/>
      <c r="AC103" s="1027"/>
      <c r="AD103" s="1027"/>
      <c r="AE103" s="1027"/>
      <c r="AF103" s="1027"/>
      <c r="AG103" s="1027"/>
      <c r="AH103" s="1027"/>
      <c r="AI103" s="1027"/>
      <c r="AJ103" s="1027"/>
      <c r="AK103" s="1027"/>
      <c r="AL103" s="1027"/>
      <c r="AM103" s="1027"/>
      <c r="AN103" s="1027"/>
      <c r="AO103" s="1027"/>
      <c r="AP103" s="1027"/>
      <c r="AQ103" s="1027"/>
      <c r="AR103" s="1027"/>
      <c r="AS103" s="1027"/>
      <c r="AT103" s="1027"/>
      <c r="AU103" s="1027"/>
      <c r="AV103" s="1027"/>
    </row>
    <row r="104" spans="7:48">
      <c r="G104" s="673"/>
      <c r="H104" s="673"/>
      <c r="I104" s="673"/>
      <c r="J104" s="673"/>
      <c r="K104" s="673"/>
      <c r="L104" s="673"/>
      <c r="M104" s="673"/>
      <c r="N104" s="674"/>
      <c r="O104" s="673"/>
      <c r="P104" s="673"/>
      <c r="Q104" s="673"/>
      <c r="R104" s="673"/>
      <c r="S104" s="673"/>
      <c r="T104" s="673"/>
      <c r="U104" s="673"/>
      <c r="V104" s="674"/>
      <c r="W104" s="1027"/>
      <c r="X104" s="1027"/>
      <c r="Y104" s="1027"/>
      <c r="Z104" s="1027"/>
      <c r="AA104" s="1027"/>
      <c r="AB104" s="1027"/>
      <c r="AC104" s="1027"/>
      <c r="AD104" s="1027"/>
      <c r="AE104" s="1027"/>
      <c r="AF104" s="1027"/>
      <c r="AG104" s="1027"/>
      <c r="AH104" s="1027"/>
      <c r="AI104" s="1027"/>
      <c r="AJ104" s="1027"/>
      <c r="AK104" s="1027"/>
      <c r="AL104" s="1027"/>
      <c r="AM104" s="1027"/>
      <c r="AN104" s="1027"/>
      <c r="AO104" s="1027"/>
      <c r="AP104" s="1027"/>
      <c r="AQ104" s="1027"/>
      <c r="AR104" s="1027"/>
      <c r="AS104" s="1027"/>
      <c r="AT104" s="1027"/>
      <c r="AU104" s="1027"/>
      <c r="AV104" s="1027"/>
    </row>
    <row r="105" spans="7:48">
      <c r="G105" s="673"/>
      <c r="H105" s="673"/>
      <c r="I105" s="673"/>
      <c r="J105" s="673"/>
      <c r="K105" s="673"/>
      <c r="L105" s="673"/>
      <c r="M105" s="673"/>
      <c r="N105" s="674"/>
      <c r="O105" s="673"/>
      <c r="P105" s="673"/>
      <c r="Q105" s="673"/>
      <c r="R105" s="673"/>
      <c r="S105" s="673"/>
      <c r="T105" s="673"/>
      <c r="U105" s="673"/>
      <c r="V105" s="674"/>
      <c r="W105" s="1027"/>
      <c r="X105" s="1027"/>
      <c r="Y105" s="1027"/>
      <c r="Z105" s="1027"/>
      <c r="AA105" s="1027"/>
      <c r="AB105" s="1027"/>
      <c r="AC105" s="1027"/>
      <c r="AD105" s="1027"/>
      <c r="AE105" s="1027"/>
      <c r="AF105" s="1027"/>
      <c r="AG105" s="1027"/>
      <c r="AH105" s="1027"/>
      <c r="AI105" s="1027"/>
      <c r="AJ105" s="1027"/>
      <c r="AK105" s="1027"/>
      <c r="AL105" s="1027"/>
      <c r="AM105" s="1027"/>
      <c r="AN105" s="1027"/>
      <c r="AO105" s="1027"/>
      <c r="AP105" s="1027"/>
      <c r="AQ105" s="1027"/>
      <c r="AR105" s="1027"/>
      <c r="AS105" s="1027"/>
      <c r="AT105" s="1027"/>
      <c r="AU105" s="1027"/>
      <c r="AV105" s="1027"/>
    </row>
    <row r="106" spans="7:48">
      <c r="G106" s="673"/>
      <c r="H106" s="673"/>
      <c r="I106" s="673"/>
      <c r="J106" s="673"/>
      <c r="K106" s="673"/>
      <c r="L106" s="673"/>
      <c r="M106" s="673"/>
      <c r="N106" s="674"/>
      <c r="O106" s="673"/>
      <c r="P106" s="673"/>
      <c r="Q106" s="673"/>
      <c r="R106" s="673"/>
      <c r="S106" s="673"/>
      <c r="T106" s="673"/>
      <c r="U106" s="673"/>
      <c r="V106" s="674"/>
      <c r="W106" s="1027"/>
      <c r="X106" s="1027"/>
      <c r="Y106" s="1027"/>
      <c r="Z106" s="1027"/>
      <c r="AA106" s="1027"/>
      <c r="AB106" s="1027"/>
      <c r="AC106" s="1027"/>
      <c r="AD106" s="1027"/>
      <c r="AE106" s="1027"/>
      <c r="AF106" s="1027"/>
      <c r="AG106" s="1027"/>
      <c r="AH106" s="1027"/>
      <c r="AI106" s="1027"/>
      <c r="AJ106" s="1027"/>
      <c r="AK106" s="1027"/>
      <c r="AL106" s="1027"/>
      <c r="AM106" s="1027"/>
      <c r="AN106" s="1027"/>
      <c r="AO106" s="1027"/>
      <c r="AP106" s="1027"/>
      <c r="AQ106" s="1027"/>
      <c r="AR106" s="1027"/>
      <c r="AS106" s="1027"/>
      <c r="AT106" s="1027"/>
      <c r="AU106" s="1027"/>
      <c r="AV106" s="1027"/>
    </row>
    <row r="107" spans="7:48">
      <c r="G107" s="673"/>
      <c r="H107" s="673"/>
      <c r="I107" s="673"/>
      <c r="J107" s="673"/>
      <c r="K107" s="673"/>
      <c r="L107" s="673"/>
      <c r="M107" s="673"/>
      <c r="N107" s="674"/>
      <c r="O107" s="673"/>
      <c r="P107" s="673"/>
      <c r="Q107" s="673"/>
      <c r="R107" s="673"/>
      <c r="S107" s="673"/>
      <c r="T107" s="673"/>
      <c r="U107" s="673"/>
      <c r="V107" s="674"/>
      <c r="W107" s="1027"/>
      <c r="X107" s="1027"/>
      <c r="Y107" s="1027"/>
      <c r="Z107" s="1027"/>
      <c r="AA107" s="1027"/>
      <c r="AB107" s="1027"/>
      <c r="AC107" s="1027"/>
      <c r="AD107" s="1027"/>
      <c r="AE107" s="1027"/>
      <c r="AF107" s="1027"/>
      <c r="AG107" s="1027"/>
      <c r="AH107" s="1027"/>
      <c r="AI107" s="1027"/>
      <c r="AJ107" s="1027"/>
      <c r="AK107" s="1027"/>
      <c r="AL107" s="1027"/>
      <c r="AM107" s="1027"/>
      <c r="AN107" s="1027"/>
      <c r="AO107" s="1027"/>
      <c r="AP107" s="1027"/>
      <c r="AQ107" s="1027"/>
      <c r="AR107" s="1027"/>
      <c r="AS107" s="1027"/>
      <c r="AT107" s="1027"/>
      <c r="AU107" s="1027"/>
      <c r="AV107" s="1027"/>
    </row>
    <row r="108" spans="7:48">
      <c r="G108" s="673"/>
      <c r="H108" s="673"/>
      <c r="I108" s="673"/>
      <c r="J108" s="673"/>
      <c r="K108" s="673"/>
      <c r="L108" s="673"/>
      <c r="M108" s="673"/>
      <c r="N108" s="674"/>
      <c r="O108" s="673"/>
      <c r="P108" s="673"/>
      <c r="Q108" s="673"/>
      <c r="R108" s="673"/>
      <c r="S108" s="673"/>
      <c r="T108" s="673"/>
      <c r="U108" s="673"/>
      <c r="V108" s="674"/>
      <c r="W108" s="1027"/>
      <c r="X108" s="1027"/>
      <c r="Y108" s="1027"/>
      <c r="Z108" s="1027"/>
      <c r="AA108" s="1027"/>
      <c r="AB108" s="1027"/>
      <c r="AC108" s="1027"/>
      <c r="AD108" s="1027"/>
      <c r="AE108" s="1027"/>
      <c r="AF108" s="1027"/>
      <c r="AG108" s="1027"/>
      <c r="AH108" s="1027"/>
      <c r="AI108" s="1027"/>
      <c r="AJ108" s="1027"/>
      <c r="AK108" s="1027"/>
      <c r="AL108" s="1027"/>
      <c r="AM108" s="1027"/>
      <c r="AN108" s="1027"/>
      <c r="AO108" s="1027"/>
      <c r="AP108" s="1027"/>
      <c r="AQ108" s="1027"/>
      <c r="AR108" s="1027"/>
      <c r="AS108" s="1027"/>
      <c r="AT108" s="1027"/>
      <c r="AU108" s="1027"/>
      <c r="AV108" s="1027"/>
    </row>
    <row r="109" spans="7:48">
      <c r="G109" s="673"/>
      <c r="H109" s="673"/>
      <c r="I109" s="673"/>
      <c r="J109" s="673"/>
      <c r="K109" s="673"/>
      <c r="L109" s="673"/>
      <c r="M109" s="673"/>
      <c r="N109" s="674"/>
      <c r="O109" s="673"/>
      <c r="P109" s="673"/>
      <c r="Q109" s="673"/>
      <c r="R109" s="673"/>
      <c r="S109" s="673"/>
      <c r="T109" s="673"/>
      <c r="U109" s="673"/>
      <c r="V109" s="674"/>
      <c r="W109" s="1027"/>
      <c r="X109" s="1027"/>
      <c r="Y109" s="1027"/>
      <c r="Z109" s="1027"/>
      <c r="AA109" s="1027"/>
      <c r="AB109" s="1027"/>
      <c r="AC109" s="1027"/>
      <c r="AD109" s="1027"/>
      <c r="AE109" s="1027"/>
      <c r="AF109" s="1027"/>
      <c r="AG109" s="1027"/>
      <c r="AH109" s="1027"/>
      <c r="AI109" s="1027"/>
      <c r="AJ109" s="1027"/>
      <c r="AK109" s="1027"/>
      <c r="AL109" s="1027"/>
      <c r="AM109" s="1027"/>
      <c r="AN109" s="1027"/>
      <c r="AO109" s="1027"/>
      <c r="AP109" s="1027"/>
      <c r="AQ109" s="1027"/>
      <c r="AR109" s="1027"/>
      <c r="AS109" s="1027"/>
      <c r="AT109" s="1027"/>
      <c r="AU109" s="1027"/>
      <c r="AV109" s="1027"/>
    </row>
    <row r="110" spans="7:48">
      <c r="G110" s="673"/>
      <c r="H110" s="673"/>
      <c r="I110" s="673"/>
      <c r="J110" s="673"/>
      <c r="K110" s="673"/>
      <c r="L110" s="673"/>
      <c r="M110" s="673"/>
      <c r="N110" s="674"/>
      <c r="O110" s="673"/>
      <c r="P110" s="673"/>
      <c r="Q110" s="673"/>
      <c r="R110" s="673"/>
      <c r="S110" s="673"/>
      <c r="T110" s="673"/>
      <c r="U110" s="673"/>
      <c r="V110" s="674"/>
      <c r="W110" s="1027"/>
      <c r="X110" s="1027"/>
      <c r="Y110" s="1027"/>
      <c r="Z110" s="1027"/>
      <c r="AA110" s="1027"/>
      <c r="AB110" s="1027"/>
      <c r="AC110" s="1027"/>
      <c r="AD110" s="1027"/>
      <c r="AE110" s="1027"/>
      <c r="AF110" s="1027"/>
      <c r="AG110" s="1027"/>
      <c r="AH110" s="1027"/>
      <c r="AI110" s="1027"/>
      <c r="AJ110" s="1027"/>
      <c r="AK110" s="1027"/>
      <c r="AL110" s="1027"/>
      <c r="AM110" s="1027"/>
      <c r="AN110" s="1027"/>
      <c r="AO110" s="1027"/>
      <c r="AP110" s="1027"/>
      <c r="AQ110" s="1027"/>
      <c r="AR110" s="1027"/>
      <c r="AS110" s="1027"/>
      <c r="AT110" s="1027"/>
      <c r="AU110" s="1027"/>
      <c r="AV110" s="1027"/>
    </row>
    <row r="111" spans="7:48">
      <c r="G111" s="673"/>
      <c r="H111" s="673"/>
      <c r="I111" s="673"/>
      <c r="J111" s="673"/>
      <c r="K111" s="673"/>
      <c r="L111" s="673"/>
      <c r="M111" s="673"/>
      <c r="N111" s="674"/>
      <c r="O111" s="673"/>
      <c r="P111" s="673"/>
      <c r="Q111" s="673"/>
      <c r="R111" s="673"/>
      <c r="S111" s="673"/>
      <c r="T111" s="673"/>
      <c r="U111" s="673"/>
      <c r="V111" s="674"/>
      <c r="W111" s="1027"/>
      <c r="X111" s="1027"/>
      <c r="Y111" s="1027"/>
      <c r="Z111" s="1027"/>
      <c r="AA111" s="1027"/>
      <c r="AB111" s="1027"/>
      <c r="AC111" s="1027"/>
      <c r="AD111" s="1027"/>
      <c r="AE111" s="1027"/>
      <c r="AF111" s="1027"/>
      <c r="AG111" s="1027"/>
      <c r="AH111" s="1027"/>
      <c r="AI111" s="1027"/>
      <c r="AJ111" s="1027"/>
      <c r="AK111" s="1027"/>
      <c r="AL111" s="1027"/>
      <c r="AM111" s="1027"/>
      <c r="AN111" s="1027"/>
      <c r="AO111" s="1027"/>
      <c r="AP111" s="1027"/>
      <c r="AQ111" s="1027"/>
      <c r="AR111" s="1027"/>
      <c r="AS111" s="1027"/>
      <c r="AT111" s="1027"/>
      <c r="AU111" s="1027"/>
      <c r="AV111" s="1027"/>
    </row>
    <row r="112" spans="7:48">
      <c r="G112" s="673"/>
      <c r="H112" s="673"/>
      <c r="I112" s="673"/>
      <c r="J112" s="673"/>
      <c r="K112" s="673"/>
      <c r="L112" s="673"/>
      <c r="M112" s="673"/>
      <c r="N112" s="674"/>
      <c r="O112" s="673"/>
      <c r="P112" s="673"/>
      <c r="Q112" s="673"/>
      <c r="R112" s="673"/>
      <c r="S112" s="673"/>
      <c r="T112" s="673"/>
      <c r="U112" s="673"/>
      <c r="V112" s="674"/>
      <c r="W112" s="1027"/>
      <c r="X112" s="1027"/>
      <c r="Y112" s="1027"/>
      <c r="Z112" s="1027"/>
      <c r="AA112" s="1027"/>
      <c r="AB112" s="1027"/>
      <c r="AC112" s="1027"/>
      <c r="AD112" s="1027"/>
      <c r="AE112" s="1027"/>
      <c r="AF112" s="1027"/>
      <c r="AG112" s="1027"/>
      <c r="AH112" s="1027"/>
      <c r="AI112" s="1027"/>
      <c r="AJ112" s="1027"/>
      <c r="AK112" s="1027"/>
      <c r="AL112" s="1027"/>
      <c r="AM112" s="1027"/>
      <c r="AN112" s="1027"/>
      <c r="AO112" s="1027"/>
      <c r="AP112" s="1027"/>
      <c r="AQ112" s="1027"/>
      <c r="AR112" s="1027"/>
      <c r="AS112" s="1027"/>
      <c r="AT112" s="1027"/>
      <c r="AU112" s="1027"/>
      <c r="AV112" s="1027"/>
    </row>
    <row r="113" spans="7:48">
      <c r="G113" s="673"/>
      <c r="H113" s="673"/>
      <c r="I113" s="673"/>
      <c r="J113" s="673"/>
      <c r="K113" s="673"/>
      <c r="L113" s="673"/>
      <c r="M113" s="673"/>
      <c r="N113" s="674"/>
      <c r="O113" s="673"/>
      <c r="P113" s="673"/>
      <c r="Q113" s="673"/>
      <c r="R113" s="673"/>
      <c r="S113" s="673"/>
      <c r="T113" s="673"/>
      <c r="U113" s="673"/>
      <c r="V113" s="674"/>
      <c r="W113" s="1027"/>
      <c r="X113" s="1027"/>
      <c r="Y113" s="1027"/>
      <c r="Z113" s="1027"/>
      <c r="AA113" s="1027"/>
      <c r="AB113" s="1027"/>
      <c r="AC113" s="1027"/>
      <c r="AD113" s="1027"/>
      <c r="AE113" s="1027"/>
      <c r="AF113" s="1027"/>
      <c r="AG113" s="1027"/>
      <c r="AH113" s="1027"/>
      <c r="AI113" s="1027"/>
      <c r="AJ113" s="1027"/>
      <c r="AK113" s="1027"/>
      <c r="AL113" s="1027"/>
      <c r="AM113" s="1027"/>
      <c r="AN113" s="1027"/>
      <c r="AO113" s="1027"/>
      <c r="AP113" s="1027"/>
      <c r="AQ113" s="1027"/>
      <c r="AR113" s="1027"/>
      <c r="AS113" s="1027"/>
      <c r="AT113" s="1027"/>
      <c r="AU113" s="1027"/>
      <c r="AV113" s="1027"/>
    </row>
    <row r="114" spans="7:48">
      <c r="G114" s="673"/>
      <c r="H114" s="673"/>
      <c r="I114" s="673"/>
      <c r="J114" s="673"/>
      <c r="K114" s="673"/>
      <c r="L114" s="673"/>
      <c r="M114" s="673"/>
      <c r="N114" s="674"/>
      <c r="O114" s="673"/>
      <c r="P114" s="673"/>
      <c r="Q114" s="673"/>
      <c r="R114" s="673"/>
      <c r="S114" s="673"/>
      <c r="T114" s="673"/>
      <c r="U114" s="673"/>
      <c r="V114" s="674"/>
      <c r="W114" s="1027"/>
      <c r="X114" s="1027"/>
      <c r="Y114" s="1027"/>
      <c r="Z114" s="1027"/>
      <c r="AA114" s="1027"/>
      <c r="AB114" s="1027"/>
      <c r="AC114" s="1027"/>
      <c r="AD114" s="1027"/>
      <c r="AE114" s="1027"/>
      <c r="AF114" s="1027"/>
      <c r="AG114" s="1027"/>
      <c r="AH114" s="1027"/>
      <c r="AI114" s="1027"/>
      <c r="AJ114" s="1027"/>
      <c r="AK114" s="1027"/>
      <c r="AL114" s="1027"/>
      <c r="AM114" s="1027"/>
      <c r="AN114" s="1027"/>
      <c r="AO114" s="1027"/>
      <c r="AP114" s="1027"/>
      <c r="AQ114" s="1027"/>
      <c r="AR114" s="1027"/>
      <c r="AS114" s="1027"/>
      <c r="AT114" s="1027"/>
      <c r="AU114" s="1027"/>
      <c r="AV114" s="1027"/>
    </row>
    <row r="115" spans="7:48">
      <c r="G115" s="673"/>
      <c r="H115" s="673"/>
      <c r="I115" s="673"/>
      <c r="J115" s="673"/>
      <c r="K115" s="673"/>
      <c r="L115" s="673"/>
      <c r="M115" s="673"/>
      <c r="N115" s="674"/>
      <c r="O115" s="673"/>
      <c r="P115" s="673"/>
      <c r="Q115" s="673"/>
      <c r="R115" s="673"/>
      <c r="S115" s="673"/>
      <c r="T115" s="673"/>
      <c r="U115" s="673"/>
      <c r="V115" s="674"/>
      <c r="W115" s="1027"/>
      <c r="X115" s="1027"/>
      <c r="Y115" s="1027"/>
      <c r="Z115" s="1027"/>
      <c r="AA115" s="1027"/>
      <c r="AB115" s="1027"/>
      <c r="AC115" s="1027"/>
      <c r="AD115" s="1027"/>
      <c r="AE115" s="1027"/>
      <c r="AF115" s="1027"/>
      <c r="AG115" s="1027"/>
      <c r="AH115" s="1027"/>
      <c r="AI115" s="1027"/>
      <c r="AJ115" s="1027"/>
      <c r="AK115" s="1027"/>
      <c r="AL115" s="1027"/>
      <c r="AM115" s="1027"/>
      <c r="AN115" s="1027"/>
      <c r="AO115" s="1027"/>
      <c r="AP115" s="1027"/>
      <c r="AQ115" s="1027"/>
      <c r="AR115" s="1027"/>
      <c r="AS115" s="1027"/>
      <c r="AT115" s="1027"/>
      <c r="AU115" s="1027"/>
      <c r="AV115" s="1027"/>
    </row>
    <row r="116" spans="7:48">
      <c r="G116" s="673"/>
      <c r="H116" s="673"/>
      <c r="I116" s="673"/>
      <c r="J116" s="673"/>
      <c r="K116" s="673"/>
      <c r="L116" s="673"/>
      <c r="M116" s="673"/>
      <c r="N116" s="674"/>
      <c r="O116" s="673"/>
      <c r="P116" s="673"/>
      <c r="Q116" s="673"/>
      <c r="R116" s="673"/>
      <c r="S116" s="673"/>
      <c r="T116" s="673"/>
      <c r="U116" s="673"/>
      <c r="V116" s="674"/>
      <c r="W116" s="1027"/>
      <c r="X116" s="1027"/>
      <c r="Y116" s="1027"/>
      <c r="Z116" s="1027"/>
      <c r="AA116" s="1027"/>
      <c r="AB116" s="1027"/>
      <c r="AC116" s="1027"/>
      <c r="AD116" s="1027"/>
      <c r="AE116" s="1027"/>
      <c r="AF116" s="1027"/>
      <c r="AG116" s="1027"/>
      <c r="AH116" s="1027"/>
      <c r="AI116" s="1027"/>
      <c r="AJ116" s="1027"/>
      <c r="AK116" s="1027"/>
      <c r="AL116" s="1027"/>
      <c r="AM116" s="1027"/>
      <c r="AN116" s="1027"/>
      <c r="AO116" s="1027"/>
      <c r="AP116" s="1027"/>
      <c r="AQ116" s="1027"/>
      <c r="AR116" s="1027"/>
      <c r="AS116" s="1027"/>
      <c r="AT116" s="1027"/>
      <c r="AU116" s="1027"/>
      <c r="AV116" s="1027"/>
    </row>
    <row r="117" spans="7:48">
      <c r="G117" s="673"/>
      <c r="H117" s="673"/>
      <c r="I117" s="673"/>
      <c r="J117" s="673"/>
      <c r="K117" s="673"/>
      <c r="L117" s="673"/>
      <c r="M117" s="673"/>
      <c r="N117" s="674"/>
      <c r="O117" s="673"/>
      <c r="P117" s="673"/>
      <c r="Q117" s="673"/>
      <c r="R117" s="673"/>
      <c r="S117" s="673"/>
      <c r="T117" s="673"/>
      <c r="U117" s="673"/>
      <c r="V117" s="674"/>
      <c r="W117" s="1027"/>
      <c r="X117" s="1027"/>
      <c r="Y117" s="1027"/>
      <c r="Z117" s="1027"/>
      <c r="AA117" s="1027"/>
      <c r="AB117" s="1027"/>
      <c r="AC117" s="1027"/>
      <c r="AD117" s="1027"/>
      <c r="AE117" s="1027"/>
      <c r="AF117" s="1027"/>
      <c r="AG117" s="1027"/>
      <c r="AH117" s="1027"/>
      <c r="AI117" s="1027"/>
      <c r="AJ117" s="1027"/>
      <c r="AK117" s="1027"/>
      <c r="AL117" s="1027"/>
      <c r="AM117" s="1027"/>
      <c r="AN117" s="1027"/>
      <c r="AO117" s="1027"/>
      <c r="AP117" s="1027"/>
      <c r="AQ117" s="1027"/>
      <c r="AR117" s="1027"/>
      <c r="AS117" s="1027"/>
      <c r="AT117" s="1027"/>
      <c r="AU117" s="1027"/>
      <c r="AV117" s="1027"/>
    </row>
    <row r="118" spans="7:48">
      <c r="G118" s="673"/>
      <c r="H118" s="673"/>
      <c r="I118" s="673"/>
      <c r="J118" s="673"/>
      <c r="K118" s="673"/>
      <c r="L118" s="673"/>
      <c r="M118" s="673"/>
      <c r="N118" s="674"/>
      <c r="O118" s="673"/>
      <c r="P118" s="673"/>
      <c r="Q118" s="673"/>
      <c r="R118" s="673"/>
      <c r="S118" s="673"/>
      <c r="T118" s="673"/>
      <c r="U118" s="673"/>
      <c r="V118" s="674"/>
      <c r="W118" s="1027"/>
      <c r="X118" s="1027"/>
      <c r="Y118" s="1027"/>
      <c r="Z118" s="1027"/>
      <c r="AA118" s="1027"/>
      <c r="AB118" s="1027"/>
      <c r="AC118" s="1027"/>
      <c r="AD118" s="1027"/>
      <c r="AE118" s="1027"/>
      <c r="AF118" s="1027"/>
      <c r="AG118" s="1027"/>
      <c r="AH118" s="1027"/>
      <c r="AI118" s="1027"/>
      <c r="AJ118" s="1027"/>
      <c r="AK118" s="1027"/>
      <c r="AL118" s="1027"/>
      <c r="AM118" s="1027"/>
      <c r="AN118" s="1027"/>
      <c r="AO118" s="1027"/>
      <c r="AP118" s="1027"/>
      <c r="AQ118" s="1027"/>
      <c r="AR118" s="1027"/>
      <c r="AS118" s="1027"/>
      <c r="AT118" s="1027"/>
      <c r="AU118" s="1027"/>
      <c r="AV118" s="1027"/>
    </row>
    <row r="119" spans="7:48">
      <c r="G119" s="673"/>
      <c r="H119" s="673"/>
      <c r="I119" s="673"/>
      <c r="J119" s="673"/>
      <c r="K119" s="673"/>
      <c r="L119" s="673"/>
      <c r="M119" s="673"/>
      <c r="N119" s="674"/>
      <c r="O119" s="673"/>
      <c r="P119" s="673"/>
      <c r="Q119" s="673"/>
      <c r="R119" s="673"/>
      <c r="S119" s="673"/>
      <c r="T119" s="673"/>
      <c r="U119" s="673"/>
      <c r="V119" s="674"/>
      <c r="W119" s="1027"/>
      <c r="X119" s="1027"/>
      <c r="Y119" s="1027"/>
      <c r="Z119" s="1027"/>
      <c r="AA119" s="1027"/>
      <c r="AB119" s="1027"/>
      <c r="AC119" s="1027"/>
      <c r="AD119" s="1027"/>
      <c r="AE119" s="1027"/>
      <c r="AF119" s="1027"/>
      <c r="AG119" s="1027"/>
      <c r="AH119" s="1027"/>
      <c r="AI119" s="1027"/>
      <c r="AJ119" s="1027"/>
      <c r="AK119" s="1027"/>
      <c r="AL119" s="1027"/>
      <c r="AM119" s="1027"/>
      <c r="AN119" s="1027"/>
      <c r="AO119" s="1027"/>
      <c r="AP119" s="1027"/>
      <c r="AQ119" s="1027"/>
      <c r="AR119" s="1027"/>
      <c r="AS119" s="1027"/>
      <c r="AT119" s="1027"/>
      <c r="AU119" s="1027"/>
      <c r="AV119" s="1027"/>
    </row>
    <row r="120" spans="7:48">
      <c r="G120" s="673"/>
      <c r="H120" s="673"/>
      <c r="I120" s="673"/>
      <c r="J120" s="673"/>
      <c r="K120" s="673"/>
      <c r="L120" s="673"/>
      <c r="M120" s="673"/>
      <c r="N120" s="674"/>
      <c r="O120" s="673"/>
      <c r="P120" s="673"/>
      <c r="Q120" s="673"/>
      <c r="R120" s="673"/>
      <c r="S120" s="673"/>
      <c r="T120" s="673"/>
      <c r="U120" s="673"/>
      <c r="V120" s="674"/>
      <c r="W120" s="1027"/>
      <c r="X120" s="1027"/>
      <c r="Y120" s="1027"/>
      <c r="Z120" s="1027"/>
      <c r="AA120" s="1027"/>
      <c r="AB120" s="1027"/>
      <c r="AC120" s="1027"/>
      <c r="AD120" s="1027"/>
      <c r="AE120" s="1027"/>
      <c r="AF120" s="1027"/>
      <c r="AG120" s="1027"/>
      <c r="AH120" s="1027"/>
      <c r="AI120" s="1027"/>
      <c r="AJ120" s="1027"/>
      <c r="AK120" s="1027"/>
      <c r="AL120" s="1027"/>
      <c r="AM120" s="1027"/>
      <c r="AN120" s="1027"/>
      <c r="AO120" s="1027"/>
      <c r="AP120" s="1027"/>
      <c r="AQ120" s="1027"/>
      <c r="AR120" s="1027"/>
      <c r="AS120" s="1027"/>
      <c r="AT120" s="1027"/>
      <c r="AU120" s="1027"/>
      <c r="AV120" s="1027"/>
    </row>
    <row r="121" spans="7:48">
      <c r="G121" s="673"/>
      <c r="H121" s="673"/>
      <c r="I121" s="673"/>
      <c r="J121" s="673"/>
      <c r="K121" s="673"/>
      <c r="L121" s="673"/>
      <c r="M121" s="673"/>
      <c r="N121" s="674"/>
      <c r="O121" s="673"/>
      <c r="P121" s="673"/>
      <c r="Q121" s="673"/>
      <c r="R121" s="673"/>
      <c r="S121" s="673"/>
      <c r="T121" s="673"/>
      <c r="U121" s="673"/>
      <c r="V121" s="674"/>
      <c r="W121" s="1027"/>
      <c r="X121" s="1027"/>
      <c r="Y121" s="1027"/>
      <c r="Z121" s="1027"/>
      <c r="AA121" s="1027"/>
      <c r="AB121" s="1027"/>
      <c r="AC121" s="1027"/>
      <c r="AD121" s="1027"/>
      <c r="AE121" s="1027"/>
      <c r="AF121" s="1027"/>
      <c r="AG121" s="1027"/>
      <c r="AH121" s="1027"/>
      <c r="AI121" s="1027"/>
      <c r="AJ121" s="1027"/>
      <c r="AK121" s="1027"/>
      <c r="AL121" s="1027"/>
      <c r="AM121" s="1027"/>
      <c r="AN121" s="1027"/>
      <c r="AO121" s="1027"/>
      <c r="AP121" s="1027"/>
      <c r="AQ121" s="1027"/>
      <c r="AR121" s="1027"/>
      <c r="AS121" s="1027"/>
      <c r="AT121" s="1027"/>
      <c r="AU121" s="1027"/>
      <c r="AV121" s="1027"/>
    </row>
    <row r="122" spans="7:48">
      <c r="G122" s="673"/>
      <c r="H122" s="673"/>
      <c r="I122" s="673"/>
      <c r="J122" s="673"/>
      <c r="K122" s="673"/>
      <c r="L122" s="673"/>
      <c r="M122" s="673"/>
      <c r="N122" s="674"/>
      <c r="O122" s="673"/>
      <c r="P122" s="673"/>
      <c r="Q122" s="673"/>
      <c r="R122" s="673"/>
      <c r="S122" s="673"/>
      <c r="T122" s="673"/>
      <c r="U122" s="673"/>
      <c r="V122" s="674"/>
      <c r="W122" s="1027"/>
      <c r="X122" s="1027"/>
      <c r="Y122" s="1027"/>
      <c r="Z122" s="1027"/>
      <c r="AA122" s="1027"/>
      <c r="AB122" s="1027"/>
      <c r="AC122" s="1027"/>
      <c r="AD122" s="1027"/>
      <c r="AE122" s="1027"/>
      <c r="AF122" s="1027"/>
      <c r="AG122" s="1027"/>
      <c r="AH122" s="1027"/>
      <c r="AI122" s="1027"/>
      <c r="AJ122" s="1027"/>
      <c r="AK122" s="1027"/>
      <c r="AL122" s="1027"/>
      <c r="AM122" s="1027"/>
      <c r="AN122" s="1027"/>
      <c r="AO122" s="1027"/>
      <c r="AP122" s="1027"/>
      <c r="AQ122" s="1027"/>
      <c r="AR122" s="1027"/>
      <c r="AS122" s="1027"/>
      <c r="AT122" s="1027"/>
      <c r="AU122" s="1027"/>
      <c r="AV122" s="1027"/>
    </row>
    <row r="123" spans="7:48">
      <c r="G123" s="673"/>
      <c r="H123" s="673"/>
      <c r="I123" s="673"/>
      <c r="J123" s="673"/>
      <c r="K123" s="673"/>
      <c r="L123" s="673"/>
      <c r="M123" s="673"/>
      <c r="N123" s="674"/>
      <c r="O123" s="673"/>
      <c r="P123" s="673"/>
      <c r="Q123" s="673"/>
      <c r="R123" s="673"/>
      <c r="S123" s="673"/>
      <c r="T123" s="673"/>
      <c r="U123" s="673"/>
      <c r="V123" s="674"/>
      <c r="W123" s="1027"/>
      <c r="X123" s="1027"/>
      <c r="Y123" s="1027"/>
      <c r="Z123" s="1027"/>
      <c r="AA123" s="1027"/>
      <c r="AB123" s="1027"/>
      <c r="AC123" s="1027"/>
      <c r="AD123" s="1027"/>
      <c r="AE123" s="1027"/>
      <c r="AF123" s="1027"/>
      <c r="AG123" s="1027"/>
      <c r="AH123" s="1027"/>
      <c r="AI123" s="1027"/>
      <c r="AJ123" s="1027"/>
      <c r="AK123" s="1027"/>
      <c r="AL123" s="1027"/>
      <c r="AM123" s="1027"/>
      <c r="AN123" s="1027"/>
      <c r="AO123" s="1027"/>
      <c r="AP123" s="1027"/>
      <c r="AQ123" s="1027"/>
      <c r="AR123" s="1027"/>
      <c r="AS123" s="1027"/>
      <c r="AT123" s="1027"/>
      <c r="AU123" s="1027"/>
      <c r="AV123" s="1027"/>
    </row>
    <row r="124" spans="7:48">
      <c r="G124" s="673"/>
      <c r="H124" s="673"/>
      <c r="I124" s="673"/>
      <c r="J124" s="673"/>
      <c r="K124" s="673"/>
      <c r="L124" s="673"/>
      <c r="M124" s="673"/>
      <c r="N124" s="674"/>
      <c r="O124" s="673"/>
      <c r="P124" s="673"/>
      <c r="Q124" s="673"/>
      <c r="R124" s="673"/>
      <c r="S124" s="673"/>
      <c r="T124" s="673"/>
      <c r="U124" s="673"/>
      <c r="V124" s="674"/>
      <c r="W124" s="1027"/>
      <c r="X124" s="1027"/>
      <c r="Y124" s="1027"/>
      <c r="Z124" s="1027"/>
      <c r="AA124" s="1027"/>
      <c r="AB124" s="1027"/>
      <c r="AC124" s="1027"/>
      <c r="AD124" s="1027"/>
      <c r="AE124" s="1027"/>
      <c r="AF124" s="1027"/>
      <c r="AG124" s="1027"/>
      <c r="AH124" s="1027"/>
      <c r="AI124" s="1027"/>
      <c r="AJ124" s="1027"/>
      <c r="AK124" s="1027"/>
      <c r="AL124" s="1027"/>
      <c r="AM124" s="1027"/>
      <c r="AN124" s="1027"/>
      <c r="AO124" s="1027"/>
      <c r="AP124" s="1027"/>
      <c r="AQ124" s="1027"/>
      <c r="AR124" s="1027"/>
      <c r="AS124" s="1027"/>
      <c r="AT124" s="1027"/>
      <c r="AU124" s="1027"/>
      <c r="AV124" s="1027"/>
    </row>
    <row r="125" spans="7:48">
      <c r="G125" s="673"/>
      <c r="H125" s="673"/>
      <c r="I125" s="673"/>
      <c r="J125" s="673"/>
      <c r="K125" s="673"/>
      <c r="L125" s="673"/>
      <c r="M125" s="673"/>
      <c r="N125" s="674"/>
      <c r="O125" s="673"/>
      <c r="P125" s="673"/>
      <c r="Q125" s="673"/>
      <c r="R125" s="673"/>
      <c r="S125" s="673"/>
      <c r="T125" s="673"/>
      <c r="U125" s="673"/>
      <c r="V125" s="674"/>
      <c r="W125" s="1027"/>
      <c r="X125" s="1027"/>
      <c r="Y125" s="1027"/>
      <c r="Z125" s="1027"/>
      <c r="AA125" s="1027"/>
      <c r="AB125" s="1027"/>
      <c r="AC125" s="1027"/>
      <c r="AD125" s="1027"/>
      <c r="AE125" s="1027"/>
      <c r="AF125" s="1027"/>
      <c r="AG125" s="1027"/>
      <c r="AH125" s="1027"/>
      <c r="AI125" s="1027"/>
      <c r="AJ125" s="1027"/>
      <c r="AK125" s="1027"/>
      <c r="AL125" s="1027"/>
      <c r="AM125" s="1027"/>
      <c r="AN125" s="1027"/>
      <c r="AO125" s="1027"/>
      <c r="AP125" s="1027"/>
      <c r="AQ125" s="1027"/>
      <c r="AR125" s="1027"/>
      <c r="AS125" s="1027"/>
      <c r="AT125" s="1027"/>
      <c r="AU125" s="1027"/>
      <c r="AV125" s="1027"/>
    </row>
    <row r="126" spans="7:48">
      <c r="G126" s="673"/>
      <c r="H126" s="673"/>
      <c r="I126" s="673"/>
      <c r="J126" s="673"/>
      <c r="K126" s="673"/>
      <c r="L126" s="673"/>
      <c r="M126" s="673"/>
      <c r="N126" s="674"/>
      <c r="O126" s="673"/>
      <c r="P126" s="673"/>
      <c r="Q126" s="673"/>
      <c r="R126" s="673"/>
      <c r="S126" s="673"/>
      <c r="T126" s="673"/>
      <c r="U126" s="673"/>
      <c r="V126" s="674"/>
      <c r="W126" s="1027"/>
      <c r="X126" s="1027"/>
      <c r="Y126" s="1027"/>
      <c r="Z126" s="1027"/>
      <c r="AA126" s="1027"/>
      <c r="AB126" s="1027"/>
      <c r="AC126" s="1027"/>
      <c r="AD126" s="1027"/>
      <c r="AE126" s="1027"/>
      <c r="AF126" s="1027"/>
      <c r="AG126" s="1027"/>
      <c r="AH126" s="1027"/>
      <c r="AI126" s="1027"/>
      <c r="AJ126" s="1027"/>
      <c r="AK126" s="1027"/>
      <c r="AL126" s="1027"/>
      <c r="AM126" s="1027"/>
      <c r="AN126" s="1027"/>
      <c r="AO126" s="1027"/>
      <c r="AP126" s="1027"/>
      <c r="AQ126" s="1027"/>
      <c r="AR126" s="1027"/>
      <c r="AS126" s="1027"/>
      <c r="AT126" s="1027"/>
      <c r="AU126" s="1027"/>
      <c r="AV126" s="1027"/>
    </row>
    <row r="127" spans="7:48">
      <c r="G127" s="673"/>
      <c r="H127" s="673"/>
      <c r="I127" s="673"/>
      <c r="J127" s="673"/>
      <c r="K127" s="673"/>
      <c r="L127" s="673"/>
      <c r="M127" s="673"/>
      <c r="N127" s="674"/>
      <c r="O127" s="673"/>
      <c r="P127" s="673"/>
      <c r="Q127" s="673"/>
      <c r="R127" s="673"/>
      <c r="S127" s="673"/>
      <c r="T127" s="673"/>
      <c r="U127" s="673"/>
      <c r="V127" s="674"/>
      <c r="W127" s="1027"/>
      <c r="X127" s="1027"/>
      <c r="Y127" s="1027"/>
      <c r="Z127" s="1027"/>
      <c r="AA127" s="1027"/>
      <c r="AB127" s="1027"/>
      <c r="AC127" s="1027"/>
      <c r="AD127" s="1027"/>
      <c r="AE127" s="1027"/>
      <c r="AF127" s="1027"/>
      <c r="AG127" s="1027"/>
      <c r="AH127" s="1027"/>
      <c r="AI127" s="1027"/>
      <c r="AJ127" s="1027"/>
      <c r="AK127" s="1027"/>
      <c r="AL127" s="1027"/>
      <c r="AM127" s="1027"/>
      <c r="AN127" s="1027"/>
      <c r="AO127" s="1027"/>
      <c r="AP127" s="1027"/>
      <c r="AQ127" s="1027"/>
      <c r="AR127" s="1027"/>
      <c r="AS127" s="1027"/>
      <c r="AT127" s="1027"/>
      <c r="AU127" s="1027"/>
      <c r="AV127" s="1027"/>
    </row>
    <row r="128" spans="7:48">
      <c r="G128" s="673"/>
      <c r="H128" s="673"/>
      <c r="I128" s="673"/>
      <c r="J128" s="673"/>
      <c r="K128" s="673"/>
      <c r="L128" s="673"/>
      <c r="M128" s="673"/>
      <c r="N128" s="674"/>
      <c r="O128" s="673"/>
      <c r="P128" s="673"/>
      <c r="Q128" s="673"/>
      <c r="R128" s="673"/>
      <c r="S128" s="673"/>
      <c r="T128" s="673"/>
      <c r="U128" s="673"/>
      <c r="V128" s="674"/>
      <c r="W128" s="1027"/>
      <c r="X128" s="1027"/>
      <c r="Y128" s="1027"/>
      <c r="Z128" s="1027"/>
      <c r="AA128" s="1027"/>
      <c r="AB128" s="1027"/>
      <c r="AC128" s="1027"/>
      <c r="AD128" s="1027"/>
      <c r="AE128" s="1027"/>
      <c r="AF128" s="1027"/>
      <c r="AG128" s="1027"/>
      <c r="AH128" s="1027"/>
      <c r="AI128" s="1027"/>
      <c r="AJ128" s="1027"/>
      <c r="AK128" s="1027"/>
      <c r="AL128" s="1027"/>
      <c r="AM128" s="1027"/>
      <c r="AN128" s="1027"/>
      <c r="AO128" s="1027"/>
      <c r="AP128" s="1027"/>
      <c r="AQ128" s="1027"/>
      <c r="AR128" s="1027"/>
      <c r="AS128" s="1027"/>
      <c r="AT128" s="1027"/>
      <c r="AU128" s="1027"/>
      <c r="AV128" s="1027"/>
    </row>
    <row r="129" spans="7:48">
      <c r="G129" s="673"/>
      <c r="H129" s="673"/>
      <c r="I129" s="673"/>
      <c r="J129" s="673"/>
      <c r="K129" s="673"/>
      <c r="L129" s="673"/>
      <c r="M129" s="673"/>
      <c r="N129" s="674"/>
      <c r="O129" s="673"/>
      <c r="P129" s="673"/>
      <c r="Q129" s="673"/>
      <c r="R129" s="673"/>
      <c r="S129" s="673"/>
      <c r="T129" s="673"/>
      <c r="U129" s="673"/>
      <c r="V129" s="674"/>
      <c r="W129" s="1027"/>
      <c r="X129" s="1027"/>
      <c r="Y129" s="1027"/>
      <c r="Z129" s="1027"/>
      <c r="AA129" s="1027"/>
      <c r="AB129" s="1027"/>
      <c r="AC129" s="1027"/>
      <c r="AD129" s="1027"/>
      <c r="AE129" s="1027"/>
      <c r="AF129" s="1027"/>
      <c r="AG129" s="1027"/>
      <c r="AH129" s="1027"/>
      <c r="AI129" s="1027"/>
      <c r="AJ129" s="1027"/>
      <c r="AK129" s="1027"/>
      <c r="AL129" s="1027"/>
      <c r="AM129" s="1027"/>
      <c r="AN129" s="1027"/>
      <c r="AO129" s="1027"/>
      <c r="AP129" s="1027"/>
      <c r="AQ129" s="1027"/>
      <c r="AR129" s="1027"/>
      <c r="AS129" s="1027"/>
      <c r="AT129" s="1027"/>
      <c r="AU129" s="1027"/>
      <c r="AV129" s="1027"/>
    </row>
    <row r="130" spans="7:48">
      <c r="G130" s="673"/>
      <c r="H130" s="673"/>
      <c r="I130" s="673"/>
      <c r="J130" s="673"/>
      <c r="K130" s="673"/>
      <c r="L130" s="673"/>
      <c r="M130" s="673"/>
      <c r="N130" s="674"/>
      <c r="O130" s="673"/>
      <c r="P130" s="673"/>
      <c r="Q130" s="673"/>
      <c r="R130" s="673"/>
      <c r="S130" s="673"/>
      <c r="T130" s="673"/>
      <c r="U130" s="673"/>
      <c r="V130" s="674"/>
      <c r="W130" s="1027"/>
      <c r="X130" s="1027"/>
      <c r="Y130" s="1027"/>
      <c r="Z130" s="1027"/>
      <c r="AA130" s="1027"/>
      <c r="AB130" s="1027"/>
      <c r="AC130" s="1027"/>
      <c r="AD130" s="1027"/>
      <c r="AE130" s="1027"/>
      <c r="AF130" s="1027"/>
      <c r="AG130" s="1027"/>
      <c r="AH130" s="1027"/>
      <c r="AI130" s="1027"/>
      <c r="AJ130" s="1027"/>
      <c r="AK130" s="1027"/>
      <c r="AL130" s="1027"/>
      <c r="AM130" s="1027"/>
      <c r="AN130" s="1027"/>
      <c r="AO130" s="1027"/>
      <c r="AP130" s="1027"/>
      <c r="AQ130" s="1027"/>
      <c r="AR130" s="1027"/>
      <c r="AS130" s="1027"/>
      <c r="AT130" s="1027"/>
      <c r="AU130" s="1027"/>
      <c r="AV130" s="1027"/>
    </row>
    <row r="131" spans="7:48">
      <c r="G131" s="673"/>
      <c r="H131" s="673"/>
      <c r="I131" s="673"/>
      <c r="J131" s="673"/>
      <c r="K131" s="673"/>
      <c r="L131" s="673"/>
      <c r="M131" s="673"/>
      <c r="N131" s="674"/>
      <c r="O131" s="673"/>
      <c r="P131" s="673"/>
      <c r="Q131" s="673"/>
      <c r="R131" s="673"/>
      <c r="S131" s="673"/>
      <c r="T131" s="673"/>
      <c r="U131" s="673"/>
      <c r="V131" s="674"/>
      <c r="W131" s="1027"/>
      <c r="X131" s="1027"/>
      <c r="Y131" s="1027"/>
      <c r="Z131" s="1027"/>
      <c r="AA131" s="1027"/>
      <c r="AB131" s="1027"/>
      <c r="AC131" s="1027"/>
      <c r="AD131" s="1027"/>
      <c r="AE131" s="1027"/>
      <c r="AF131" s="1027"/>
      <c r="AG131" s="1027"/>
      <c r="AH131" s="1027"/>
      <c r="AI131" s="1027"/>
      <c r="AJ131" s="1027"/>
      <c r="AK131" s="1027"/>
      <c r="AL131" s="1027"/>
      <c r="AM131" s="1027"/>
      <c r="AN131" s="1027"/>
      <c r="AO131" s="1027"/>
      <c r="AP131" s="1027"/>
      <c r="AQ131" s="1027"/>
      <c r="AR131" s="1027"/>
      <c r="AS131" s="1027"/>
      <c r="AT131" s="1027"/>
      <c r="AU131" s="1027"/>
      <c r="AV131" s="1027"/>
    </row>
    <row r="132" spans="7:48">
      <c r="G132" s="673"/>
      <c r="H132" s="673"/>
      <c r="I132" s="673"/>
      <c r="J132" s="673"/>
      <c r="K132" s="673"/>
      <c r="L132" s="673"/>
      <c r="M132" s="673"/>
      <c r="N132" s="674"/>
      <c r="O132" s="673"/>
      <c r="P132" s="673"/>
      <c r="Q132" s="673"/>
      <c r="R132" s="673"/>
      <c r="S132" s="673"/>
      <c r="T132" s="673"/>
      <c r="U132" s="673"/>
      <c r="V132" s="674"/>
      <c r="W132" s="1027"/>
      <c r="X132" s="1027"/>
      <c r="Y132" s="1027"/>
      <c r="Z132" s="1027"/>
      <c r="AA132" s="1027"/>
      <c r="AB132" s="1027"/>
      <c r="AC132" s="1027"/>
      <c r="AD132" s="1027"/>
      <c r="AE132" s="1027"/>
      <c r="AF132" s="1027"/>
      <c r="AG132" s="1027"/>
      <c r="AH132" s="1027"/>
      <c r="AI132" s="1027"/>
      <c r="AJ132" s="1027"/>
      <c r="AK132" s="1027"/>
      <c r="AL132" s="1027"/>
      <c r="AM132" s="1027"/>
      <c r="AN132" s="1027"/>
      <c r="AO132" s="1027"/>
      <c r="AP132" s="1027"/>
      <c r="AQ132" s="1027"/>
      <c r="AR132" s="1027"/>
      <c r="AS132" s="1027"/>
      <c r="AT132" s="1027"/>
      <c r="AU132" s="1027"/>
      <c r="AV132" s="1027"/>
    </row>
    <row r="133" spans="7:48">
      <c r="G133" s="673"/>
      <c r="H133" s="673"/>
      <c r="I133" s="673"/>
      <c r="J133" s="673"/>
      <c r="K133" s="673"/>
      <c r="L133" s="673"/>
      <c r="M133" s="673"/>
      <c r="N133" s="674"/>
      <c r="O133" s="673"/>
      <c r="P133" s="673"/>
      <c r="Q133" s="673"/>
      <c r="R133" s="673"/>
      <c r="S133" s="673"/>
      <c r="T133" s="673"/>
      <c r="U133" s="673"/>
      <c r="V133" s="674"/>
      <c r="W133" s="1027"/>
      <c r="X133" s="1027"/>
      <c r="Y133" s="1027"/>
      <c r="Z133" s="1027"/>
      <c r="AA133" s="1027"/>
      <c r="AB133" s="1027"/>
      <c r="AC133" s="1027"/>
      <c r="AD133" s="1027"/>
      <c r="AE133" s="1027"/>
      <c r="AF133" s="1027"/>
      <c r="AG133" s="1027"/>
      <c r="AH133" s="1027"/>
      <c r="AI133" s="1027"/>
      <c r="AJ133" s="1027"/>
      <c r="AK133" s="1027"/>
      <c r="AL133" s="1027"/>
      <c r="AM133" s="1027"/>
      <c r="AN133" s="1027"/>
      <c r="AO133" s="1027"/>
      <c r="AP133" s="1027"/>
      <c r="AQ133" s="1027"/>
      <c r="AR133" s="1027"/>
      <c r="AS133" s="1027"/>
      <c r="AT133" s="1027"/>
      <c r="AU133" s="1027"/>
      <c r="AV133" s="1027"/>
    </row>
    <row r="134" spans="7:48">
      <c r="G134" s="673"/>
      <c r="H134" s="673"/>
      <c r="I134" s="673"/>
      <c r="J134" s="673"/>
      <c r="K134" s="673"/>
      <c r="L134" s="673"/>
      <c r="M134" s="673"/>
      <c r="N134" s="674"/>
      <c r="O134" s="673"/>
      <c r="P134" s="673"/>
      <c r="Q134" s="673"/>
      <c r="R134" s="673"/>
      <c r="S134" s="673"/>
      <c r="T134" s="673"/>
      <c r="U134" s="673"/>
      <c r="V134" s="674"/>
      <c r="W134" s="1027"/>
      <c r="X134" s="1027"/>
      <c r="Y134" s="1027"/>
      <c r="Z134" s="1027"/>
      <c r="AA134" s="1027"/>
      <c r="AB134" s="1027"/>
      <c r="AC134" s="1027"/>
      <c r="AD134" s="1027"/>
      <c r="AE134" s="1027"/>
      <c r="AF134" s="1027"/>
      <c r="AG134" s="1027"/>
      <c r="AH134" s="1027"/>
      <c r="AI134" s="1027"/>
      <c r="AJ134" s="1027"/>
      <c r="AK134" s="1027"/>
      <c r="AL134" s="1027"/>
      <c r="AM134" s="1027"/>
      <c r="AN134" s="1027"/>
      <c r="AO134" s="1027"/>
      <c r="AP134" s="1027"/>
      <c r="AQ134" s="1027"/>
      <c r="AR134" s="1027"/>
      <c r="AS134" s="1027"/>
      <c r="AT134" s="1027"/>
      <c r="AU134" s="1027"/>
      <c r="AV134" s="1027"/>
    </row>
    <row r="135" spans="7:48">
      <c r="G135" s="673"/>
      <c r="H135" s="673"/>
      <c r="I135" s="673"/>
      <c r="J135" s="673"/>
      <c r="K135" s="673"/>
      <c r="L135" s="673"/>
      <c r="M135" s="673"/>
      <c r="N135" s="674"/>
      <c r="O135" s="673"/>
      <c r="P135" s="673"/>
      <c r="Q135" s="673"/>
      <c r="R135" s="673"/>
      <c r="S135" s="673"/>
      <c r="T135" s="673"/>
      <c r="U135" s="673"/>
      <c r="V135" s="674"/>
      <c r="W135" s="1027"/>
      <c r="X135" s="1027"/>
      <c r="Y135" s="1027"/>
      <c r="Z135" s="1027"/>
      <c r="AA135" s="1027"/>
      <c r="AB135" s="1027"/>
      <c r="AC135" s="1027"/>
      <c r="AD135" s="1027"/>
      <c r="AE135" s="1027"/>
      <c r="AF135" s="1027"/>
      <c r="AG135" s="1027"/>
      <c r="AH135" s="1027"/>
      <c r="AI135" s="1027"/>
      <c r="AJ135" s="1027"/>
      <c r="AK135" s="1027"/>
      <c r="AL135" s="1027"/>
      <c r="AM135" s="1027"/>
      <c r="AN135" s="1027"/>
      <c r="AO135" s="1027"/>
      <c r="AP135" s="1027"/>
      <c r="AQ135" s="1027"/>
      <c r="AR135" s="1027"/>
      <c r="AS135" s="1027"/>
      <c r="AT135" s="1027"/>
      <c r="AU135" s="1027"/>
      <c r="AV135" s="1027"/>
    </row>
    <row r="136" spans="7:48">
      <c r="G136" s="673"/>
      <c r="H136" s="673"/>
      <c r="I136" s="673"/>
      <c r="J136" s="673"/>
      <c r="K136" s="673"/>
      <c r="L136" s="673"/>
      <c r="M136" s="673"/>
      <c r="N136" s="674"/>
      <c r="O136" s="673"/>
      <c r="P136" s="673"/>
      <c r="Q136" s="673"/>
      <c r="R136" s="673"/>
      <c r="S136" s="673"/>
      <c r="T136" s="673"/>
      <c r="U136" s="673"/>
      <c r="V136" s="674"/>
      <c r="W136" s="1027"/>
      <c r="X136" s="1027"/>
      <c r="Y136" s="1027"/>
      <c r="Z136" s="1027"/>
      <c r="AA136" s="1027"/>
      <c r="AB136" s="1027"/>
      <c r="AC136" s="1027"/>
      <c r="AD136" s="1027"/>
      <c r="AE136" s="1027"/>
      <c r="AF136" s="1027"/>
      <c r="AG136" s="1027"/>
      <c r="AH136" s="1027"/>
      <c r="AI136" s="1027"/>
      <c r="AJ136" s="1027"/>
      <c r="AK136" s="1027"/>
      <c r="AL136" s="1027"/>
      <c r="AM136" s="1027"/>
      <c r="AN136" s="1027"/>
      <c r="AO136" s="1027"/>
      <c r="AP136" s="1027"/>
      <c r="AQ136" s="1027"/>
      <c r="AR136" s="1027"/>
      <c r="AS136" s="1027"/>
      <c r="AT136" s="1027"/>
      <c r="AU136" s="1027"/>
      <c r="AV136" s="1027"/>
    </row>
    <row r="137" spans="7:48">
      <c r="G137" s="673"/>
      <c r="H137" s="673"/>
      <c r="I137" s="673"/>
      <c r="J137" s="673"/>
      <c r="K137" s="673"/>
      <c r="L137" s="673"/>
      <c r="M137" s="673"/>
      <c r="N137" s="674"/>
      <c r="O137" s="673"/>
      <c r="P137" s="673"/>
      <c r="Q137" s="673"/>
      <c r="R137" s="673"/>
      <c r="S137" s="673"/>
      <c r="T137" s="673"/>
      <c r="U137" s="673"/>
      <c r="V137" s="674"/>
      <c r="W137" s="1027"/>
      <c r="X137" s="1027"/>
      <c r="Y137" s="1027"/>
      <c r="Z137" s="1027"/>
      <c r="AA137" s="1027"/>
      <c r="AB137" s="1027"/>
      <c r="AC137" s="1027"/>
      <c r="AD137" s="1027"/>
      <c r="AE137" s="1027"/>
      <c r="AF137" s="1027"/>
      <c r="AG137" s="1027"/>
      <c r="AH137" s="1027"/>
      <c r="AI137" s="1027"/>
      <c r="AJ137" s="1027"/>
      <c r="AK137" s="1027"/>
      <c r="AL137" s="1027"/>
      <c r="AM137" s="1027"/>
      <c r="AN137" s="1027"/>
      <c r="AO137" s="1027"/>
      <c r="AP137" s="1027"/>
      <c r="AQ137" s="1027"/>
      <c r="AR137" s="1027"/>
      <c r="AS137" s="1027"/>
      <c r="AT137" s="1027"/>
      <c r="AU137" s="1027"/>
      <c r="AV137" s="1027"/>
    </row>
    <row r="138" spans="7:48">
      <c r="G138" s="673"/>
      <c r="H138" s="673"/>
      <c r="I138" s="673"/>
      <c r="J138" s="673"/>
      <c r="K138" s="673"/>
      <c r="L138" s="673"/>
      <c r="M138" s="673"/>
      <c r="N138" s="674"/>
      <c r="O138" s="673"/>
      <c r="P138" s="673"/>
      <c r="Q138" s="673"/>
      <c r="R138" s="673"/>
      <c r="S138" s="673"/>
      <c r="T138" s="673"/>
      <c r="U138" s="673"/>
      <c r="V138" s="674"/>
      <c r="W138" s="1027"/>
      <c r="X138" s="1027"/>
      <c r="Y138" s="1027"/>
      <c r="Z138" s="1027"/>
      <c r="AA138" s="1027"/>
      <c r="AB138" s="1027"/>
      <c r="AC138" s="1027"/>
      <c r="AD138" s="1027"/>
      <c r="AE138" s="1027"/>
      <c r="AF138" s="1027"/>
      <c r="AG138" s="1027"/>
      <c r="AH138" s="1027"/>
      <c r="AI138" s="1027"/>
      <c r="AJ138" s="1027"/>
      <c r="AK138" s="1027"/>
      <c r="AL138" s="1027"/>
      <c r="AM138" s="1027"/>
      <c r="AN138" s="1027"/>
      <c r="AO138" s="1027"/>
      <c r="AP138" s="1027"/>
      <c r="AQ138" s="1027"/>
      <c r="AR138" s="1027"/>
      <c r="AS138" s="1027"/>
      <c r="AT138" s="1027"/>
      <c r="AU138" s="1027"/>
      <c r="AV138" s="1027"/>
    </row>
    <row r="139" spans="7:48">
      <c r="G139" s="673"/>
      <c r="H139" s="673"/>
      <c r="I139" s="673"/>
      <c r="J139" s="673"/>
      <c r="K139" s="673"/>
      <c r="L139" s="673"/>
      <c r="M139" s="673"/>
      <c r="N139" s="674"/>
      <c r="O139" s="673"/>
      <c r="P139" s="673"/>
      <c r="Q139" s="673"/>
      <c r="R139" s="673"/>
      <c r="S139" s="673"/>
      <c r="T139" s="673"/>
      <c r="U139" s="673"/>
      <c r="V139" s="674"/>
      <c r="W139" s="1027"/>
      <c r="X139" s="1027"/>
      <c r="Y139" s="1027"/>
      <c r="Z139" s="1027"/>
      <c r="AA139" s="1027"/>
      <c r="AB139" s="1027"/>
      <c r="AC139" s="1027"/>
      <c r="AD139" s="1027"/>
      <c r="AE139" s="1027"/>
      <c r="AF139" s="1027"/>
      <c r="AG139" s="1027"/>
      <c r="AH139" s="1027"/>
      <c r="AI139" s="1027"/>
      <c r="AJ139" s="1027"/>
      <c r="AK139" s="1027"/>
      <c r="AL139" s="1027"/>
      <c r="AM139" s="1027"/>
      <c r="AN139" s="1027"/>
      <c r="AO139" s="1027"/>
      <c r="AP139" s="1027"/>
      <c r="AQ139" s="1027"/>
      <c r="AR139" s="1027"/>
      <c r="AS139" s="1027"/>
      <c r="AT139" s="1027"/>
      <c r="AU139" s="1027"/>
      <c r="AV139" s="1027"/>
    </row>
    <row r="140" spans="7:48">
      <c r="G140" s="673"/>
      <c r="H140" s="673"/>
      <c r="I140" s="673"/>
      <c r="J140" s="673"/>
      <c r="K140" s="673"/>
      <c r="L140" s="673"/>
      <c r="M140" s="673"/>
      <c r="N140" s="674"/>
      <c r="O140" s="673"/>
      <c r="P140" s="673"/>
      <c r="Q140" s="673"/>
      <c r="R140" s="673"/>
      <c r="S140" s="673"/>
      <c r="T140" s="673"/>
      <c r="U140" s="673"/>
      <c r="V140" s="674"/>
      <c r="W140" s="1027"/>
      <c r="X140" s="1027"/>
      <c r="Y140" s="1027"/>
      <c r="Z140" s="1027"/>
      <c r="AA140" s="1027"/>
      <c r="AB140" s="1027"/>
      <c r="AC140" s="1027"/>
      <c r="AD140" s="1027"/>
      <c r="AE140" s="1027"/>
      <c r="AF140" s="1027"/>
      <c r="AG140" s="1027"/>
      <c r="AH140" s="1027"/>
      <c r="AI140" s="1027"/>
      <c r="AJ140" s="1027"/>
      <c r="AK140" s="1027"/>
      <c r="AL140" s="1027"/>
      <c r="AM140" s="1027"/>
      <c r="AN140" s="1027"/>
      <c r="AO140" s="1027"/>
      <c r="AP140" s="1027"/>
      <c r="AQ140" s="1027"/>
      <c r="AR140" s="1027"/>
      <c r="AS140" s="1027"/>
      <c r="AT140" s="1027"/>
      <c r="AU140" s="1027"/>
      <c r="AV140" s="1027"/>
    </row>
    <row r="141" spans="7:48">
      <c r="G141" s="673"/>
      <c r="H141" s="673"/>
      <c r="I141" s="673"/>
      <c r="J141" s="673"/>
      <c r="K141" s="673"/>
      <c r="L141" s="673"/>
      <c r="M141" s="673"/>
      <c r="N141" s="674"/>
      <c r="O141" s="673"/>
      <c r="P141" s="673"/>
      <c r="Q141" s="673"/>
      <c r="R141" s="673"/>
      <c r="S141" s="673"/>
      <c r="T141" s="673"/>
      <c r="U141" s="673"/>
      <c r="V141" s="674"/>
      <c r="W141" s="1027"/>
      <c r="X141" s="1027"/>
      <c r="Y141" s="1027"/>
      <c r="Z141" s="1027"/>
      <c r="AA141" s="1027"/>
      <c r="AB141" s="1027"/>
      <c r="AC141" s="1027"/>
      <c r="AD141" s="1027"/>
      <c r="AE141" s="1027"/>
      <c r="AF141" s="1027"/>
      <c r="AG141" s="1027"/>
      <c r="AH141" s="1027"/>
      <c r="AI141" s="1027"/>
      <c r="AJ141" s="1027"/>
      <c r="AK141" s="1027"/>
      <c r="AL141" s="1027"/>
      <c r="AM141" s="1027"/>
      <c r="AN141" s="1027"/>
      <c r="AO141" s="1027"/>
      <c r="AP141" s="1027"/>
      <c r="AQ141" s="1027"/>
      <c r="AR141" s="1027"/>
      <c r="AS141" s="1027"/>
      <c r="AT141" s="1027"/>
      <c r="AU141" s="1027"/>
      <c r="AV141" s="1027"/>
    </row>
    <row r="142" spans="7:48">
      <c r="G142" s="673"/>
      <c r="H142" s="673"/>
      <c r="I142" s="673"/>
      <c r="J142" s="673"/>
      <c r="K142" s="673"/>
      <c r="L142" s="673"/>
      <c r="M142" s="673"/>
      <c r="N142" s="674"/>
      <c r="O142" s="673"/>
      <c r="P142" s="673"/>
      <c r="Q142" s="673"/>
      <c r="R142" s="673"/>
      <c r="S142" s="673"/>
      <c r="T142" s="673"/>
      <c r="U142" s="673"/>
      <c r="V142" s="674"/>
      <c r="W142" s="1027"/>
      <c r="X142" s="1027"/>
      <c r="Y142" s="1027"/>
      <c r="Z142" s="1027"/>
      <c r="AA142" s="1027"/>
      <c r="AB142" s="1027"/>
      <c r="AC142" s="1027"/>
      <c r="AD142" s="1027"/>
      <c r="AE142" s="1027"/>
      <c r="AF142" s="1027"/>
      <c r="AG142" s="1027"/>
      <c r="AH142" s="1027"/>
      <c r="AI142" s="1027"/>
      <c r="AJ142" s="1027"/>
      <c r="AK142" s="1027"/>
      <c r="AL142" s="1027"/>
      <c r="AM142" s="1027"/>
      <c r="AN142" s="1027"/>
      <c r="AO142" s="1027"/>
      <c r="AP142" s="1027"/>
      <c r="AQ142" s="1027"/>
      <c r="AR142" s="1027"/>
      <c r="AS142" s="1027"/>
      <c r="AT142" s="1027"/>
      <c r="AU142" s="1027"/>
      <c r="AV142" s="1027"/>
    </row>
    <row r="143" spans="7:48">
      <c r="G143" s="673"/>
      <c r="H143" s="673"/>
      <c r="I143" s="673"/>
      <c r="J143" s="673"/>
      <c r="K143" s="673"/>
      <c r="L143" s="673"/>
      <c r="M143" s="673"/>
      <c r="N143" s="674"/>
      <c r="O143" s="673"/>
      <c r="P143" s="673"/>
      <c r="Q143" s="673"/>
      <c r="R143" s="673"/>
      <c r="S143" s="673"/>
      <c r="T143" s="673"/>
      <c r="U143" s="673"/>
      <c r="V143" s="674"/>
      <c r="W143" s="1027"/>
      <c r="X143" s="1027"/>
      <c r="Y143" s="1027"/>
      <c r="Z143" s="1027"/>
      <c r="AA143" s="1027"/>
      <c r="AB143" s="1027"/>
      <c r="AC143" s="1027"/>
      <c r="AD143" s="1027"/>
      <c r="AE143" s="1027"/>
      <c r="AF143" s="1027"/>
      <c r="AG143" s="1027"/>
      <c r="AH143" s="1027"/>
      <c r="AI143" s="1027"/>
      <c r="AJ143" s="1027"/>
      <c r="AK143" s="1027"/>
      <c r="AL143" s="1027"/>
      <c r="AM143" s="1027"/>
      <c r="AN143" s="1027"/>
      <c r="AO143" s="1027"/>
      <c r="AP143" s="1027"/>
      <c r="AQ143" s="1027"/>
      <c r="AR143" s="1027"/>
      <c r="AS143" s="1027"/>
      <c r="AT143" s="1027"/>
      <c r="AU143" s="1027"/>
      <c r="AV143" s="1027"/>
    </row>
    <row r="144" spans="7:48">
      <c r="G144" s="673"/>
      <c r="H144" s="673"/>
      <c r="I144" s="673"/>
      <c r="J144" s="673"/>
      <c r="K144" s="673"/>
      <c r="L144" s="673"/>
      <c r="M144" s="673"/>
      <c r="N144" s="674"/>
      <c r="O144" s="673"/>
      <c r="P144" s="673"/>
      <c r="Q144" s="673"/>
      <c r="R144" s="673"/>
      <c r="S144" s="673"/>
      <c r="T144" s="673"/>
      <c r="U144" s="673"/>
      <c r="V144" s="674"/>
      <c r="W144" s="1027"/>
      <c r="X144" s="1027"/>
      <c r="Y144" s="1027"/>
      <c r="Z144" s="1027"/>
      <c r="AA144" s="1027"/>
      <c r="AB144" s="1027"/>
      <c r="AC144" s="1027"/>
      <c r="AD144" s="1027"/>
      <c r="AE144" s="1027"/>
      <c r="AF144" s="1027"/>
      <c r="AG144" s="1027"/>
      <c r="AH144" s="1027"/>
      <c r="AI144" s="1027"/>
      <c r="AJ144" s="1027"/>
      <c r="AK144" s="1027"/>
      <c r="AL144" s="1027"/>
      <c r="AM144" s="1027"/>
      <c r="AN144" s="1027"/>
      <c r="AO144" s="1027"/>
      <c r="AP144" s="1027"/>
      <c r="AQ144" s="1027"/>
      <c r="AR144" s="1027"/>
      <c r="AS144" s="1027"/>
      <c r="AT144" s="1027"/>
      <c r="AU144" s="1027"/>
      <c r="AV144" s="1027"/>
    </row>
    <row r="145" spans="7:48">
      <c r="G145" s="673"/>
      <c r="H145" s="673"/>
      <c r="I145" s="673"/>
      <c r="J145" s="673"/>
      <c r="K145" s="673"/>
      <c r="L145" s="673"/>
      <c r="M145" s="673"/>
      <c r="N145" s="674"/>
      <c r="O145" s="673"/>
      <c r="P145" s="673"/>
      <c r="Q145" s="673"/>
      <c r="R145" s="673"/>
      <c r="S145" s="673"/>
      <c r="T145" s="673"/>
      <c r="U145" s="673"/>
      <c r="V145" s="674"/>
      <c r="W145" s="1027"/>
      <c r="X145" s="1027"/>
      <c r="Y145" s="1027"/>
      <c r="Z145" s="1027"/>
      <c r="AA145" s="1027"/>
      <c r="AB145" s="1027"/>
      <c r="AC145" s="1027"/>
      <c r="AD145" s="1027"/>
      <c r="AE145" s="1027"/>
      <c r="AF145" s="1027"/>
      <c r="AG145" s="1027"/>
      <c r="AH145" s="1027"/>
      <c r="AI145" s="1027"/>
      <c r="AJ145" s="1027"/>
      <c r="AK145" s="1027"/>
      <c r="AL145" s="1027"/>
      <c r="AM145" s="1027"/>
      <c r="AN145" s="1027"/>
      <c r="AO145" s="1027"/>
      <c r="AP145" s="1027"/>
      <c r="AQ145" s="1027"/>
      <c r="AR145" s="1027"/>
      <c r="AS145" s="1027"/>
      <c r="AT145" s="1027"/>
      <c r="AU145" s="1027"/>
      <c r="AV145" s="1027"/>
    </row>
    <row r="146" spans="7:48">
      <c r="G146" s="673"/>
      <c r="H146" s="673"/>
      <c r="I146" s="673"/>
      <c r="J146" s="673"/>
      <c r="K146" s="673"/>
      <c r="L146" s="673"/>
      <c r="M146" s="673"/>
      <c r="N146" s="674"/>
      <c r="O146" s="673"/>
      <c r="P146" s="673"/>
      <c r="Q146" s="673"/>
      <c r="R146" s="673"/>
      <c r="S146" s="673"/>
      <c r="T146" s="673"/>
      <c r="U146" s="673"/>
      <c r="V146" s="674"/>
      <c r="W146" s="1027"/>
      <c r="X146" s="1027"/>
      <c r="Y146" s="1027"/>
      <c r="Z146" s="1027"/>
      <c r="AA146" s="1027"/>
      <c r="AB146" s="1027"/>
      <c r="AC146" s="1027"/>
      <c r="AD146" s="1027"/>
      <c r="AE146" s="1027"/>
      <c r="AF146" s="1027"/>
      <c r="AG146" s="1027"/>
      <c r="AH146" s="1027"/>
      <c r="AI146" s="1027"/>
      <c r="AJ146" s="1027"/>
      <c r="AK146" s="1027"/>
      <c r="AL146" s="1027"/>
      <c r="AM146" s="1027"/>
      <c r="AN146" s="1027"/>
      <c r="AO146" s="1027"/>
      <c r="AP146" s="1027"/>
      <c r="AQ146" s="1027"/>
      <c r="AR146" s="1027"/>
      <c r="AS146" s="1027"/>
      <c r="AT146" s="1027"/>
      <c r="AU146" s="1027"/>
      <c r="AV146" s="1027"/>
    </row>
    <row r="147" spans="7:48">
      <c r="G147" s="673"/>
      <c r="H147" s="673"/>
      <c r="I147" s="673"/>
      <c r="J147" s="673"/>
      <c r="K147" s="673"/>
      <c r="L147" s="673"/>
      <c r="M147" s="673"/>
      <c r="N147" s="674"/>
      <c r="O147" s="673"/>
      <c r="P147" s="673"/>
      <c r="Q147" s="673"/>
      <c r="R147" s="673"/>
      <c r="S147" s="673"/>
      <c r="T147" s="673"/>
      <c r="U147" s="673"/>
      <c r="V147" s="674"/>
      <c r="W147" s="1027"/>
      <c r="X147" s="1027"/>
      <c r="Y147" s="1027"/>
      <c r="Z147" s="1027"/>
      <c r="AA147" s="1027"/>
      <c r="AB147" s="1027"/>
      <c r="AC147" s="1027"/>
      <c r="AD147" s="1027"/>
      <c r="AE147" s="1027"/>
      <c r="AF147" s="1027"/>
      <c r="AG147" s="1027"/>
      <c r="AH147" s="1027"/>
      <c r="AI147" s="1027"/>
      <c r="AJ147" s="1027"/>
      <c r="AK147" s="1027"/>
      <c r="AL147" s="1027"/>
      <c r="AM147" s="1027"/>
      <c r="AN147" s="1027"/>
      <c r="AO147" s="1027"/>
      <c r="AP147" s="1027"/>
      <c r="AQ147" s="1027"/>
      <c r="AR147" s="1027"/>
      <c r="AS147" s="1027"/>
      <c r="AT147" s="1027"/>
      <c r="AU147" s="1027"/>
      <c r="AV147" s="1027"/>
    </row>
    <row r="148" spans="7:48">
      <c r="G148" s="673"/>
      <c r="H148" s="673"/>
      <c r="I148" s="673"/>
      <c r="J148" s="673"/>
      <c r="K148" s="673"/>
      <c r="L148" s="673"/>
      <c r="M148" s="673"/>
      <c r="N148" s="674"/>
      <c r="O148" s="673"/>
      <c r="P148" s="673"/>
      <c r="Q148" s="673"/>
      <c r="R148" s="673"/>
      <c r="S148" s="673"/>
      <c r="T148" s="673"/>
      <c r="U148" s="673"/>
      <c r="V148" s="674"/>
      <c r="W148" s="1027"/>
      <c r="X148" s="1027"/>
      <c r="Y148" s="1027"/>
      <c r="Z148" s="1027"/>
      <c r="AA148" s="1027"/>
      <c r="AB148" s="1027"/>
      <c r="AC148" s="1027"/>
      <c r="AD148" s="1027"/>
      <c r="AE148" s="1027"/>
      <c r="AF148" s="1027"/>
      <c r="AG148" s="1027"/>
      <c r="AH148" s="1027"/>
      <c r="AI148" s="1027"/>
      <c r="AJ148" s="1027"/>
      <c r="AK148" s="1027"/>
      <c r="AL148" s="1027"/>
      <c r="AM148" s="1027"/>
      <c r="AN148" s="1027"/>
      <c r="AO148" s="1027"/>
      <c r="AP148" s="1027"/>
      <c r="AQ148" s="1027"/>
      <c r="AR148" s="1027"/>
      <c r="AS148" s="1027"/>
      <c r="AT148" s="1027"/>
      <c r="AU148" s="1027"/>
      <c r="AV148" s="1027"/>
    </row>
    <row r="149" spans="7:48">
      <c r="G149" s="673"/>
      <c r="H149" s="673"/>
      <c r="I149" s="673"/>
      <c r="J149" s="673"/>
      <c r="K149" s="673"/>
      <c r="L149" s="673"/>
      <c r="M149" s="673"/>
      <c r="N149" s="674"/>
      <c r="O149" s="673"/>
      <c r="P149" s="673"/>
      <c r="Q149" s="673"/>
      <c r="R149" s="673"/>
      <c r="S149" s="673"/>
      <c r="T149" s="673"/>
      <c r="U149" s="673"/>
      <c r="V149" s="674"/>
      <c r="W149" s="1027"/>
      <c r="X149" s="1027"/>
      <c r="Y149" s="1027"/>
      <c r="Z149" s="1027"/>
      <c r="AA149" s="1027"/>
      <c r="AB149" s="1027"/>
      <c r="AC149" s="1027"/>
      <c r="AD149" s="1027"/>
      <c r="AE149" s="1027"/>
      <c r="AF149" s="1027"/>
      <c r="AG149" s="1027"/>
      <c r="AH149" s="1027"/>
      <c r="AI149" s="1027"/>
      <c r="AJ149" s="1027"/>
      <c r="AK149" s="1027"/>
      <c r="AL149" s="1027"/>
      <c r="AM149" s="1027"/>
      <c r="AN149" s="1027"/>
      <c r="AO149" s="1027"/>
      <c r="AP149" s="1027"/>
      <c r="AQ149" s="1027"/>
      <c r="AR149" s="1027"/>
      <c r="AS149" s="1027"/>
      <c r="AT149" s="1027"/>
      <c r="AU149" s="1027"/>
      <c r="AV149" s="1027"/>
    </row>
    <row r="150" spans="7:48">
      <c r="G150" s="673"/>
      <c r="H150" s="673"/>
      <c r="I150" s="673"/>
      <c r="J150" s="673"/>
      <c r="K150" s="673"/>
      <c r="L150" s="673"/>
      <c r="M150" s="673"/>
      <c r="N150" s="674"/>
      <c r="O150" s="673"/>
      <c r="P150" s="673"/>
      <c r="Q150" s="673"/>
      <c r="R150" s="673"/>
      <c r="S150" s="673"/>
      <c r="T150" s="673"/>
      <c r="U150" s="673"/>
      <c r="V150" s="674"/>
      <c r="W150" s="1027"/>
      <c r="X150" s="1027"/>
      <c r="Y150" s="1027"/>
      <c r="Z150" s="1027"/>
      <c r="AA150" s="1027"/>
      <c r="AB150" s="1027"/>
      <c r="AC150" s="1027"/>
      <c r="AD150" s="1027"/>
      <c r="AE150" s="1027"/>
      <c r="AF150" s="1027"/>
      <c r="AG150" s="1027"/>
      <c r="AH150" s="1027"/>
      <c r="AI150" s="1027"/>
      <c r="AJ150" s="1027"/>
      <c r="AK150" s="1027"/>
      <c r="AL150" s="1027"/>
      <c r="AM150" s="1027"/>
      <c r="AN150" s="1027"/>
      <c r="AO150" s="1027"/>
      <c r="AP150" s="1027"/>
      <c r="AQ150" s="1027"/>
      <c r="AR150" s="1027"/>
      <c r="AS150" s="1027"/>
      <c r="AT150" s="1027"/>
      <c r="AU150" s="1027"/>
      <c r="AV150" s="1027"/>
    </row>
    <row r="151" spans="7:48">
      <c r="G151" s="673"/>
      <c r="H151" s="673"/>
      <c r="I151" s="673"/>
      <c r="J151" s="673"/>
      <c r="K151" s="673"/>
      <c r="L151" s="673"/>
      <c r="M151" s="673"/>
      <c r="N151" s="674"/>
      <c r="O151" s="673"/>
      <c r="P151" s="673"/>
      <c r="Q151" s="673"/>
      <c r="R151" s="673"/>
      <c r="S151" s="673"/>
      <c r="T151" s="673"/>
      <c r="U151" s="673"/>
      <c r="V151" s="674"/>
      <c r="W151" s="1027"/>
      <c r="X151" s="1027"/>
      <c r="Y151" s="1027"/>
      <c r="Z151" s="1027"/>
      <c r="AA151" s="1027"/>
      <c r="AB151" s="1027"/>
      <c r="AC151" s="1027"/>
      <c r="AD151" s="1027"/>
      <c r="AE151" s="1027"/>
      <c r="AF151" s="1027"/>
      <c r="AG151" s="1027"/>
      <c r="AH151" s="1027"/>
      <c r="AI151" s="1027"/>
      <c r="AJ151" s="1027"/>
      <c r="AK151" s="1027"/>
      <c r="AL151" s="1027"/>
      <c r="AM151" s="1027"/>
      <c r="AN151" s="1027"/>
      <c r="AO151" s="1027"/>
      <c r="AP151" s="1027"/>
      <c r="AQ151" s="1027"/>
      <c r="AR151" s="1027"/>
      <c r="AS151" s="1027"/>
      <c r="AT151" s="1027"/>
      <c r="AU151" s="1027"/>
      <c r="AV151" s="1027"/>
    </row>
    <row r="152" spans="7:48">
      <c r="G152" s="673"/>
      <c r="H152" s="673"/>
      <c r="I152" s="673"/>
      <c r="J152" s="673"/>
      <c r="K152" s="673"/>
      <c r="L152" s="673"/>
      <c r="M152" s="673"/>
      <c r="N152" s="674"/>
      <c r="O152" s="673"/>
      <c r="P152" s="673"/>
      <c r="Q152" s="673"/>
      <c r="R152" s="673"/>
      <c r="S152" s="673"/>
      <c r="T152" s="673"/>
      <c r="U152" s="673"/>
      <c r="V152" s="674"/>
      <c r="W152" s="1027"/>
      <c r="X152" s="1027"/>
      <c r="Y152" s="1027"/>
      <c r="Z152" s="1027"/>
      <c r="AA152" s="1027"/>
      <c r="AB152" s="1027"/>
      <c r="AC152" s="1027"/>
      <c r="AD152" s="1027"/>
      <c r="AE152" s="1027"/>
      <c r="AF152" s="1027"/>
      <c r="AG152" s="1027"/>
      <c r="AH152" s="1027"/>
      <c r="AI152" s="1027"/>
      <c r="AJ152" s="1027"/>
      <c r="AK152" s="1027"/>
      <c r="AL152" s="1027"/>
      <c r="AM152" s="1027"/>
      <c r="AN152" s="1027"/>
      <c r="AO152" s="1027"/>
      <c r="AP152" s="1027"/>
      <c r="AQ152" s="1027"/>
      <c r="AR152" s="1027"/>
      <c r="AS152" s="1027"/>
      <c r="AT152" s="1027"/>
      <c r="AU152" s="1027"/>
      <c r="AV152" s="1027"/>
    </row>
    <row r="153" spans="7:48">
      <c r="G153" s="673"/>
      <c r="H153" s="673"/>
      <c r="I153" s="673"/>
      <c r="J153" s="673"/>
      <c r="K153" s="673"/>
      <c r="L153" s="673"/>
      <c r="M153" s="673"/>
      <c r="N153" s="674"/>
      <c r="O153" s="673"/>
      <c r="P153" s="673"/>
      <c r="Q153" s="673"/>
      <c r="R153" s="673"/>
      <c r="S153" s="673"/>
      <c r="T153" s="673"/>
      <c r="U153" s="673"/>
      <c r="V153" s="674"/>
      <c r="W153" s="1027"/>
      <c r="X153" s="1027"/>
      <c r="Y153" s="1027"/>
      <c r="Z153" s="1027"/>
      <c r="AA153" s="1027"/>
      <c r="AB153" s="1027"/>
      <c r="AC153" s="1027"/>
      <c r="AD153" s="1027"/>
      <c r="AE153" s="1027"/>
      <c r="AF153" s="1027"/>
      <c r="AG153" s="1027"/>
      <c r="AH153" s="1027"/>
      <c r="AI153" s="1027"/>
      <c r="AJ153" s="1027"/>
      <c r="AK153" s="1027"/>
      <c r="AL153" s="1027"/>
      <c r="AM153" s="1027"/>
      <c r="AN153" s="1027"/>
      <c r="AO153" s="1027"/>
      <c r="AP153" s="1027"/>
      <c r="AQ153" s="1027"/>
      <c r="AR153" s="1027"/>
      <c r="AS153" s="1027"/>
      <c r="AT153" s="1027"/>
      <c r="AU153" s="1027"/>
      <c r="AV153" s="1027"/>
    </row>
    <row r="154" spans="7:48">
      <c r="G154" s="673"/>
      <c r="H154" s="673"/>
      <c r="I154" s="673"/>
      <c r="J154" s="673"/>
      <c r="K154" s="673"/>
      <c r="L154" s="673"/>
      <c r="M154" s="673"/>
      <c r="N154" s="674"/>
      <c r="O154" s="673"/>
      <c r="P154" s="673"/>
      <c r="Q154" s="673"/>
      <c r="R154" s="673"/>
      <c r="S154" s="673"/>
      <c r="T154" s="673"/>
      <c r="U154" s="673"/>
      <c r="V154" s="674"/>
      <c r="W154" s="1027"/>
      <c r="X154" s="1027"/>
      <c r="Y154" s="1027"/>
      <c r="Z154" s="1027"/>
      <c r="AA154" s="1027"/>
      <c r="AB154" s="1027"/>
      <c r="AC154" s="1027"/>
      <c r="AD154" s="1027"/>
      <c r="AE154" s="1027"/>
      <c r="AF154" s="1027"/>
      <c r="AG154" s="1027"/>
      <c r="AH154" s="1027"/>
      <c r="AI154" s="1027"/>
      <c r="AJ154" s="1027"/>
      <c r="AK154" s="1027"/>
      <c r="AL154" s="1027"/>
      <c r="AM154" s="1027"/>
      <c r="AN154" s="1027"/>
      <c r="AO154" s="1027"/>
      <c r="AP154" s="1027"/>
      <c r="AQ154" s="1027"/>
      <c r="AR154" s="1027"/>
      <c r="AS154" s="1027"/>
      <c r="AT154" s="1027"/>
      <c r="AU154" s="1027"/>
      <c r="AV154" s="1027"/>
    </row>
    <row r="155" spans="7:48">
      <c r="G155" s="673"/>
      <c r="H155" s="673"/>
      <c r="I155" s="673"/>
      <c r="J155" s="673"/>
      <c r="K155" s="673"/>
      <c r="L155" s="673"/>
      <c r="M155" s="673"/>
      <c r="N155" s="674"/>
      <c r="O155" s="673"/>
      <c r="P155" s="673"/>
      <c r="Q155" s="673"/>
      <c r="R155" s="673"/>
      <c r="S155" s="673"/>
      <c r="T155" s="673"/>
      <c r="U155" s="673"/>
      <c r="V155" s="674"/>
      <c r="W155" s="1027"/>
      <c r="X155" s="1027"/>
      <c r="Y155" s="1027"/>
      <c r="Z155" s="1027"/>
      <c r="AA155" s="1027"/>
      <c r="AB155" s="1027"/>
      <c r="AC155" s="1027"/>
      <c r="AD155" s="1027"/>
      <c r="AE155" s="1027"/>
      <c r="AF155" s="1027"/>
      <c r="AG155" s="1027"/>
      <c r="AH155" s="1027"/>
      <c r="AI155" s="1027"/>
      <c r="AJ155" s="1027"/>
      <c r="AK155" s="1027"/>
      <c r="AL155" s="1027"/>
      <c r="AM155" s="1027"/>
      <c r="AN155" s="1027"/>
      <c r="AO155" s="1027"/>
      <c r="AP155" s="1027"/>
      <c r="AQ155" s="1027"/>
      <c r="AR155" s="1027"/>
      <c r="AS155" s="1027"/>
      <c r="AT155" s="1027"/>
      <c r="AU155" s="1027"/>
      <c r="AV155" s="1027"/>
    </row>
    <row r="156" spans="7:48">
      <c r="G156" s="673"/>
      <c r="H156" s="673"/>
      <c r="I156" s="673"/>
      <c r="J156" s="673"/>
      <c r="K156" s="673"/>
      <c r="L156" s="673"/>
      <c r="M156" s="673"/>
      <c r="N156" s="674"/>
      <c r="O156" s="673"/>
      <c r="P156" s="673"/>
      <c r="Q156" s="673"/>
      <c r="R156" s="673"/>
      <c r="S156" s="673"/>
      <c r="T156" s="673"/>
      <c r="U156" s="673"/>
      <c r="V156" s="674"/>
      <c r="W156" s="1027"/>
      <c r="X156" s="1027"/>
      <c r="Y156" s="1027"/>
      <c r="Z156" s="1027"/>
      <c r="AA156" s="1027"/>
      <c r="AB156" s="1027"/>
      <c r="AC156" s="1027"/>
      <c r="AD156" s="1027"/>
      <c r="AE156" s="1027"/>
      <c r="AF156" s="1027"/>
      <c r="AG156" s="1027"/>
      <c r="AH156" s="1027"/>
      <c r="AI156" s="1027"/>
      <c r="AJ156" s="1027"/>
      <c r="AK156" s="1027"/>
      <c r="AL156" s="1027"/>
      <c r="AM156" s="1027"/>
      <c r="AN156" s="1027"/>
      <c r="AO156" s="1027"/>
      <c r="AP156" s="1027"/>
      <c r="AQ156" s="1027"/>
      <c r="AR156" s="1027"/>
      <c r="AS156" s="1027"/>
      <c r="AT156" s="1027"/>
      <c r="AU156" s="1027"/>
      <c r="AV156" s="1027"/>
    </row>
    <row r="157" spans="7:48">
      <c r="G157" s="673"/>
      <c r="H157" s="673"/>
      <c r="I157" s="673"/>
      <c r="J157" s="673"/>
      <c r="K157" s="673"/>
      <c r="L157" s="673"/>
      <c r="M157" s="673"/>
      <c r="N157" s="674"/>
      <c r="O157" s="673"/>
      <c r="P157" s="673"/>
      <c r="Q157" s="673"/>
      <c r="R157" s="673"/>
      <c r="S157" s="673"/>
      <c r="T157" s="673"/>
      <c r="U157" s="673"/>
      <c r="V157" s="674"/>
      <c r="W157" s="1027"/>
      <c r="X157" s="1027"/>
      <c r="Y157" s="1027"/>
      <c r="Z157" s="1027"/>
      <c r="AA157" s="1027"/>
      <c r="AB157" s="1027"/>
      <c r="AC157" s="1027"/>
      <c r="AD157" s="1027"/>
      <c r="AE157" s="1027"/>
      <c r="AF157" s="1027"/>
      <c r="AG157" s="1027"/>
      <c r="AH157" s="1027"/>
      <c r="AI157" s="1027"/>
      <c r="AJ157" s="1027"/>
      <c r="AK157" s="1027"/>
      <c r="AL157" s="1027"/>
      <c r="AM157" s="1027"/>
      <c r="AN157" s="1027"/>
      <c r="AO157" s="1027"/>
      <c r="AP157" s="1027"/>
      <c r="AQ157" s="1027"/>
      <c r="AR157" s="1027"/>
      <c r="AS157" s="1027"/>
      <c r="AT157" s="1027"/>
      <c r="AU157" s="1027"/>
      <c r="AV157" s="1027"/>
    </row>
    <row r="158" spans="7:48">
      <c r="G158" s="673"/>
      <c r="H158" s="673"/>
      <c r="I158" s="673"/>
      <c r="J158" s="673"/>
      <c r="K158" s="673"/>
      <c r="L158" s="673"/>
      <c r="M158" s="673"/>
      <c r="N158" s="674"/>
      <c r="O158" s="673"/>
      <c r="P158" s="673"/>
      <c r="Q158" s="673"/>
      <c r="R158" s="673"/>
      <c r="S158" s="673"/>
      <c r="T158" s="673"/>
      <c r="U158" s="673"/>
      <c r="V158" s="674"/>
      <c r="W158" s="1027"/>
      <c r="X158" s="1027"/>
      <c r="Y158" s="1027"/>
      <c r="Z158" s="1027"/>
      <c r="AA158" s="1027"/>
      <c r="AB158" s="1027"/>
      <c r="AC158" s="1027"/>
      <c r="AD158" s="1027"/>
      <c r="AE158" s="1027"/>
      <c r="AF158" s="1027"/>
      <c r="AG158" s="1027"/>
      <c r="AH158" s="1027"/>
      <c r="AI158" s="1027"/>
      <c r="AJ158" s="1027"/>
      <c r="AK158" s="1027"/>
      <c r="AL158" s="1027"/>
      <c r="AM158" s="1027"/>
      <c r="AN158" s="1027"/>
      <c r="AO158" s="1027"/>
      <c r="AP158" s="1027"/>
      <c r="AQ158" s="1027"/>
      <c r="AR158" s="1027"/>
      <c r="AS158" s="1027"/>
      <c r="AT158" s="1027"/>
      <c r="AU158" s="1027"/>
      <c r="AV158" s="1027"/>
    </row>
    <row r="159" spans="7:48">
      <c r="G159" s="673"/>
      <c r="H159" s="673"/>
      <c r="I159" s="673"/>
      <c r="J159" s="673"/>
      <c r="K159" s="673"/>
      <c r="L159" s="673"/>
      <c r="M159" s="673"/>
      <c r="N159" s="674"/>
      <c r="O159" s="673"/>
      <c r="P159" s="673"/>
      <c r="Q159" s="673"/>
      <c r="R159" s="673"/>
      <c r="S159" s="673"/>
      <c r="T159" s="673"/>
      <c r="U159" s="673"/>
      <c r="V159" s="674"/>
      <c r="W159" s="1027"/>
      <c r="X159" s="1027"/>
      <c r="Y159" s="1027"/>
      <c r="Z159" s="1027"/>
      <c r="AA159" s="1027"/>
      <c r="AB159" s="1027"/>
      <c r="AC159" s="1027"/>
      <c r="AD159" s="1027"/>
      <c r="AE159" s="1027"/>
      <c r="AF159" s="1027"/>
      <c r="AG159" s="1027"/>
      <c r="AH159" s="1027"/>
      <c r="AI159" s="1027"/>
      <c r="AJ159" s="1027"/>
      <c r="AK159" s="1027"/>
      <c r="AL159" s="1027"/>
      <c r="AM159" s="1027"/>
      <c r="AN159" s="1027"/>
      <c r="AO159" s="1027"/>
      <c r="AP159" s="1027"/>
      <c r="AQ159" s="1027"/>
      <c r="AR159" s="1027"/>
      <c r="AS159" s="1027"/>
      <c r="AT159" s="1027"/>
      <c r="AU159" s="1027"/>
      <c r="AV159" s="1027"/>
    </row>
    <row r="160" spans="7:48">
      <c r="G160" s="673"/>
      <c r="H160" s="673"/>
      <c r="I160" s="673"/>
      <c r="J160" s="673"/>
      <c r="K160" s="673"/>
      <c r="L160" s="673"/>
      <c r="M160" s="673"/>
      <c r="N160" s="674"/>
      <c r="O160" s="673"/>
      <c r="P160" s="673"/>
      <c r="Q160" s="673"/>
      <c r="R160" s="673"/>
      <c r="S160" s="673"/>
      <c r="T160" s="673"/>
      <c r="U160" s="673"/>
      <c r="V160" s="674"/>
      <c r="W160" s="1027"/>
      <c r="X160" s="1027"/>
      <c r="Y160" s="1027"/>
      <c r="Z160" s="1027"/>
      <c r="AA160" s="1027"/>
      <c r="AB160" s="1027"/>
      <c r="AC160" s="1027"/>
      <c r="AD160" s="1027"/>
      <c r="AE160" s="1027"/>
      <c r="AF160" s="1027"/>
      <c r="AG160" s="1027"/>
      <c r="AH160" s="1027"/>
      <c r="AI160" s="1027"/>
      <c r="AJ160" s="1027"/>
      <c r="AK160" s="1027"/>
      <c r="AL160" s="1027"/>
      <c r="AM160" s="1027"/>
      <c r="AN160" s="1027"/>
      <c r="AO160" s="1027"/>
      <c r="AP160" s="1027"/>
      <c r="AQ160" s="1027"/>
      <c r="AR160" s="1027"/>
      <c r="AS160" s="1027"/>
      <c r="AT160" s="1027"/>
      <c r="AU160" s="1027"/>
      <c r="AV160" s="1027"/>
    </row>
    <row r="161" spans="7:48">
      <c r="G161" s="673"/>
      <c r="H161" s="673"/>
      <c r="I161" s="673"/>
      <c r="J161" s="673"/>
      <c r="K161" s="673"/>
      <c r="L161" s="673"/>
      <c r="M161" s="673"/>
      <c r="N161" s="674"/>
      <c r="O161" s="673"/>
      <c r="P161" s="673"/>
      <c r="Q161" s="673"/>
      <c r="R161" s="673"/>
      <c r="S161" s="673"/>
      <c r="T161" s="673"/>
      <c r="U161" s="673"/>
      <c r="V161" s="674"/>
      <c r="W161" s="1027"/>
      <c r="X161" s="1027"/>
      <c r="Y161" s="1027"/>
      <c r="Z161" s="1027"/>
      <c r="AA161" s="1027"/>
      <c r="AB161" s="1027"/>
      <c r="AC161" s="1027"/>
      <c r="AD161" s="1027"/>
      <c r="AE161" s="1027"/>
      <c r="AF161" s="1027"/>
      <c r="AG161" s="1027"/>
      <c r="AH161" s="1027"/>
      <c r="AI161" s="1027"/>
      <c r="AJ161" s="1027"/>
      <c r="AK161" s="1027"/>
      <c r="AL161" s="1027"/>
      <c r="AM161" s="1027"/>
      <c r="AN161" s="1027"/>
      <c r="AO161" s="1027"/>
      <c r="AP161" s="1027"/>
      <c r="AQ161" s="1027"/>
      <c r="AR161" s="1027"/>
      <c r="AS161" s="1027"/>
      <c r="AT161" s="1027"/>
      <c r="AU161" s="1027"/>
      <c r="AV161" s="1027"/>
    </row>
    <row r="162" spans="7:48">
      <c r="G162" s="673"/>
      <c r="H162" s="673"/>
      <c r="I162" s="673"/>
      <c r="J162" s="673"/>
      <c r="K162" s="673"/>
      <c r="L162" s="673"/>
      <c r="M162" s="673"/>
      <c r="N162" s="674"/>
      <c r="O162" s="673"/>
      <c r="P162" s="673"/>
      <c r="Q162" s="673"/>
      <c r="R162" s="673"/>
      <c r="S162" s="673"/>
      <c r="T162" s="673"/>
      <c r="U162" s="673"/>
      <c r="V162" s="674"/>
      <c r="W162" s="1027"/>
      <c r="X162" s="1027"/>
      <c r="Y162" s="1027"/>
      <c r="Z162" s="1027"/>
      <c r="AA162" s="1027"/>
      <c r="AB162" s="1027"/>
      <c r="AC162" s="1027"/>
      <c r="AD162" s="1027"/>
      <c r="AE162" s="1027"/>
      <c r="AF162" s="1027"/>
      <c r="AG162" s="1027"/>
      <c r="AH162" s="1027"/>
      <c r="AI162" s="1027"/>
      <c r="AJ162" s="1027"/>
      <c r="AK162" s="1027"/>
      <c r="AL162" s="1027"/>
      <c r="AM162" s="1027"/>
      <c r="AN162" s="1027"/>
      <c r="AO162" s="1027"/>
      <c r="AP162" s="1027"/>
      <c r="AQ162" s="1027"/>
      <c r="AR162" s="1027"/>
      <c r="AS162" s="1027"/>
      <c r="AT162" s="1027"/>
      <c r="AU162" s="1027"/>
      <c r="AV162" s="1027"/>
    </row>
    <row r="163" spans="7:48">
      <c r="G163" s="673"/>
      <c r="H163" s="673"/>
      <c r="I163" s="673"/>
      <c r="J163" s="673"/>
      <c r="K163" s="673"/>
      <c r="L163" s="673"/>
      <c r="M163" s="673"/>
      <c r="N163" s="674"/>
      <c r="O163" s="673"/>
      <c r="P163" s="673"/>
      <c r="Q163" s="673"/>
      <c r="R163" s="673"/>
      <c r="S163" s="673"/>
      <c r="T163" s="673"/>
      <c r="U163" s="673"/>
      <c r="V163" s="674"/>
      <c r="W163" s="1027"/>
      <c r="X163" s="1027"/>
      <c r="Y163" s="1027"/>
      <c r="Z163" s="1027"/>
      <c r="AA163" s="1027"/>
      <c r="AB163" s="1027"/>
      <c r="AC163" s="1027"/>
      <c r="AD163" s="1027"/>
      <c r="AE163" s="1027"/>
      <c r="AF163" s="1027"/>
      <c r="AG163" s="1027"/>
      <c r="AH163" s="1027"/>
      <c r="AI163" s="1027"/>
      <c r="AJ163" s="1027"/>
      <c r="AK163" s="1027"/>
      <c r="AL163" s="1027"/>
      <c r="AM163" s="1027"/>
      <c r="AN163" s="1027"/>
      <c r="AO163" s="1027"/>
      <c r="AP163" s="1027"/>
      <c r="AQ163" s="1027"/>
      <c r="AR163" s="1027"/>
      <c r="AS163" s="1027"/>
      <c r="AT163" s="1027"/>
      <c r="AU163" s="1027"/>
      <c r="AV163" s="1027"/>
    </row>
    <row r="164" spans="7:48">
      <c r="G164" s="673"/>
      <c r="H164" s="673"/>
      <c r="I164" s="673"/>
      <c r="J164" s="673"/>
      <c r="K164" s="673"/>
      <c r="L164" s="673"/>
      <c r="M164" s="673"/>
      <c r="N164" s="674"/>
      <c r="O164" s="673"/>
      <c r="P164" s="673"/>
      <c r="Q164" s="673"/>
      <c r="R164" s="673"/>
      <c r="S164" s="673"/>
      <c r="T164" s="673"/>
      <c r="U164" s="673"/>
      <c r="V164" s="674"/>
      <c r="W164" s="1027"/>
      <c r="X164" s="1027"/>
      <c r="Y164" s="1027"/>
      <c r="Z164" s="1027"/>
      <c r="AA164" s="1027"/>
      <c r="AB164" s="1027"/>
      <c r="AC164" s="1027"/>
      <c r="AD164" s="1027"/>
      <c r="AE164" s="1027"/>
      <c r="AF164" s="1027"/>
      <c r="AG164" s="1027"/>
      <c r="AH164" s="1027"/>
      <c r="AI164" s="1027"/>
      <c r="AJ164" s="1027"/>
      <c r="AK164" s="1027"/>
      <c r="AL164" s="1027"/>
      <c r="AM164" s="1027"/>
      <c r="AN164" s="1027"/>
      <c r="AO164" s="1027"/>
      <c r="AP164" s="1027"/>
      <c r="AQ164" s="1027"/>
      <c r="AR164" s="1027"/>
      <c r="AS164" s="1027"/>
      <c r="AT164" s="1027"/>
      <c r="AU164" s="1027"/>
      <c r="AV164" s="1027"/>
    </row>
    <row r="165" spans="7:48">
      <c r="G165" s="673"/>
      <c r="H165" s="673"/>
      <c r="I165" s="673"/>
      <c r="J165" s="673"/>
      <c r="K165" s="673"/>
      <c r="L165" s="673"/>
      <c r="M165" s="673"/>
      <c r="N165" s="674"/>
      <c r="O165" s="673"/>
      <c r="P165" s="673"/>
      <c r="Q165" s="673"/>
      <c r="R165" s="673"/>
      <c r="S165" s="673"/>
      <c r="T165" s="673"/>
      <c r="U165" s="673"/>
      <c r="V165" s="674"/>
      <c r="W165" s="1027"/>
      <c r="X165" s="1027"/>
      <c r="Y165" s="1027"/>
      <c r="Z165" s="1027"/>
      <c r="AA165" s="1027"/>
      <c r="AB165" s="1027"/>
      <c r="AC165" s="1027"/>
      <c r="AD165" s="1027"/>
      <c r="AE165" s="1027"/>
      <c r="AF165" s="1027"/>
      <c r="AG165" s="1027"/>
      <c r="AH165" s="1027"/>
      <c r="AI165" s="1027"/>
      <c r="AJ165" s="1027"/>
      <c r="AK165" s="1027"/>
      <c r="AL165" s="1027"/>
      <c r="AM165" s="1027"/>
      <c r="AN165" s="1027"/>
      <c r="AO165" s="1027"/>
      <c r="AP165" s="1027"/>
      <c r="AQ165" s="1027"/>
      <c r="AR165" s="1027"/>
      <c r="AS165" s="1027"/>
      <c r="AT165" s="1027"/>
      <c r="AU165" s="1027"/>
      <c r="AV165" s="1027"/>
    </row>
  </sheetData>
  <sheetProtection algorithmName="SHA-512" hashValue="F5H/fDLkBHQ1OdAParoPaCivMPQvlOgSs7Jr78Hux1WUxf+NwADrAZxbFwdOFyMrkPf2Knpi+I4rVd9WhRDKvw==" saltValue="tf1nBGD0xgbAI1K/cW60zg==" spinCount="100000" sheet="1" formatCells="0" formatColumns="0" formatRows="0" insertColumns="0" insertRows="0" sort="0" autoFilter="0" pivotTables="0"/>
  <mergeCells count="1">
    <mergeCell ref="C20:D20"/>
  </mergeCell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61A37-18FE-4ECF-B28F-1324339C0CF1}">
  <sheetPr>
    <outlinePr summaryBelow="0" summaryRight="0"/>
  </sheetPr>
  <dimension ref="A1:U1027"/>
  <sheetViews>
    <sheetView zoomScaleNormal="100" workbookViewId="0">
      <selection sqref="A1:XFD1048576"/>
    </sheetView>
  </sheetViews>
  <sheetFormatPr defaultColWidth="12.5546875" defaultRowHeight="15.75" customHeight="1"/>
  <cols>
    <col min="1" max="1" width="4.44140625" style="1222" customWidth="1"/>
    <col min="2" max="2" width="16" style="1222" customWidth="1"/>
    <col min="3" max="3" width="13.5546875" style="1221" customWidth="1"/>
    <col min="4" max="4" width="31.5546875" style="1221" customWidth="1"/>
    <col min="5" max="5" width="27.5546875" style="1221" customWidth="1"/>
    <col min="6" max="6" width="78" style="1221" customWidth="1"/>
    <col min="7" max="7" width="3.44140625" style="1220" customWidth="1"/>
    <col min="8" max="8" width="3.44140625" style="1219" customWidth="1"/>
    <col min="9" max="16384" width="12.5546875" style="1219"/>
  </cols>
  <sheetData>
    <row r="1" spans="1:21" ht="15.75" customHeight="1">
      <c r="A1" s="1221" t="s">
        <v>1801</v>
      </c>
      <c r="B1" s="1221"/>
      <c r="G1" s="1224"/>
      <c r="H1" s="1223"/>
      <c r="I1" s="1223" t="str">
        <f>A1</f>
        <v>RETRPIRM Fall 2024</v>
      </c>
      <c r="J1" s="1223"/>
      <c r="K1" s="1223"/>
      <c r="L1" s="1223"/>
      <c r="M1" s="1223"/>
      <c r="N1" s="1223"/>
      <c r="O1" s="1223"/>
      <c r="P1" s="1223"/>
      <c r="Q1" s="1223"/>
      <c r="R1" s="1223"/>
      <c r="S1" s="1223"/>
      <c r="T1" s="1223"/>
      <c r="U1" s="1223"/>
    </row>
    <row r="2" spans="1:21" ht="15.75" customHeight="1">
      <c r="A2" s="1221" t="s">
        <v>373</v>
      </c>
      <c r="B2" s="1221"/>
      <c r="G2" s="1224"/>
      <c r="H2" s="1223"/>
      <c r="I2" s="1223" t="str">
        <f>A2</f>
        <v>Question 3</v>
      </c>
      <c r="J2" s="1223"/>
      <c r="K2" s="1223"/>
      <c r="L2" s="1223"/>
      <c r="M2" s="1223"/>
      <c r="N2" s="1223"/>
      <c r="O2" s="1223"/>
      <c r="P2" s="1223"/>
      <c r="Q2" s="1223"/>
      <c r="R2" s="1223"/>
      <c r="S2" s="1223"/>
      <c r="T2" s="1223"/>
      <c r="U2" s="1223"/>
    </row>
    <row r="3" spans="1:21" ht="15.75" customHeight="1">
      <c r="G3" s="1224"/>
      <c r="H3" s="1223"/>
      <c r="I3" s="1223"/>
      <c r="J3" s="1223"/>
      <c r="K3" s="1223"/>
      <c r="L3" s="1223"/>
      <c r="M3" s="1223"/>
      <c r="N3" s="1223"/>
      <c r="O3" s="1223"/>
      <c r="P3" s="1223"/>
      <c r="Q3" s="1223"/>
      <c r="R3" s="1223"/>
      <c r="S3" s="1223"/>
      <c r="T3" s="1223"/>
      <c r="U3" s="1223"/>
    </row>
    <row r="4" spans="1:21" ht="15.75" customHeight="1">
      <c r="B4" s="1233" t="s">
        <v>1800</v>
      </c>
      <c r="G4" s="1224"/>
      <c r="H4" s="1223"/>
      <c r="I4" s="1249" t="s">
        <v>35</v>
      </c>
      <c r="J4" s="1223"/>
      <c r="K4" s="1223"/>
      <c r="L4" s="1223"/>
      <c r="M4" s="1223"/>
      <c r="N4" s="1223"/>
      <c r="O4" s="1223"/>
      <c r="P4" s="1223"/>
      <c r="Q4" s="1223"/>
      <c r="R4" s="1223"/>
      <c r="S4" s="1223"/>
      <c r="T4" s="1223"/>
      <c r="U4" s="1223"/>
    </row>
    <row r="5" spans="1:21" ht="15.75" customHeight="1">
      <c r="B5" s="1221"/>
      <c r="G5" s="1224"/>
      <c r="H5" s="1223"/>
      <c r="I5" s="1223"/>
      <c r="J5" s="1223"/>
      <c r="K5" s="1223"/>
      <c r="L5" s="1223"/>
      <c r="M5" s="1223"/>
      <c r="N5" s="1223"/>
      <c r="O5" s="1223"/>
      <c r="P5" s="1223"/>
      <c r="Q5" s="1223"/>
      <c r="R5" s="1223"/>
      <c r="S5" s="1223"/>
      <c r="T5" s="1223"/>
      <c r="U5" s="1223"/>
    </row>
    <row r="6" spans="1:21" ht="15.75" customHeight="1">
      <c r="B6" s="1221" t="s">
        <v>1799</v>
      </c>
      <c r="G6" s="1224"/>
      <c r="H6" s="1223"/>
      <c r="I6" s="1223"/>
      <c r="J6" s="1223"/>
      <c r="K6" s="1223"/>
      <c r="L6" s="1223"/>
      <c r="M6" s="1223"/>
      <c r="N6" s="1223"/>
      <c r="O6" s="1223"/>
      <c r="P6" s="1223"/>
      <c r="Q6" s="1223"/>
      <c r="R6" s="1223"/>
      <c r="S6" s="1223"/>
      <c r="T6" s="1223"/>
      <c r="U6" s="1223"/>
    </row>
    <row r="7" spans="1:21" ht="15.75" customHeight="1">
      <c r="B7" s="1221"/>
      <c r="G7" s="1224"/>
      <c r="H7" s="1223"/>
      <c r="I7" s="1223"/>
      <c r="J7" s="1223"/>
      <c r="K7" s="1223"/>
      <c r="L7" s="1223"/>
      <c r="M7" s="1223"/>
      <c r="N7" s="1223"/>
      <c r="O7" s="1223"/>
      <c r="P7" s="1223"/>
      <c r="Q7" s="1223"/>
      <c r="R7" s="1223"/>
      <c r="S7" s="1223"/>
      <c r="T7" s="1223"/>
      <c r="U7" s="1223"/>
    </row>
    <row r="8" spans="1:21" ht="15.75" customHeight="1">
      <c r="B8" s="1221" t="s">
        <v>78</v>
      </c>
      <c r="G8" s="1224"/>
      <c r="H8" s="1223"/>
      <c r="I8" s="1223"/>
      <c r="J8" s="1223"/>
      <c r="K8" s="1223"/>
      <c r="L8" s="1223"/>
      <c r="M8" s="1223"/>
      <c r="N8" s="1223"/>
      <c r="O8" s="1223"/>
      <c r="P8" s="1223"/>
      <c r="Q8" s="1223"/>
      <c r="R8" s="1223"/>
      <c r="S8" s="1223"/>
      <c r="T8" s="1223"/>
      <c r="U8" s="1223"/>
    </row>
    <row r="9" spans="1:21" ht="15.75" customHeight="1">
      <c r="B9" s="1221"/>
      <c r="G9" s="1224"/>
      <c r="H9" s="1223"/>
      <c r="I9" s="1223"/>
      <c r="J9" s="1223"/>
      <c r="K9" s="1223"/>
      <c r="L9" s="1223"/>
      <c r="M9" s="1223"/>
      <c r="N9" s="1223"/>
      <c r="O9" s="1223"/>
      <c r="P9" s="1223"/>
      <c r="Q9" s="1223"/>
      <c r="R9" s="1223"/>
      <c r="S9" s="1223"/>
      <c r="T9" s="1223"/>
      <c r="U9" s="1223"/>
    </row>
    <row r="10" spans="1:21" ht="15.75" customHeight="1">
      <c r="B10" s="1682" t="s">
        <v>1798</v>
      </c>
      <c r="C10" s="1682"/>
      <c r="D10" s="1682"/>
      <c r="E10" s="1236">
        <v>6000</v>
      </c>
      <c r="G10" s="1224"/>
      <c r="H10" s="1223"/>
      <c r="I10" s="1223"/>
      <c r="J10" s="1223"/>
      <c r="K10" s="1223"/>
      <c r="L10" s="1223"/>
      <c r="M10" s="1223"/>
      <c r="N10" s="1223"/>
      <c r="O10" s="1223"/>
      <c r="P10" s="1223"/>
      <c r="Q10" s="1223"/>
      <c r="R10" s="1223"/>
      <c r="S10" s="1223"/>
      <c r="T10" s="1223"/>
      <c r="U10" s="1223"/>
    </row>
    <row r="11" spans="1:21" ht="15.75" customHeight="1">
      <c r="B11" s="1682" t="s">
        <v>1797</v>
      </c>
      <c r="C11" s="1682"/>
      <c r="D11" s="1682"/>
      <c r="E11" s="1236">
        <v>3500</v>
      </c>
      <c r="G11" s="1224"/>
      <c r="H11" s="1223"/>
      <c r="I11" s="1223"/>
      <c r="J11" s="1232"/>
      <c r="K11" s="1223"/>
      <c r="L11" s="1223"/>
      <c r="M11" s="1223"/>
      <c r="N11" s="1223"/>
      <c r="O11" s="1223"/>
      <c r="P11" s="1223"/>
      <c r="Q11" s="1223"/>
      <c r="R11" s="1223"/>
      <c r="S11" s="1223"/>
      <c r="T11" s="1223"/>
      <c r="U11" s="1223"/>
    </row>
    <row r="12" spans="1:21" ht="15.75" customHeight="1">
      <c r="B12" s="1682" t="s">
        <v>1776</v>
      </c>
      <c r="C12" s="1682"/>
      <c r="D12" s="1682"/>
      <c r="E12" s="1236">
        <v>2500</v>
      </c>
      <c r="G12" s="1224"/>
      <c r="H12" s="1223"/>
      <c r="I12" s="1223"/>
      <c r="J12" s="1241"/>
      <c r="K12" s="1223"/>
      <c r="L12" s="1223"/>
      <c r="M12" s="1223"/>
      <c r="N12" s="1223"/>
      <c r="O12" s="1223"/>
      <c r="P12" s="1223"/>
      <c r="Q12" s="1223"/>
      <c r="R12" s="1223"/>
      <c r="S12" s="1223"/>
      <c r="T12" s="1223"/>
      <c r="U12" s="1223"/>
    </row>
    <row r="13" spans="1:21" ht="15.75" customHeight="1">
      <c r="B13" s="1682" t="s">
        <v>1796</v>
      </c>
      <c r="C13" s="1682"/>
      <c r="D13" s="1682"/>
      <c r="E13" s="1236">
        <v>1000</v>
      </c>
      <c r="G13" s="1224"/>
      <c r="H13" s="1223"/>
      <c r="I13" s="1223"/>
      <c r="J13" s="1225"/>
      <c r="K13" s="1223"/>
      <c r="L13" s="1223"/>
      <c r="M13" s="1223"/>
      <c r="N13" s="1223"/>
      <c r="O13" s="1223"/>
      <c r="P13" s="1223"/>
      <c r="Q13" s="1223"/>
      <c r="R13" s="1223"/>
      <c r="S13" s="1223"/>
      <c r="T13" s="1223"/>
      <c r="U13" s="1223"/>
    </row>
    <row r="14" spans="1:21" ht="15.75" customHeight="1">
      <c r="B14" s="1682" t="s">
        <v>1775</v>
      </c>
      <c r="C14" s="1682"/>
      <c r="D14" s="1682"/>
      <c r="E14" s="1248">
        <v>1.5</v>
      </c>
      <c r="G14" s="1224"/>
      <c r="H14" s="1223"/>
      <c r="I14" s="1223"/>
      <c r="J14" s="1241"/>
      <c r="K14" s="1223"/>
      <c r="L14" s="1223"/>
      <c r="M14" s="1223"/>
      <c r="N14" s="1223"/>
      <c r="O14" s="1223"/>
      <c r="P14" s="1223"/>
      <c r="Q14" s="1223"/>
      <c r="R14" s="1223"/>
      <c r="S14" s="1223"/>
      <c r="T14" s="1223"/>
      <c r="U14" s="1223"/>
    </row>
    <row r="15" spans="1:21" ht="15.75" customHeight="1">
      <c r="B15" s="1682" t="s">
        <v>1795</v>
      </c>
      <c r="C15" s="1682"/>
      <c r="D15" s="1682"/>
      <c r="E15" s="1236">
        <v>2000</v>
      </c>
      <c r="G15" s="1224"/>
      <c r="H15" s="1223"/>
      <c r="I15" s="1223"/>
      <c r="K15" s="1223"/>
      <c r="L15" s="1223"/>
      <c r="M15" s="1223"/>
      <c r="N15" s="1223"/>
      <c r="O15" s="1223"/>
      <c r="P15" s="1223"/>
      <c r="Q15" s="1223"/>
      <c r="R15" s="1223"/>
      <c r="S15" s="1223"/>
      <c r="T15" s="1223"/>
      <c r="U15" s="1223"/>
    </row>
    <row r="16" spans="1:21" ht="15.75" customHeight="1">
      <c r="B16" s="1682" t="s">
        <v>1794</v>
      </c>
      <c r="C16" s="1682"/>
      <c r="D16" s="1682"/>
      <c r="E16" s="1236">
        <v>2250</v>
      </c>
      <c r="G16" s="1224"/>
      <c r="H16" s="1223"/>
      <c r="I16" s="1223"/>
      <c r="J16" s="1223"/>
      <c r="K16" s="1223"/>
      <c r="L16" s="1223"/>
      <c r="M16" s="1223"/>
      <c r="N16" s="1223"/>
      <c r="O16" s="1223"/>
      <c r="P16" s="1223"/>
      <c r="Q16" s="1223"/>
      <c r="R16" s="1223"/>
      <c r="S16" s="1223"/>
      <c r="T16" s="1223"/>
      <c r="U16" s="1223"/>
    </row>
    <row r="17" spans="2:21" ht="15.75" customHeight="1">
      <c r="B17" s="1683" t="s">
        <v>1774</v>
      </c>
      <c r="C17" s="1683"/>
      <c r="D17" s="1683"/>
      <c r="E17" s="1247">
        <v>1500</v>
      </c>
      <c r="G17" s="1224"/>
      <c r="H17" s="1223"/>
      <c r="I17" s="1223"/>
      <c r="J17" s="1225"/>
      <c r="K17" s="1223"/>
      <c r="L17" s="1223"/>
      <c r="M17" s="1223"/>
      <c r="N17" s="1223"/>
      <c r="O17" s="1223"/>
      <c r="P17" s="1223"/>
      <c r="Q17" s="1223"/>
      <c r="R17" s="1223"/>
      <c r="S17" s="1223"/>
      <c r="T17" s="1223"/>
      <c r="U17" s="1223"/>
    </row>
    <row r="18" spans="2:21" ht="15.75" customHeight="1">
      <c r="B18" s="1684" t="s">
        <v>1793</v>
      </c>
      <c r="C18" s="1685"/>
      <c r="D18" s="1685"/>
      <c r="E18" s="1246" t="s">
        <v>1792</v>
      </c>
      <c r="G18" s="1224"/>
      <c r="H18" s="1223"/>
      <c r="I18" s="1223"/>
      <c r="J18" s="1239"/>
      <c r="K18" s="1223"/>
      <c r="L18" s="1223"/>
      <c r="M18" s="1223"/>
      <c r="N18" s="1223"/>
      <c r="O18" s="1223"/>
      <c r="P18" s="1223"/>
      <c r="Q18" s="1223"/>
      <c r="R18" s="1223"/>
      <c r="S18" s="1223"/>
      <c r="T18" s="1223"/>
      <c r="U18" s="1223"/>
    </row>
    <row r="19" spans="2:21" ht="15.75" customHeight="1">
      <c r="B19" s="1686"/>
      <c r="C19" s="1687"/>
      <c r="D19" s="1687"/>
      <c r="E19" s="1245" t="s">
        <v>1791</v>
      </c>
      <c r="G19" s="1224"/>
      <c r="H19" s="1223"/>
      <c r="I19" s="1223"/>
      <c r="J19" s="1223"/>
      <c r="K19" s="1223"/>
      <c r="L19" s="1223"/>
      <c r="M19" s="1223"/>
      <c r="N19" s="1223"/>
      <c r="O19" s="1223"/>
      <c r="P19" s="1223"/>
      <c r="Q19" s="1223"/>
      <c r="R19" s="1223"/>
      <c r="S19" s="1223"/>
      <c r="T19" s="1223"/>
      <c r="U19" s="1223"/>
    </row>
    <row r="20" spans="2:21" ht="15.6">
      <c r="B20" s="1688" t="s">
        <v>1790</v>
      </c>
      <c r="C20" s="1688"/>
      <c r="D20" s="1688"/>
      <c r="E20" s="1244">
        <v>0.03</v>
      </c>
      <c r="G20" s="1224"/>
      <c r="H20" s="1223"/>
      <c r="I20" s="1223"/>
      <c r="J20" s="1223"/>
      <c r="K20" s="1223"/>
      <c r="L20" s="1223"/>
      <c r="M20" s="1223"/>
      <c r="N20" s="1223"/>
      <c r="O20" s="1223"/>
      <c r="P20" s="1223"/>
      <c r="Q20" s="1223"/>
      <c r="R20" s="1223"/>
      <c r="S20" s="1223"/>
      <c r="T20" s="1223"/>
      <c r="U20" s="1223"/>
    </row>
    <row r="21" spans="2:21" ht="15.6">
      <c r="B21" s="1682" t="s">
        <v>1789</v>
      </c>
      <c r="C21" s="1682"/>
      <c r="D21" s="1682"/>
      <c r="E21" s="1243">
        <v>7.0000000000000007E-2</v>
      </c>
      <c r="G21" s="1224"/>
      <c r="H21" s="1223"/>
      <c r="I21" s="1223"/>
      <c r="J21" s="1232"/>
      <c r="K21" s="1223"/>
      <c r="L21" s="1223"/>
      <c r="M21" s="1223"/>
      <c r="N21" s="1223"/>
      <c r="O21" s="1223"/>
      <c r="P21" s="1223"/>
      <c r="Q21" s="1223"/>
      <c r="R21" s="1223"/>
      <c r="S21" s="1223"/>
      <c r="T21" s="1223"/>
      <c r="U21" s="1223"/>
    </row>
    <row r="22" spans="2:21" ht="15.6">
      <c r="B22" s="1221"/>
      <c r="G22" s="1224"/>
      <c r="H22" s="1223"/>
      <c r="I22" s="1223"/>
      <c r="J22" s="1241"/>
      <c r="K22" s="1223"/>
      <c r="L22" s="1223"/>
      <c r="M22" s="1223"/>
      <c r="N22" s="1223"/>
      <c r="O22" s="1223"/>
      <c r="P22" s="1223"/>
      <c r="Q22" s="1223"/>
      <c r="R22" s="1223"/>
      <c r="S22" s="1223"/>
      <c r="T22" s="1223"/>
      <c r="U22" s="1223"/>
    </row>
    <row r="23" spans="2:21" ht="15.6">
      <c r="B23" s="1221" t="s">
        <v>1788</v>
      </c>
      <c r="G23" s="1224"/>
      <c r="H23" s="1223"/>
      <c r="I23" s="1223"/>
      <c r="J23" s="1242"/>
      <c r="K23" s="1223"/>
      <c r="L23" s="1223"/>
      <c r="M23" s="1223"/>
      <c r="N23" s="1223"/>
      <c r="O23" s="1223"/>
      <c r="P23" s="1223"/>
      <c r="Q23" s="1223"/>
      <c r="R23" s="1223"/>
      <c r="S23" s="1223"/>
      <c r="T23" s="1223"/>
      <c r="U23" s="1223"/>
    </row>
    <row r="24" spans="2:21" ht="15.6">
      <c r="B24" s="1221"/>
      <c r="G24" s="1224"/>
      <c r="H24" s="1223"/>
      <c r="I24" s="1223"/>
      <c r="J24" s="1241"/>
      <c r="K24" s="1223"/>
      <c r="L24" s="1223"/>
      <c r="M24" s="1223"/>
      <c r="N24" s="1223"/>
      <c r="O24" s="1223"/>
      <c r="P24" s="1223"/>
      <c r="Q24" s="1223"/>
      <c r="R24" s="1223"/>
      <c r="S24" s="1223"/>
      <c r="T24" s="1223"/>
      <c r="U24" s="1223"/>
    </row>
    <row r="25" spans="2:21" ht="15.6">
      <c r="B25" s="1234" t="s">
        <v>246</v>
      </c>
      <c r="C25" s="1233" t="s">
        <v>1780</v>
      </c>
      <c r="D25" s="1221" t="s">
        <v>1787</v>
      </c>
      <c r="G25" s="1224"/>
      <c r="H25" s="1223"/>
      <c r="I25" s="1223"/>
      <c r="J25" s="1241"/>
      <c r="K25" s="1223"/>
      <c r="L25" s="1223"/>
      <c r="M25" s="1223"/>
      <c r="N25" s="1223"/>
      <c r="O25" s="1223"/>
      <c r="P25" s="1223"/>
      <c r="Q25" s="1223"/>
      <c r="R25" s="1223"/>
      <c r="S25" s="1223"/>
      <c r="T25" s="1223"/>
      <c r="U25" s="1223"/>
    </row>
    <row r="26" spans="2:21" ht="15.6">
      <c r="B26" s="1234"/>
      <c r="C26" s="1233"/>
      <c r="G26" s="1224"/>
      <c r="H26" s="1223"/>
      <c r="I26" s="1223"/>
      <c r="J26" s="1241"/>
      <c r="K26" s="1223"/>
      <c r="L26" s="1223"/>
      <c r="M26" s="1223"/>
      <c r="N26" s="1223"/>
      <c r="O26" s="1223"/>
      <c r="P26" s="1223"/>
      <c r="Q26" s="1223"/>
      <c r="R26" s="1223"/>
      <c r="S26" s="1223"/>
      <c r="T26" s="1223"/>
      <c r="U26" s="1223"/>
    </row>
    <row r="27" spans="2:21" ht="15.6">
      <c r="B27" s="1234"/>
      <c r="C27" s="1238" t="s">
        <v>1778</v>
      </c>
      <c r="D27" s="1230"/>
      <c r="E27" s="1230"/>
      <c r="F27" s="1229"/>
      <c r="G27" s="1224"/>
      <c r="H27" s="1223"/>
      <c r="I27" s="1223"/>
      <c r="J27" s="1241"/>
      <c r="K27" s="1223"/>
      <c r="L27" s="1223"/>
      <c r="M27" s="1223"/>
      <c r="N27" s="1223"/>
      <c r="O27" s="1223"/>
      <c r="P27" s="1223"/>
      <c r="Q27" s="1223"/>
      <c r="R27" s="1223"/>
      <c r="S27" s="1223"/>
      <c r="T27" s="1223"/>
      <c r="U27" s="1223"/>
    </row>
    <row r="28" spans="2:21" ht="15.6">
      <c r="G28" s="1224"/>
      <c r="H28" s="1223"/>
      <c r="I28" s="1223"/>
      <c r="J28" s="1241"/>
      <c r="K28" s="1223"/>
      <c r="L28" s="1223"/>
      <c r="M28" s="1223"/>
      <c r="N28" s="1223"/>
      <c r="O28" s="1223"/>
      <c r="P28" s="1223"/>
      <c r="Q28" s="1223"/>
      <c r="R28" s="1223"/>
      <c r="S28" s="1223"/>
      <c r="T28" s="1223"/>
      <c r="U28" s="1223"/>
    </row>
    <row r="29" spans="2:21" ht="15.6">
      <c r="B29" s="1234" t="s">
        <v>6</v>
      </c>
      <c r="C29" s="1233" t="s">
        <v>1786</v>
      </c>
      <c r="D29" s="1221" t="s">
        <v>1785</v>
      </c>
      <c r="G29" s="1224"/>
      <c r="H29" s="1223"/>
      <c r="I29" s="1223"/>
      <c r="J29" s="1225"/>
      <c r="K29" s="1223"/>
      <c r="L29" s="1223"/>
      <c r="M29" s="1223"/>
      <c r="N29" s="1223"/>
      <c r="O29" s="1223"/>
      <c r="P29" s="1223"/>
      <c r="Q29" s="1223"/>
      <c r="R29" s="1223"/>
      <c r="S29" s="1223"/>
      <c r="T29" s="1223"/>
      <c r="U29" s="1223"/>
    </row>
    <row r="30" spans="2:21" ht="15.6">
      <c r="B30" s="1234"/>
      <c r="C30" s="1233"/>
      <c r="G30" s="1224"/>
      <c r="H30" s="1223"/>
      <c r="I30" s="1223"/>
      <c r="J30" s="1225"/>
      <c r="K30" s="1223"/>
      <c r="L30" s="1223"/>
      <c r="M30" s="1223"/>
      <c r="N30" s="1223"/>
      <c r="O30" s="1223"/>
      <c r="P30" s="1223"/>
      <c r="Q30" s="1223"/>
      <c r="R30" s="1223"/>
      <c r="S30" s="1223"/>
      <c r="T30" s="1223"/>
      <c r="U30" s="1223"/>
    </row>
    <row r="31" spans="2:21" ht="15.6">
      <c r="B31" s="1234"/>
      <c r="C31" s="1238" t="s">
        <v>1778</v>
      </c>
      <c r="D31" s="1230"/>
      <c r="E31" s="1230"/>
      <c r="F31" s="1229"/>
      <c r="G31" s="1224"/>
      <c r="H31" s="1223"/>
      <c r="I31" s="1223"/>
      <c r="J31" s="1225"/>
      <c r="K31" s="1223"/>
      <c r="L31" s="1223"/>
      <c r="M31" s="1223"/>
      <c r="N31" s="1223"/>
      <c r="O31" s="1223"/>
      <c r="P31" s="1223"/>
      <c r="Q31" s="1223"/>
      <c r="R31" s="1223"/>
      <c r="S31" s="1223"/>
      <c r="T31" s="1223"/>
      <c r="U31" s="1223"/>
    </row>
    <row r="32" spans="2:21" ht="15.6">
      <c r="G32" s="1224"/>
      <c r="H32" s="1223"/>
      <c r="I32" s="1223"/>
      <c r="J32" s="1240"/>
      <c r="K32" s="1223"/>
      <c r="L32" s="1223"/>
      <c r="M32" s="1223"/>
      <c r="N32" s="1223"/>
      <c r="O32" s="1223"/>
      <c r="P32" s="1223"/>
      <c r="Q32" s="1223"/>
      <c r="R32" s="1223"/>
      <c r="S32" s="1223"/>
      <c r="T32" s="1223"/>
      <c r="U32" s="1223"/>
    </row>
    <row r="33" spans="2:21" ht="15.6">
      <c r="B33" s="1234" t="s">
        <v>1784</v>
      </c>
      <c r="C33" s="1233" t="s">
        <v>1780</v>
      </c>
      <c r="D33" s="1221" t="s">
        <v>1783</v>
      </c>
      <c r="G33" s="1224"/>
      <c r="H33" s="1223"/>
      <c r="I33" s="1223"/>
      <c r="J33" s="1223"/>
      <c r="K33" s="1223"/>
      <c r="L33" s="1223"/>
      <c r="M33" s="1223"/>
      <c r="N33" s="1223"/>
      <c r="O33" s="1223"/>
      <c r="P33" s="1223"/>
      <c r="Q33" s="1223"/>
      <c r="R33" s="1223"/>
      <c r="S33" s="1223"/>
      <c r="T33" s="1223"/>
      <c r="U33" s="1223"/>
    </row>
    <row r="34" spans="2:21" ht="15.6">
      <c r="G34" s="1224"/>
      <c r="H34" s="1223"/>
      <c r="I34" s="1223"/>
      <c r="J34" s="1223"/>
      <c r="K34" s="1223"/>
      <c r="L34" s="1223"/>
      <c r="M34" s="1223"/>
      <c r="N34" s="1223"/>
      <c r="O34" s="1223"/>
      <c r="P34" s="1223"/>
      <c r="Q34" s="1223"/>
      <c r="R34" s="1223"/>
      <c r="S34" s="1223"/>
      <c r="T34" s="1223"/>
      <c r="U34" s="1223"/>
    </row>
    <row r="35" spans="2:21" ht="15.6">
      <c r="C35" s="1221" t="s">
        <v>26</v>
      </c>
      <c r="D35" s="1221" t="s">
        <v>1782</v>
      </c>
      <c r="G35" s="1224"/>
      <c r="H35" s="1223"/>
      <c r="I35" s="1223"/>
      <c r="J35" s="1225"/>
      <c r="K35" s="1223"/>
      <c r="L35" s="1223"/>
      <c r="M35" s="1223"/>
      <c r="N35" s="1223"/>
      <c r="O35" s="1223"/>
      <c r="P35" s="1223"/>
      <c r="Q35" s="1223"/>
      <c r="R35" s="1223"/>
      <c r="S35" s="1223"/>
      <c r="T35" s="1223"/>
      <c r="U35" s="1223"/>
    </row>
    <row r="36" spans="2:21" ht="15.6">
      <c r="C36" s="1221" t="s">
        <v>27</v>
      </c>
      <c r="D36" s="1221" t="s">
        <v>1781</v>
      </c>
      <c r="G36" s="1224"/>
      <c r="H36" s="1223"/>
      <c r="J36" s="1239"/>
      <c r="K36" s="1223"/>
      <c r="L36" s="1223"/>
      <c r="M36" s="1223"/>
      <c r="N36" s="1223"/>
      <c r="O36" s="1223"/>
      <c r="P36" s="1223"/>
      <c r="Q36" s="1223"/>
      <c r="R36" s="1223"/>
      <c r="S36" s="1223"/>
      <c r="T36" s="1223"/>
      <c r="U36" s="1223"/>
    </row>
    <row r="37" spans="2:21" ht="15.6">
      <c r="G37" s="1224"/>
      <c r="H37" s="1223"/>
      <c r="J37" s="1239"/>
      <c r="K37" s="1223"/>
      <c r="L37" s="1223"/>
      <c r="M37" s="1223"/>
      <c r="N37" s="1223"/>
      <c r="O37" s="1223"/>
      <c r="P37" s="1223"/>
      <c r="Q37" s="1223"/>
      <c r="R37" s="1223"/>
      <c r="S37" s="1223"/>
      <c r="T37" s="1223"/>
      <c r="U37" s="1223"/>
    </row>
    <row r="38" spans="2:21" ht="15.6">
      <c r="C38" s="1231" t="s">
        <v>1770</v>
      </c>
      <c r="D38" s="1230"/>
      <c r="E38" s="1230"/>
      <c r="F38" s="1229"/>
      <c r="G38" s="1224"/>
      <c r="H38" s="1223"/>
      <c r="J38" s="1239"/>
      <c r="K38" s="1223"/>
      <c r="L38" s="1223"/>
      <c r="M38" s="1223"/>
      <c r="N38" s="1223"/>
      <c r="O38" s="1223"/>
      <c r="P38" s="1223"/>
      <c r="Q38" s="1223"/>
      <c r="R38" s="1223"/>
      <c r="S38" s="1223"/>
      <c r="T38" s="1223"/>
      <c r="U38" s="1223"/>
    </row>
    <row r="39" spans="2:21" ht="15.6">
      <c r="G39" s="1224"/>
      <c r="H39" s="1223"/>
      <c r="I39" s="1223"/>
      <c r="J39" s="1223"/>
      <c r="K39" s="1223"/>
      <c r="L39" s="1223"/>
      <c r="M39" s="1223"/>
      <c r="N39" s="1223"/>
      <c r="O39" s="1223"/>
      <c r="P39" s="1223"/>
      <c r="Q39" s="1223"/>
      <c r="R39" s="1223"/>
      <c r="S39" s="1223"/>
      <c r="T39" s="1223"/>
      <c r="U39" s="1223"/>
    </row>
    <row r="40" spans="2:21" ht="15.6">
      <c r="B40" s="1234" t="s">
        <v>449</v>
      </c>
      <c r="C40" s="1233" t="s">
        <v>1780</v>
      </c>
      <c r="D40" s="1221" t="s">
        <v>1779</v>
      </c>
      <c r="G40" s="1224"/>
      <c r="H40" s="1223"/>
      <c r="I40" s="1223"/>
      <c r="J40" s="1223"/>
      <c r="K40" s="1223"/>
      <c r="L40" s="1223"/>
      <c r="M40" s="1223"/>
      <c r="N40" s="1223"/>
      <c r="O40" s="1223"/>
      <c r="P40" s="1223"/>
      <c r="Q40" s="1223"/>
      <c r="R40" s="1223"/>
      <c r="S40" s="1223"/>
      <c r="T40" s="1223"/>
      <c r="U40" s="1223"/>
    </row>
    <row r="41" spans="2:21" ht="15.6">
      <c r="B41" s="1234"/>
      <c r="C41" s="1233"/>
      <c r="G41" s="1224"/>
      <c r="H41" s="1223"/>
      <c r="I41" s="1223"/>
      <c r="J41" s="1223"/>
      <c r="K41" s="1223"/>
      <c r="L41" s="1223"/>
      <c r="M41" s="1223"/>
      <c r="N41" s="1223"/>
      <c r="O41" s="1223"/>
      <c r="P41" s="1223"/>
      <c r="Q41" s="1223"/>
      <c r="R41" s="1223"/>
      <c r="S41" s="1223"/>
      <c r="T41" s="1223"/>
      <c r="U41" s="1223"/>
    </row>
    <row r="42" spans="2:21" ht="15.6">
      <c r="B42" s="1234"/>
      <c r="C42" s="1238" t="s">
        <v>1778</v>
      </c>
      <c r="D42" s="1230"/>
      <c r="E42" s="1230"/>
      <c r="F42" s="1229"/>
      <c r="G42" s="1224"/>
      <c r="H42" s="1223"/>
      <c r="I42" s="1223"/>
      <c r="J42" s="1223"/>
      <c r="K42" s="1223"/>
      <c r="L42" s="1223"/>
      <c r="M42" s="1223"/>
      <c r="N42" s="1223"/>
      <c r="O42" s="1223"/>
      <c r="P42" s="1223"/>
      <c r="Q42" s="1223"/>
      <c r="R42" s="1223"/>
      <c r="S42" s="1223"/>
      <c r="T42" s="1223"/>
      <c r="U42" s="1223"/>
    </row>
    <row r="43" spans="2:21" ht="15.6">
      <c r="B43" s="1221"/>
      <c r="G43" s="1224"/>
      <c r="H43" s="1223"/>
      <c r="I43" s="1223"/>
      <c r="K43" s="1223"/>
      <c r="L43" s="1223"/>
      <c r="M43" s="1223"/>
      <c r="N43" s="1223"/>
      <c r="O43" s="1223"/>
      <c r="P43" s="1223"/>
      <c r="Q43" s="1223"/>
      <c r="R43" s="1223"/>
      <c r="S43" s="1223"/>
      <c r="T43" s="1223"/>
      <c r="U43" s="1223"/>
    </row>
    <row r="44" spans="2:21" ht="15.6">
      <c r="B44" s="1221" t="s">
        <v>1777</v>
      </c>
      <c r="G44" s="1224"/>
      <c r="H44" s="1223"/>
      <c r="I44" s="1223"/>
      <c r="J44" s="1232"/>
      <c r="K44" s="1223"/>
      <c r="L44" s="1223"/>
      <c r="M44" s="1223"/>
      <c r="N44" s="1223"/>
      <c r="O44" s="1223"/>
      <c r="P44" s="1223"/>
      <c r="Q44" s="1223"/>
      <c r="R44" s="1223"/>
      <c r="S44" s="1223"/>
      <c r="T44" s="1223"/>
      <c r="U44" s="1223"/>
    </row>
    <row r="45" spans="2:21" ht="15.6">
      <c r="B45" s="1221"/>
      <c r="G45" s="1224"/>
      <c r="H45" s="1223"/>
      <c r="I45" s="1223"/>
      <c r="J45" s="1223"/>
      <c r="K45" s="1223"/>
      <c r="L45" s="1223"/>
      <c r="M45" s="1223"/>
      <c r="N45" s="1223"/>
      <c r="O45" s="1223"/>
      <c r="P45" s="1223"/>
      <c r="Q45" s="1223"/>
      <c r="R45" s="1223"/>
      <c r="S45" s="1223"/>
      <c r="T45" s="1223"/>
      <c r="U45" s="1223"/>
    </row>
    <row r="46" spans="2:21" ht="15.6">
      <c r="B46" s="1682" t="s">
        <v>1776</v>
      </c>
      <c r="C46" s="1682"/>
      <c r="D46" s="1236">
        <v>2200</v>
      </c>
      <c r="G46" s="1224"/>
      <c r="H46" s="1223"/>
      <c r="I46" s="1223"/>
      <c r="J46" s="1225"/>
      <c r="K46" s="1223"/>
      <c r="L46" s="1223"/>
      <c r="M46" s="1223"/>
      <c r="N46" s="1223"/>
      <c r="O46" s="1223"/>
      <c r="P46" s="1223"/>
      <c r="Q46" s="1223"/>
      <c r="R46" s="1223"/>
      <c r="S46" s="1223"/>
      <c r="T46" s="1223"/>
      <c r="U46" s="1223"/>
    </row>
    <row r="47" spans="2:21" ht="15.6">
      <c r="B47" s="1682" t="s">
        <v>1775</v>
      </c>
      <c r="C47" s="1682"/>
      <c r="D47" s="1237">
        <v>1.5</v>
      </c>
      <c r="G47" s="1224"/>
      <c r="H47" s="1223"/>
      <c r="I47" s="1223"/>
      <c r="J47" s="1223"/>
      <c r="K47" s="1223"/>
      <c r="L47" s="1223"/>
      <c r="M47" s="1223"/>
      <c r="N47" s="1223"/>
      <c r="O47" s="1223"/>
      <c r="P47" s="1223"/>
      <c r="Q47" s="1223"/>
      <c r="R47" s="1223"/>
      <c r="S47" s="1223"/>
      <c r="T47" s="1223"/>
      <c r="U47" s="1223"/>
    </row>
    <row r="48" spans="2:21" ht="15.6">
      <c r="B48" s="1682" t="s">
        <v>1774</v>
      </c>
      <c r="C48" s="1682"/>
      <c r="D48" s="1236">
        <v>1800</v>
      </c>
      <c r="G48" s="1224"/>
      <c r="H48" s="1223"/>
      <c r="I48" s="1223"/>
      <c r="K48" s="1223"/>
      <c r="L48" s="1223"/>
      <c r="M48" s="1223"/>
      <c r="N48" s="1223"/>
      <c r="O48" s="1223"/>
      <c r="P48" s="1223"/>
      <c r="Q48" s="1223"/>
      <c r="R48" s="1223"/>
      <c r="S48" s="1223"/>
      <c r="T48" s="1223"/>
      <c r="U48" s="1223"/>
    </row>
    <row r="49" spans="2:21" ht="15.6">
      <c r="B49" s="1682" t="s">
        <v>1773</v>
      </c>
      <c r="C49" s="1682"/>
      <c r="D49" s="1235">
        <v>1</v>
      </c>
      <c r="G49" s="1224"/>
      <c r="H49" s="1223"/>
      <c r="I49" s="1223"/>
      <c r="J49" s="1223"/>
      <c r="K49" s="1223"/>
      <c r="L49" s="1223"/>
      <c r="M49" s="1223"/>
      <c r="N49" s="1223"/>
      <c r="O49" s="1223"/>
      <c r="P49" s="1223"/>
      <c r="Q49" s="1223"/>
      <c r="R49" s="1223"/>
      <c r="S49" s="1223"/>
      <c r="T49" s="1223"/>
      <c r="U49" s="1223"/>
    </row>
    <row r="50" spans="2:21" ht="15.6">
      <c r="B50" s="1221"/>
      <c r="G50" s="1224"/>
      <c r="H50" s="1223"/>
      <c r="I50" s="1223"/>
      <c r="J50" s="1225"/>
      <c r="K50" s="1223"/>
      <c r="L50" s="1223"/>
      <c r="M50" s="1223"/>
      <c r="N50" s="1223"/>
      <c r="O50" s="1223"/>
      <c r="P50" s="1223"/>
      <c r="Q50" s="1223"/>
      <c r="R50" s="1223"/>
      <c r="S50" s="1223"/>
      <c r="T50" s="1223"/>
      <c r="U50" s="1223"/>
    </row>
    <row r="51" spans="2:21" ht="15.6">
      <c r="B51" s="1221"/>
      <c r="G51" s="1224"/>
      <c r="H51" s="1223"/>
      <c r="I51" s="1223"/>
      <c r="J51" s="1223"/>
      <c r="K51" s="1223"/>
      <c r="L51" s="1223"/>
      <c r="M51" s="1223"/>
      <c r="N51" s="1223"/>
      <c r="O51" s="1223"/>
      <c r="P51" s="1223"/>
      <c r="Q51" s="1223"/>
      <c r="R51" s="1223"/>
      <c r="S51" s="1223"/>
      <c r="T51" s="1223"/>
      <c r="U51" s="1223"/>
    </row>
    <row r="52" spans="2:21" ht="15.6">
      <c r="B52" s="1234" t="s">
        <v>1772</v>
      </c>
      <c r="C52" s="1233" t="s">
        <v>680</v>
      </c>
      <c r="D52" s="1221" t="s">
        <v>1771</v>
      </c>
      <c r="G52" s="1224"/>
      <c r="H52" s="1223"/>
      <c r="I52" s="1223"/>
      <c r="K52" s="1223"/>
      <c r="L52" s="1223"/>
      <c r="M52" s="1223"/>
      <c r="N52" s="1223"/>
      <c r="O52" s="1223"/>
      <c r="P52" s="1223"/>
      <c r="Q52" s="1223"/>
      <c r="R52" s="1223"/>
      <c r="S52" s="1223"/>
      <c r="T52" s="1223"/>
      <c r="U52" s="1223"/>
    </row>
    <row r="53" spans="2:21" ht="15.6">
      <c r="B53" s="1221"/>
      <c r="G53" s="1224"/>
      <c r="H53" s="1223"/>
      <c r="I53" s="1223"/>
      <c r="J53" s="1232"/>
      <c r="K53" s="1223"/>
      <c r="L53" s="1223"/>
      <c r="M53" s="1223"/>
      <c r="N53" s="1223"/>
      <c r="O53" s="1223"/>
      <c r="P53" s="1223"/>
      <c r="Q53" s="1223"/>
      <c r="R53" s="1223"/>
      <c r="S53" s="1223"/>
      <c r="T53" s="1223"/>
      <c r="U53" s="1223"/>
    </row>
    <row r="54" spans="2:21" ht="15.6">
      <c r="B54" s="1221"/>
      <c r="C54" s="1231" t="s">
        <v>1770</v>
      </c>
      <c r="D54" s="1230"/>
      <c r="E54" s="1230"/>
      <c r="F54" s="1229"/>
      <c r="G54" s="1224"/>
      <c r="H54" s="1223"/>
      <c r="I54" s="1223"/>
      <c r="J54" s="1223"/>
      <c r="K54" s="1223"/>
      <c r="L54" s="1223"/>
      <c r="M54" s="1223"/>
      <c r="N54" s="1223"/>
      <c r="O54" s="1223"/>
      <c r="P54" s="1223"/>
      <c r="Q54" s="1223"/>
      <c r="R54" s="1223"/>
      <c r="S54" s="1223"/>
      <c r="T54" s="1223"/>
      <c r="U54" s="1223"/>
    </row>
    <row r="55" spans="2:21" ht="15.6">
      <c r="B55" s="1221"/>
      <c r="G55" s="1224"/>
      <c r="H55" s="1223"/>
      <c r="I55" s="1223"/>
      <c r="J55" s="1223"/>
      <c r="K55" s="1223"/>
      <c r="L55" s="1223"/>
      <c r="M55" s="1223"/>
      <c r="N55" s="1223"/>
      <c r="O55" s="1223"/>
      <c r="P55" s="1223"/>
      <c r="Q55" s="1223"/>
      <c r="R55" s="1223"/>
      <c r="S55" s="1223"/>
      <c r="T55" s="1223"/>
      <c r="U55" s="1223"/>
    </row>
    <row r="56" spans="2:21" ht="15.6">
      <c r="B56" s="1221"/>
      <c r="G56" s="1224"/>
      <c r="H56" s="1223"/>
      <c r="I56" s="1223"/>
      <c r="J56" s="1223"/>
      <c r="K56" s="1223"/>
      <c r="L56" s="1223"/>
      <c r="M56" s="1223"/>
      <c r="N56" s="1223"/>
      <c r="O56" s="1223"/>
      <c r="P56" s="1223"/>
      <c r="Q56" s="1223"/>
      <c r="R56" s="1223"/>
      <c r="S56" s="1223"/>
      <c r="T56" s="1223"/>
      <c r="U56" s="1223"/>
    </row>
    <row r="57" spans="2:21" ht="15.6">
      <c r="B57" s="1221"/>
      <c r="G57" s="1224"/>
      <c r="H57" s="1223"/>
      <c r="I57" s="1223"/>
      <c r="J57" s="1225"/>
      <c r="K57" s="1223"/>
      <c r="L57" s="1223"/>
      <c r="M57" s="1223"/>
      <c r="N57" s="1223"/>
      <c r="O57" s="1223"/>
      <c r="P57" s="1223"/>
      <c r="Q57" s="1223"/>
      <c r="R57" s="1223"/>
      <c r="S57" s="1223"/>
      <c r="T57" s="1223"/>
      <c r="U57" s="1223"/>
    </row>
    <row r="58" spans="2:21" ht="15.6">
      <c r="B58" s="1221"/>
      <c r="G58" s="1224"/>
      <c r="H58" s="1223"/>
      <c r="I58" s="1223"/>
      <c r="J58" s="1223"/>
      <c r="K58" s="1223"/>
      <c r="L58" s="1223"/>
      <c r="M58" s="1223"/>
      <c r="N58" s="1223"/>
      <c r="O58" s="1223"/>
      <c r="P58" s="1223"/>
      <c r="Q58" s="1223"/>
      <c r="R58" s="1223"/>
      <c r="S58" s="1223"/>
      <c r="T58" s="1223"/>
      <c r="U58" s="1223"/>
    </row>
    <row r="59" spans="2:21" ht="15.6">
      <c r="B59" s="1221"/>
      <c r="G59" s="1224"/>
      <c r="H59" s="1223"/>
      <c r="I59" s="1223"/>
      <c r="K59" s="1223"/>
      <c r="L59" s="1223"/>
      <c r="M59" s="1223"/>
      <c r="N59" s="1223"/>
      <c r="O59" s="1223"/>
      <c r="P59" s="1223"/>
      <c r="Q59" s="1223"/>
      <c r="R59" s="1223"/>
      <c r="S59" s="1223"/>
      <c r="T59" s="1223"/>
      <c r="U59" s="1223"/>
    </row>
    <row r="60" spans="2:21" ht="15.6">
      <c r="B60" s="1221"/>
      <c r="G60" s="1224"/>
      <c r="H60" s="1223"/>
      <c r="I60" s="1223"/>
      <c r="J60" s="1223"/>
      <c r="K60" s="1223"/>
      <c r="L60" s="1223"/>
      <c r="M60" s="1223"/>
      <c r="N60" s="1223"/>
      <c r="O60" s="1223"/>
      <c r="P60" s="1223"/>
      <c r="Q60" s="1223"/>
      <c r="R60" s="1223"/>
      <c r="S60" s="1223"/>
      <c r="T60" s="1223"/>
      <c r="U60" s="1223"/>
    </row>
    <row r="61" spans="2:21" ht="15.6">
      <c r="B61" s="1221"/>
      <c r="G61" s="1224"/>
      <c r="H61" s="1223"/>
      <c r="I61" s="1223"/>
      <c r="J61" s="1225"/>
      <c r="K61" s="1223"/>
      <c r="L61" s="1223"/>
      <c r="M61" s="1223"/>
      <c r="N61" s="1223"/>
      <c r="O61" s="1223"/>
      <c r="P61" s="1223"/>
      <c r="Q61" s="1223"/>
      <c r="R61" s="1223"/>
      <c r="S61" s="1223"/>
      <c r="T61" s="1223"/>
      <c r="U61" s="1223"/>
    </row>
    <row r="62" spans="2:21" ht="15.6">
      <c r="B62" s="1221"/>
      <c r="G62" s="1224"/>
      <c r="H62" s="1223"/>
      <c r="I62" s="1223"/>
      <c r="J62" s="1223"/>
      <c r="K62" s="1223"/>
      <c r="L62" s="1223"/>
      <c r="M62" s="1223"/>
      <c r="N62" s="1223"/>
      <c r="O62" s="1223"/>
      <c r="P62" s="1223"/>
      <c r="Q62" s="1223"/>
      <c r="R62" s="1223"/>
      <c r="S62" s="1223"/>
      <c r="T62" s="1223"/>
      <c r="U62" s="1223"/>
    </row>
    <row r="63" spans="2:21" ht="15.6">
      <c r="B63" s="1221"/>
      <c r="G63" s="1224"/>
      <c r="H63" s="1223"/>
      <c r="I63" s="1223"/>
      <c r="J63" s="1223"/>
      <c r="K63" s="1223"/>
      <c r="L63" s="1223"/>
      <c r="M63" s="1223"/>
      <c r="N63" s="1223"/>
      <c r="O63" s="1223"/>
      <c r="P63" s="1223"/>
      <c r="Q63" s="1223"/>
      <c r="R63" s="1223"/>
      <c r="S63" s="1223"/>
      <c r="T63" s="1223"/>
      <c r="U63" s="1223"/>
    </row>
    <row r="64" spans="2:21" ht="15.6">
      <c r="G64" s="1224"/>
      <c r="H64" s="1223"/>
      <c r="I64" s="1223"/>
      <c r="J64" s="1228"/>
      <c r="K64" s="1223"/>
      <c r="L64" s="1223"/>
      <c r="M64" s="1223"/>
      <c r="N64" s="1223"/>
      <c r="O64" s="1223"/>
      <c r="P64" s="1223"/>
      <c r="Q64" s="1223"/>
      <c r="R64" s="1223"/>
      <c r="S64" s="1223"/>
      <c r="T64" s="1223"/>
      <c r="U64" s="1223"/>
    </row>
    <row r="65" spans="7:21" ht="15.6">
      <c r="G65" s="1224"/>
      <c r="H65" s="1223"/>
      <c r="I65" s="1223"/>
      <c r="J65" s="1223"/>
      <c r="K65" s="1223"/>
      <c r="L65" s="1223"/>
      <c r="M65" s="1223"/>
      <c r="N65" s="1223"/>
      <c r="O65" s="1223"/>
      <c r="P65" s="1223"/>
      <c r="Q65" s="1223"/>
      <c r="R65" s="1223"/>
      <c r="S65" s="1223"/>
      <c r="T65" s="1223"/>
      <c r="U65" s="1223"/>
    </row>
    <row r="66" spans="7:21" ht="15.6">
      <c r="G66" s="1224"/>
      <c r="H66" s="1223"/>
      <c r="I66" s="1223"/>
      <c r="J66" s="1227"/>
      <c r="K66" s="1223"/>
      <c r="L66" s="1223"/>
      <c r="M66" s="1223"/>
      <c r="N66" s="1223"/>
      <c r="O66" s="1223"/>
      <c r="P66" s="1223"/>
      <c r="Q66" s="1223"/>
      <c r="R66" s="1223"/>
      <c r="S66" s="1223"/>
      <c r="T66" s="1223"/>
      <c r="U66" s="1223"/>
    </row>
    <row r="67" spans="7:21" ht="15.6">
      <c r="G67" s="1224"/>
      <c r="H67" s="1223"/>
      <c r="I67" s="1223"/>
      <c r="J67" s="1223"/>
      <c r="K67" s="1223"/>
      <c r="L67" s="1223"/>
      <c r="M67" s="1223"/>
      <c r="N67" s="1223"/>
      <c r="O67" s="1223"/>
      <c r="P67" s="1223"/>
      <c r="Q67" s="1223"/>
      <c r="R67" s="1223"/>
      <c r="S67" s="1223"/>
      <c r="T67" s="1223"/>
      <c r="U67" s="1223"/>
    </row>
    <row r="68" spans="7:21" ht="15.6">
      <c r="G68" s="1224"/>
      <c r="H68" s="1223"/>
      <c r="I68" s="1223"/>
      <c r="J68" s="1223"/>
      <c r="K68" s="1223"/>
      <c r="L68" s="1223"/>
      <c r="M68" s="1223"/>
      <c r="N68" s="1223"/>
      <c r="O68" s="1223"/>
      <c r="P68" s="1223"/>
      <c r="Q68" s="1223"/>
      <c r="R68" s="1223"/>
      <c r="S68" s="1223"/>
      <c r="T68" s="1223"/>
      <c r="U68" s="1223"/>
    </row>
    <row r="69" spans="7:21" ht="15.6">
      <c r="G69" s="1224"/>
      <c r="H69" s="1223"/>
      <c r="I69" s="1223"/>
      <c r="J69" s="1223"/>
      <c r="K69" s="1223"/>
      <c r="L69" s="1223"/>
      <c r="M69" s="1223"/>
      <c r="N69" s="1223"/>
      <c r="O69" s="1223"/>
      <c r="P69" s="1223"/>
      <c r="Q69" s="1223"/>
      <c r="R69" s="1223"/>
      <c r="S69" s="1223"/>
      <c r="T69" s="1223"/>
      <c r="U69" s="1223"/>
    </row>
    <row r="70" spans="7:21" ht="15.6">
      <c r="G70" s="1224"/>
      <c r="H70" s="1223"/>
      <c r="I70" s="1223"/>
      <c r="J70" s="1223"/>
      <c r="K70" s="1223"/>
      <c r="L70" s="1223"/>
      <c r="M70" s="1223"/>
      <c r="N70" s="1223"/>
      <c r="O70" s="1223"/>
      <c r="P70" s="1223"/>
      <c r="Q70" s="1223"/>
      <c r="R70" s="1223"/>
      <c r="S70" s="1223"/>
      <c r="T70" s="1223"/>
      <c r="U70" s="1223"/>
    </row>
    <row r="71" spans="7:21" ht="15.6">
      <c r="G71" s="1224"/>
      <c r="H71" s="1223"/>
      <c r="I71" s="1223"/>
      <c r="J71" s="1226"/>
      <c r="K71" s="1223"/>
      <c r="L71" s="1223"/>
      <c r="M71" s="1223"/>
      <c r="N71" s="1223"/>
      <c r="O71" s="1223"/>
      <c r="P71" s="1223"/>
      <c r="Q71" s="1223"/>
      <c r="R71" s="1223"/>
      <c r="S71" s="1223"/>
      <c r="T71" s="1223"/>
      <c r="U71" s="1223"/>
    </row>
    <row r="72" spans="7:21" ht="15.6">
      <c r="G72" s="1224"/>
      <c r="H72" s="1223"/>
      <c r="I72" s="1223"/>
      <c r="J72" s="1223"/>
      <c r="K72" s="1223"/>
      <c r="L72" s="1223"/>
      <c r="M72" s="1223"/>
      <c r="N72" s="1223"/>
      <c r="O72" s="1223"/>
      <c r="P72" s="1223"/>
      <c r="Q72" s="1223"/>
      <c r="R72" s="1223"/>
      <c r="S72" s="1223"/>
      <c r="T72" s="1223"/>
      <c r="U72" s="1223"/>
    </row>
    <row r="73" spans="7:21" ht="15.6">
      <c r="G73" s="1224"/>
      <c r="H73" s="1223"/>
      <c r="I73" s="1223"/>
      <c r="J73" s="1223"/>
      <c r="K73" s="1223"/>
      <c r="L73" s="1223"/>
      <c r="M73" s="1223"/>
      <c r="N73" s="1223"/>
      <c r="O73" s="1223"/>
      <c r="P73" s="1223"/>
      <c r="Q73" s="1223"/>
      <c r="R73" s="1223"/>
      <c r="S73" s="1223"/>
      <c r="T73" s="1223"/>
      <c r="U73" s="1223"/>
    </row>
    <row r="74" spans="7:21" ht="15.6">
      <c r="G74" s="1224"/>
      <c r="H74" s="1223"/>
      <c r="I74" s="1223"/>
      <c r="J74" s="1223"/>
      <c r="K74" s="1223"/>
      <c r="L74" s="1223"/>
      <c r="M74" s="1223"/>
      <c r="N74" s="1223"/>
      <c r="O74" s="1223"/>
      <c r="P74" s="1223"/>
      <c r="Q74" s="1223"/>
      <c r="R74" s="1223"/>
      <c r="S74" s="1223"/>
      <c r="T74" s="1223"/>
      <c r="U74" s="1223"/>
    </row>
    <row r="75" spans="7:21" ht="15.6">
      <c r="G75" s="1224"/>
      <c r="H75" s="1223"/>
      <c r="I75" s="1223"/>
      <c r="J75" s="1223"/>
      <c r="K75" s="1223"/>
      <c r="L75" s="1223"/>
      <c r="M75" s="1223"/>
      <c r="N75" s="1223"/>
      <c r="O75" s="1223"/>
      <c r="P75" s="1223"/>
      <c r="Q75" s="1223"/>
      <c r="R75" s="1223"/>
      <c r="S75" s="1223"/>
      <c r="T75" s="1223"/>
      <c r="U75" s="1223"/>
    </row>
    <row r="76" spans="7:21" ht="15.6">
      <c r="G76" s="1224"/>
      <c r="H76" s="1223"/>
      <c r="I76" s="1223"/>
      <c r="J76" s="1223"/>
      <c r="K76" s="1223"/>
      <c r="L76" s="1223"/>
      <c r="M76" s="1223"/>
      <c r="N76" s="1223"/>
      <c r="O76" s="1223"/>
      <c r="P76" s="1223"/>
      <c r="Q76" s="1223"/>
      <c r="R76" s="1223"/>
      <c r="S76" s="1223"/>
      <c r="T76" s="1223"/>
      <c r="U76" s="1223"/>
    </row>
    <row r="77" spans="7:21" ht="15.6">
      <c r="G77" s="1224"/>
      <c r="H77" s="1223"/>
      <c r="I77" s="1223"/>
      <c r="J77" s="1223"/>
      <c r="K77" s="1223"/>
      <c r="L77" s="1223"/>
      <c r="M77" s="1223"/>
      <c r="N77" s="1223"/>
      <c r="O77" s="1223"/>
      <c r="P77" s="1223"/>
      <c r="Q77" s="1223"/>
      <c r="R77" s="1223"/>
      <c r="S77" s="1223"/>
      <c r="T77" s="1223"/>
      <c r="U77" s="1223"/>
    </row>
    <row r="78" spans="7:21" ht="15.6">
      <c r="G78" s="1224"/>
      <c r="H78" s="1223"/>
      <c r="I78" s="1223"/>
      <c r="J78" s="1225"/>
      <c r="K78" s="1223"/>
      <c r="L78" s="1223"/>
      <c r="M78" s="1223"/>
      <c r="N78" s="1223"/>
      <c r="O78" s="1223"/>
      <c r="P78" s="1223"/>
      <c r="Q78" s="1223"/>
      <c r="R78" s="1223"/>
      <c r="S78" s="1223"/>
      <c r="T78" s="1223"/>
      <c r="U78" s="1223"/>
    </row>
    <row r="79" spans="7:21" ht="15.6">
      <c r="G79" s="1224"/>
      <c r="H79" s="1223"/>
      <c r="I79" s="1223"/>
      <c r="J79" s="1223"/>
      <c r="K79" s="1223"/>
      <c r="L79" s="1223"/>
      <c r="M79" s="1223"/>
      <c r="N79" s="1223"/>
      <c r="O79" s="1223"/>
      <c r="P79" s="1223"/>
      <c r="Q79" s="1223"/>
      <c r="R79" s="1223"/>
      <c r="S79" s="1223"/>
      <c r="T79" s="1223"/>
      <c r="U79" s="1223"/>
    </row>
    <row r="80" spans="7:21" ht="15.6">
      <c r="G80" s="1224"/>
      <c r="H80" s="1223"/>
      <c r="I80" s="1223"/>
      <c r="J80" s="1223"/>
      <c r="K80" s="1223"/>
      <c r="L80" s="1223"/>
      <c r="M80" s="1223"/>
      <c r="N80" s="1223"/>
      <c r="O80" s="1223"/>
      <c r="P80" s="1223"/>
      <c r="Q80" s="1223"/>
      <c r="R80" s="1223"/>
      <c r="S80" s="1223"/>
      <c r="T80" s="1223"/>
      <c r="U80" s="1223"/>
    </row>
    <row r="81" spans="7:21" ht="15.6">
      <c r="G81" s="1224"/>
      <c r="H81" s="1223"/>
      <c r="I81" s="1223"/>
      <c r="J81" s="1223"/>
      <c r="K81" s="1223"/>
      <c r="L81" s="1223"/>
      <c r="M81" s="1223"/>
      <c r="N81" s="1223"/>
      <c r="O81" s="1223"/>
      <c r="P81" s="1223"/>
      <c r="Q81" s="1223"/>
      <c r="R81" s="1223"/>
      <c r="S81" s="1223"/>
      <c r="T81" s="1223"/>
      <c r="U81" s="1223"/>
    </row>
    <row r="82" spans="7:21" ht="15.6">
      <c r="G82" s="1224"/>
      <c r="H82" s="1223"/>
      <c r="I82" s="1223"/>
      <c r="J82" s="1225"/>
      <c r="K82" s="1223"/>
      <c r="L82" s="1223"/>
      <c r="M82" s="1223"/>
      <c r="N82" s="1223"/>
      <c r="O82" s="1223"/>
      <c r="P82" s="1223"/>
      <c r="Q82" s="1223"/>
      <c r="R82" s="1223"/>
      <c r="S82" s="1223"/>
      <c r="T82" s="1223"/>
      <c r="U82" s="1223"/>
    </row>
    <row r="83" spans="7:21" ht="15.6">
      <c r="G83" s="1224"/>
      <c r="H83" s="1223"/>
      <c r="I83" s="1223"/>
      <c r="J83" s="1223"/>
      <c r="K83" s="1223"/>
      <c r="L83" s="1223"/>
      <c r="M83" s="1223"/>
      <c r="N83" s="1223"/>
      <c r="O83" s="1223"/>
      <c r="P83" s="1223"/>
      <c r="Q83" s="1223"/>
      <c r="R83" s="1223"/>
      <c r="S83" s="1223"/>
      <c r="T83" s="1223"/>
      <c r="U83" s="1223"/>
    </row>
    <row r="84" spans="7:21" ht="15.6">
      <c r="G84" s="1224"/>
      <c r="H84" s="1223"/>
      <c r="I84" s="1223"/>
      <c r="J84" s="1223"/>
      <c r="K84" s="1223"/>
      <c r="L84" s="1223"/>
      <c r="M84" s="1223"/>
      <c r="N84" s="1223"/>
      <c r="O84" s="1223"/>
      <c r="P84" s="1223"/>
      <c r="Q84" s="1223"/>
      <c r="R84" s="1223"/>
      <c r="S84" s="1223"/>
      <c r="T84" s="1223"/>
      <c r="U84" s="1223"/>
    </row>
    <row r="85" spans="7:21" ht="15.6">
      <c r="G85" s="1224"/>
      <c r="H85" s="1223"/>
      <c r="I85" s="1223"/>
      <c r="J85" s="1223"/>
      <c r="K85" s="1223"/>
      <c r="L85" s="1223"/>
      <c r="M85" s="1223"/>
      <c r="N85" s="1223"/>
      <c r="O85" s="1223"/>
      <c r="P85" s="1223"/>
      <c r="Q85" s="1223"/>
      <c r="R85" s="1223"/>
      <c r="S85" s="1223"/>
      <c r="T85" s="1223"/>
      <c r="U85" s="1223"/>
    </row>
    <row r="86" spans="7:21" ht="15.6">
      <c r="G86" s="1224"/>
      <c r="H86" s="1223"/>
      <c r="I86" s="1223"/>
      <c r="J86" s="1223"/>
      <c r="K86" s="1223"/>
      <c r="L86" s="1223"/>
      <c r="M86" s="1223"/>
      <c r="N86" s="1223"/>
      <c r="O86" s="1223"/>
      <c r="P86" s="1223"/>
      <c r="Q86" s="1223"/>
      <c r="R86" s="1223"/>
      <c r="S86" s="1223"/>
      <c r="T86" s="1223"/>
      <c r="U86" s="1223"/>
    </row>
    <row r="87" spans="7:21" ht="15.6">
      <c r="G87" s="1224"/>
      <c r="H87" s="1223"/>
      <c r="I87" s="1223"/>
      <c r="J87" s="1223"/>
      <c r="K87" s="1223"/>
      <c r="L87" s="1223"/>
      <c r="M87" s="1223"/>
      <c r="N87" s="1223"/>
      <c r="O87" s="1223"/>
      <c r="P87" s="1223"/>
      <c r="Q87" s="1223"/>
      <c r="R87" s="1223"/>
      <c r="S87" s="1223"/>
      <c r="T87" s="1223"/>
      <c r="U87" s="1223"/>
    </row>
    <row r="88" spans="7:21" ht="15.6">
      <c r="G88" s="1224"/>
      <c r="H88" s="1223"/>
      <c r="I88" s="1223"/>
      <c r="J88" s="1223"/>
      <c r="K88" s="1223"/>
      <c r="L88" s="1223"/>
      <c r="M88" s="1223"/>
      <c r="N88" s="1223"/>
      <c r="O88" s="1223"/>
      <c r="P88" s="1223"/>
      <c r="Q88" s="1223"/>
      <c r="R88" s="1223"/>
      <c r="S88" s="1223"/>
      <c r="T88" s="1223"/>
      <c r="U88" s="1223"/>
    </row>
    <row r="89" spans="7:21" ht="15.6">
      <c r="G89" s="1224"/>
      <c r="H89" s="1223"/>
      <c r="I89" s="1223"/>
      <c r="J89" s="1223"/>
      <c r="K89" s="1223"/>
      <c r="L89" s="1223"/>
      <c r="M89" s="1223"/>
      <c r="N89" s="1223"/>
      <c r="O89" s="1223"/>
      <c r="P89" s="1223"/>
      <c r="Q89" s="1223"/>
      <c r="R89" s="1223"/>
      <c r="S89" s="1223"/>
      <c r="T89" s="1223"/>
      <c r="U89" s="1223"/>
    </row>
    <row r="90" spans="7:21" ht="15.6">
      <c r="G90" s="1224"/>
      <c r="H90" s="1223"/>
      <c r="I90" s="1223"/>
      <c r="J90" s="1223"/>
      <c r="K90" s="1223"/>
      <c r="L90" s="1223"/>
      <c r="M90" s="1223"/>
      <c r="N90" s="1223"/>
      <c r="O90" s="1223"/>
      <c r="P90" s="1223"/>
      <c r="Q90" s="1223"/>
      <c r="R90" s="1223"/>
      <c r="S90" s="1223"/>
      <c r="T90" s="1223"/>
      <c r="U90" s="1223"/>
    </row>
    <row r="91" spans="7:21" ht="15.6">
      <c r="G91" s="1224"/>
      <c r="H91" s="1223"/>
      <c r="I91" s="1223"/>
      <c r="J91" s="1223"/>
      <c r="K91" s="1223"/>
      <c r="L91" s="1223"/>
      <c r="M91" s="1223"/>
      <c r="N91" s="1223"/>
      <c r="O91" s="1223"/>
      <c r="P91" s="1223"/>
      <c r="Q91" s="1223"/>
      <c r="R91" s="1223"/>
      <c r="S91" s="1223"/>
      <c r="T91" s="1223"/>
      <c r="U91" s="1223"/>
    </row>
    <row r="92" spans="7:21" ht="15.6">
      <c r="G92" s="1224"/>
      <c r="H92" s="1223"/>
      <c r="I92" s="1223"/>
      <c r="J92" s="1223"/>
      <c r="K92" s="1223"/>
      <c r="L92" s="1223"/>
      <c r="M92" s="1223"/>
      <c r="N92" s="1223"/>
      <c r="O92" s="1223"/>
      <c r="P92" s="1223"/>
      <c r="Q92" s="1223"/>
      <c r="R92" s="1223"/>
      <c r="S92" s="1223"/>
      <c r="T92" s="1223"/>
      <c r="U92" s="1223"/>
    </row>
    <row r="93" spans="7:21" ht="15.6">
      <c r="G93" s="1224"/>
      <c r="H93" s="1223"/>
      <c r="I93" s="1223"/>
      <c r="J93" s="1223"/>
      <c r="K93" s="1223"/>
      <c r="L93" s="1223"/>
      <c r="M93" s="1223"/>
      <c r="N93" s="1223"/>
      <c r="O93" s="1223"/>
      <c r="P93" s="1223"/>
      <c r="Q93" s="1223"/>
      <c r="R93" s="1223"/>
      <c r="S93" s="1223"/>
      <c r="T93" s="1223"/>
      <c r="U93" s="1223"/>
    </row>
    <row r="94" spans="7:21" ht="15.6">
      <c r="G94" s="1224"/>
      <c r="H94" s="1223"/>
      <c r="I94" s="1223"/>
      <c r="J94" s="1223"/>
      <c r="K94" s="1223"/>
      <c r="L94" s="1223"/>
      <c r="M94" s="1223"/>
      <c r="N94" s="1223"/>
      <c r="O94" s="1223"/>
      <c r="P94" s="1223"/>
      <c r="Q94" s="1223"/>
      <c r="R94" s="1223"/>
      <c r="S94" s="1223"/>
      <c r="T94" s="1223"/>
      <c r="U94" s="1223"/>
    </row>
    <row r="95" spans="7:21" ht="15.6">
      <c r="G95" s="1224"/>
      <c r="H95" s="1223"/>
      <c r="I95" s="1223"/>
      <c r="J95" s="1223"/>
      <c r="K95" s="1223"/>
      <c r="L95" s="1223"/>
      <c r="M95" s="1223"/>
      <c r="N95" s="1223"/>
      <c r="O95" s="1223"/>
      <c r="P95" s="1223"/>
      <c r="Q95" s="1223"/>
      <c r="R95" s="1223"/>
      <c r="S95" s="1223"/>
      <c r="T95" s="1223"/>
      <c r="U95" s="1223"/>
    </row>
    <row r="96" spans="7:21" ht="15.6">
      <c r="G96" s="1224"/>
      <c r="H96" s="1223"/>
      <c r="I96" s="1223"/>
      <c r="J96" s="1223"/>
      <c r="K96" s="1223"/>
      <c r="L96" s="1223"/>
      <c r="M96" s="1223"/>
      <c r="N96" s="1223"/>
      <c r="O96" s="1223"/>
      <c r="P96" s="1223"/>
      <c r="Q96" s="1223"/>
      <c r="R96" s="1223"/>
      <c r="S96" s="1223"/>
      <c r="T96" s="1223"/>
      <c r="U96" s="1223"/>
    </row>
    <row r="97" spans="7:21" ht="15.6">
      <c r="G97" s="1224"/>
      <c r="H97" s="1223"/>
      <c r="I97" s="1223"/>
      <c r="J97" s="1223"/>
      <c r="K97" s="1223"/>
      <c r="L97" s="1223"/>
      <c r="M97" s="1223"/>
      <c r="N97" s="1223"/>
      <c r="O97" s="1223"/>
      <c r="P97" s="1223"/>
      <c r="Q97" s="1223"/>
      <c r="R97" s="1223"/>
      <c r="S97" s="1223"/>
      <c r="T97" s="1223"/>
      <c r="U97" s="1223"/>
    </row>
    <row r="98" spans="7:21" ht="15.6">
      <c r="G98" s="1224"/>
      <c r="H98" s="1223"/>
      <c r="I98" s="1223"/>
      <c r="J98" s="1223"/>
      <c r="K98" s="1223"/>
      <c r="L98" s="1223"/>
      <c r="M98" s="1223"/>
      <c r="N98" s="1223"/>
      <c r="O98" s="1223"/>
      <c r="P98" s="1223"/>
      <c r="Q98" s="1223"/>
      <c r="R98" s="1223"/>
      <c r="S98" s="1223"/>
      <c r="T98" s="1223"/>
      <c r="U98" s="1223"/>
    </row>
    <row r="99" spans="7:21" ht="15.6">
      <c r="G99" s="1224"/>
      <c r="H99" s="1223"/>
      <c r="I99" s="1223"/>
      <c r="J99" s="1223"/>
      <c r="K99" s="1223"/>
      <c r="L99" s="1223"/>
      <c r="M99" s="1223"/>
      <c r="N99" s="1223"/>
      <c r="O99" s="1223"/>
      <c r="P99" s="1223"/>
      <c r="Q99" s="1223"/>
      <c r="R99" s="1223"/>
      <c r="S99" s="1223"/>
      <c r="T99" s="1223"/>
      <c r="U99" s="1223"/>
    </row>
    <row r="100" spans="7:21" ht="15.6">
      <c r="G100" s="1224"/>
      <c r="H100" s="1223"/>
      <c r="I100" s="1223"/>
      <c r="J100" s="1223"/>
      <c r="K100" s="1223"/>
      <c r="L100" s="1223"/>
      <c r="M100" s="1223"/>
      <c r="N100" s="1223"/>
      <c r="O100" s="1223"/>
      <c r="P100" s="1223"/>
      <c r="Q100" s="1223"/>
      <c r="R100" s="1223"/>
      <c r="S100" s="1223"/>
      <c r="T100" s="1223"/>
      <c r="U100" s="1223"/>
    </row>
    <row r="101" spans="7:21" ht="15.6">
      <c r="G101" s="1224"/>
      <c r="H101" s="1223"/>
      <c r="I101" s="1223"/>
      <c r="J101" s="1223"/>
      <c r="K101" s="1223"/>
      <c r="L101" s="1223"/>
      <c r="M101" s="1223"/>
      <c r="N101" s="1223"/>
      <c r="O101" s="1223"/>
      <c r="P101" s="1223"/>
      <c r="Q101" s="1223"/>
      <c r="R101" s="1223"/>
      <c r="S101" s="1223"/>
      <c r="T101" s="1223"/>
      <c r="U101" s="1223"/>
    </row>
    <row r="102" spans="7:21" ht="15.6">
      <c r="G102" s="1224"/>
      <c r="H102" s="1223"/>
      <c r="I102" s="1223"/>
      <c r="J102" s="1223"/>
      <c r="K102" s="1223"/>
      <c r="L102" s="1223"/>
      <c r="M102" s="1223"/>
      <c r="N102" s="1223"/>
      <c r="O102" s="1223"/>
      <c r="P102" s="1223"/>
      <c r="Q102" s="1223"/>
      <c r="R102" s="1223"/>
      <c r="S102" s="1223"/>
      <c r="T102" s="1223"/>
      <c r="U102" s="1223"/>
    </row>
    <row r="103" spans="7:21" ht="15.6">
      <c r="G103" s="1224"/>
      <c r="H103" s="1223"/>
      <c r="I103" s="1223"/>
      <c r="J103" s="1223"/>
      <c r="K103" s="1223"/>
      <c r="L103" s="1223"/>
      <c r="M103" s="1223"/>
      <c r="N103" s="1223"/>
      <c r="O103" s="1223"/>
      <c r="P103" s="1223"/>
      <c r="Q103" s="1223"/>
      <c r="R103" s="1223"/>
      <c r="S103" s="1223"/>
      <c r="T103" s="1223"/>
      <c r="U103" s="1223"/>
    </row>
    <row r="104" spans="7:21" ht="15.6">
      <c r="G104" s="1224"/>
      <c r="H104" s="1223"/>
      <c r="I104" s="1223"/>
      <c r="J104" s="1223"/>
      <c r="K104" s="1223"/>
      <c r="L104" s="1223"/>
      <c r="M104" s="1223"/>
      <c r="N104" s="1223"/>
      <c r="O104" s="1223"/>
      <c r="P104" s="1223"/>
      <c r="Q104" s="1223"/>
      <c r="R104" s="1223"/>
      <c r="S104" s="1223"/>
      <c r="T104" s="1223"/>
      <c r="U104" s="1223"/>
    </row>
    <row r="105" spans="7:21" ht="15.6">
      <c r="G105" s="1224"/>
      <c r="H105" s="1223"/>
      <c r="I105" s="1223"/>
      <c r="J105" s="1223"/>
      <c r="K105" s="1223"/>
      <c r="L105" s="1223"/>
      <c r="M105" s="1223"/>
      <c r="N105" s="1223"/>
      <c r="O105" s="1223"/>
      <c r="P105" s="1223"/>
      <c r="Q105" s="1223"/>
      <c r="R105" s="1223"/>
      <c r="S105" s="1223"/>
      <c r="T105" s="1223"/>
      <c r="U105" s="1223"/>
    </row>
    <row r="106" spans="7:21" ht="15.6">
      <c r="G106" s="1224"/>
      <c r="H106" s="1223"/>
      <c r="I106" s="1223"/>
      <c r="J106" s="1223"/>
      <c r="K106" s="1223"/>
      <c r="L106" s="1223"/>
      <c r="M106" s="1223"/>
      <c r="N106" s="1223"/>
      <c r="O106" s="1223"/>
      <c r="P106" s="1223"/>
      <c r="Q106" s="1223"/>
      <c r="R106" s="1223"/>
      <c r="S106" s="1223"/>
      <c r="T106" s="1223"/>
      <c r="U106" s="1223"/>
    </row>
    <row r="107" spans="7:21" ht="15.6">
      <c r="G107" s="1224"/>
      <c r="H107" s="1223"/>
      <c r="I107" s="1223"/>
      <c r="J107" s="1223"/>
      <c r="K107" s="1223"/>
      <c r="L107" s="1223"/>
      <c r="M107" s="1223"/>
      <c r="N107" s="1223"/>
      <c r="O107" s="1223"/>
      <c r="P107" s="1223"/>
      <c r="Q107" s="1223"/>
      <c r="R107" s="1223"/>
      <c r="S107" s="1223"/>
      <c r="T107" s="1223"/>
      <c r="U107" s="1223"/>
    </row>
    <row r="108" spans="7:21" ht="15.6">
      <c r="G108" s="1224"/>
      <c r="H108" s="1223"/>
      <c r="I108" s="1223"/>
      <c r="J108" s="1223"/>
      <c r="K108" s="1223"/>
      <c r="L108" s="1223"/>
      <c r="M108" s="1223"/>
      <c r="N108" s="1223"/>
      <c r="O108" s="1223"/>
      <c r="P108" s="1223"/>
      <c r="Q108" s="1223"/>
      <c r="R108" s="1223"/>
      <c r="S108" s="1223"/>
      <c r="T108" s="1223"/>
      <c r="U108" s="1223"/>
    </row>
    <row r="109" spans="7:21" ht="15.6">
      <c r="G109" s="1224"/>
      <c r="H109" s="1223"/>
      <c r="I109" s="1223"/>
      <c r="J109" s="1223"/>
      <c r="K109" s="1223"/>
      <c r="L109" s="1223"/>
      <c r="M109" s="1223"/>
      <c r="N109" s="1223"/>
      <c r="O109" s="1223"/>
      <c r="P109" s="1223"/>
      <c r="Q109" s="1223"/>
      <c r="R109" s="1223"/>
      <c r="S109" s="1223"/>
      <c r="T109" s="1223"/>
      <c r="U109" s="1223"/>
    </row>
    <row r="110" spans="7:21" ht="15.6">
      <c r="G110" s="1224"/>
      <c r="H110" s="1223"/>
      <c r="I110" s="1223"/>
      <c r="J110" s="1223"/>
      <c r="K110" s="1223"/>
      <c r="L110" s="1223"/>
      <c r="M110" s="1223"/>
      <c r="N110" s="1223"/>
      <c r="O110" s="1223"/>
      <c r="P110" s="1223"/>
      <c r="Q110" s="1223"/>
      <c r="R110" s="1223"/>
      <c r="S110" s="1223"/>
      <c r="T110" s="1223"/>
      <c r="U110" s="1223"/>
    </row>
    <row r="111" spans="7:21" ht="15.6">
      <c r="G111" s="1224"/>
      <c r="H111" s="1223"/>
      <c r="I111" s="1223"/>
      <c r="J111" s="1223"/>
      <c r="K111" s="1223"/>
      <c r="L111" s="1223"/>
      <c r="M111" s="1223"/>
      <c r="N111" s="1223"/>
      <c r="O111" s="1223"/>
      <c r="P111" s="1223"/>
      <c r="Q111" s="1223"/>
      <c r="R111" s="1223"/>
      <c r="S111" s="1223"/>
      <c r="T111" s="1223"/>
      <c r="U111" s="1223"/>
    </row>
    <row r="112" spans="7:21" ht="15.6">
      <c r="G112" s="1224"/>
      <c r="H112" s="1223"/>
      <c r="I112" s="1223"/>
      <c r="J112" s="1223"/>
      <c r="K112" s="1223"/>
      <c r="L112" s="1223"/>
      <c r="M112" s="1223"/>
      <c r="N112" s="1223"/>
      <c r="O112" s="1223"/>
      <c r="P112" s="1223"/>
      <c r="Q112" s="1223"/>
      <c r="R112" s="1223"/>
      <c r="S112" s="1223"/>
      <c r="T112" s="1223"/>
      <c r="U112" s="1223"/>
    </row>
    <row r="113" spans="7:21" ht="15.6">
      <c r="G113" s="1224"/>
      <c r="H113" s="1223"/>
      <c r="I113" s="1223"/>
      <c r="J113" s="1223"/>
      <c r="K113" s="1223"/>
      <c r="L113" s="1223"/>
      <c r="M113" s="1223"/>
      <c r="N113" s="1223"/>
      <c r="O113" s="1223"/>
      <c r="P113" s="1223"/>
      <c r="Q113" s="1223"/>
      <c r="R113" s="1223"/>
      <c r="S113" s="1223"/>
      <c r="T113" s="1223"/>
      <c r="U113" s="1223"/>
    </row>
    <row r="114" spans="7:21" ht="15.6">
      <c r="G114" s="1224"/>
      <c r="H114" s="1223"/>
      <c r="I114" s="1223"/>
      <c r="J114" s="1223"/>
      <c r="K114" s="1223"/>
      <c r="L114" s="1223"/>
      <c r="M114" s="1223"/>
      <c r="N114" s="1223"/>
      <c r="O114" s="1223"/>
      <c r="P114" s="1223"/>
      <c r="Q114" s="1223"/>
      <c r="R114" s="1223"/>
      <c r="S114" s="1223"/>
      <c r="T114" s="1223"/>
      <c r="U114" s="1223"/>
    </row>
    <row r="115" spans="7:21" ht="15.6">
      <c r="G115" s="1224"/>
      <c r="H115" s="1223"/>
      <c r="I115" s="1223"/>
      <c r="J115" s="1223"/>
      <c r="K115" s="1223"/>
      <c r="L115" s="1223"/>
      <c r="M115" s="1223"/>
      <c r="N115" s="1223"/>
      <c r="O115" s="1223"/>
      <c r="P115" s="1223"/>
      <c r="Q115" s="1223"/>
      <c r="R115" s="1223"/>
      <c r="S115" s="1223"/>
      <c r="T115" s="1223"/>
      <c r="U115" s="1223"/>
    </row>
    <row r="116" spans="7:21" ht="15.6">
      <c r="G116" s="1224"/>
      <c r="H116" s="1223"/>
      <c r="I116" s="1223"/>
      <c r="J116" s="1223"/>
      <c r="K116" s="1223"/>
      <c r="L116" s="1223"/>
      <c r="M116" s="1223"/>
      <c r="N116" s="1223"/>
      <c r="O116" s="1223"/>
      <c r="P116" s="1223"/>
      <c r="Q116" s="1223"/>
      <c r="R116" s="1223"/>
      <c r="S116" s="1223"/>
      <c r="T116" s="1223"/>
      <c r="U116" s="1223"/>
    </row>
    <row r="117" spans="7:21" ht="15.6">
      <c r="G117" s="1224"/>
      <c r="H117" s="1223"/>
      <c r="I117" s="1223"/>
      <c r="J117" s="1223"/>
      <c r="K117" s="1223"/>
      <c r="L117" s="1223"/>
      <c r="M117" s="1223"/>
      <c r="N117" s="1223"/>
      <c r="O117" s="1223"/>
      <c r="P117" s="1223"/>
      <c r="Q117" s="1223"/>
      <c r="R117" s="1223"/>
      <c r="S117" s="1223"/>
      <c r="T117" s="1223"/>
      <c r="U117" s="1223"/>
    </row>
    <row r="118" spans="7:21" ht="15.6">
      <c r="G118" s="1224"/>
      <c r="H118" s="1223"/>
      <c r="I118" s="1223"/>
      <c r="J118" s="1223"/>
      <c r="K118" s="1223"/>
      <c r="L118" s="1223"/>
      <c r="M118" s="1223"/>
      <c r="N118" s="1223"/>
      <c r="O118" s="1223"/>
      <c r="P118" s="1223"/>
      <c r="Q118" s="1223"/>
      <c r="R118" s="1223"/>
      <c r="S118" s="1223"/>
      <c r="T118" s="1223"/>
      <c r="U118" s="1223"/>
    </row>
    <row r="119" spans="7:21" ht="15.6">
      <c r="G119" s="1224"/>
      <c r="H119" s="1223"/>
      <c r="I119" s="1223"/>
      <c r="J119" s="1223"/>
      <c r="K119" s="1223"/>
      <c r="L119" s="1223"/>
      <c r="M119" s="1223"/>
      <c r="N119" s="1223"/>
      <c r="O119" s="1223"/>
      <c r="P119" s="1223"/>
      <c r="Q119" s="1223"/>
      <c r="R119" s="1223"/>
      <c r="S119" s="1223"/>
      <c r="T119" s="1223"/>
      <c r="U119" s="1223"/>
    </row>
    <row r="120" spans="7:21" ht="15.6">
      <c r="G120" s="1224"/>
      <c r="H120" s="1223"/>
      <c r="I120" s="1223"/>
      <c r="J120" s="1223"/>
      <c r="K120" s="1223"/>
      <c r="L120" s="1223"/>
      <c r="M120" s="1223"/>
      <c r="N120" s="1223"/>
      <c r="O120" s="1223"/>
      <c r="P120" s="1223"/>
      <c r="Q120" s="1223"/>
      <c r="R120" s="1223"/>
      <c r="S120" s="1223"/>
      <c r="T120" s="1223"/>
      <c r="U120" s="1223"/>
    </row>
    <row r="121" spans="7:21" ht="15.6">
      <c r="G121" s="1224"/>
      <c r="H121" s="1223"/>
      <c r="I121" s="1223"/>
      <c r="J121" s="1223"/>
      <c r="K121" s="1223"/>
      <c r="L121" s="1223"/>
      <c r="M121" s="1223"/>
      <c r="N121" s="1223"/>
      <c r="O121" s="1223"/>
      <c r="P121" s="1223"/>
      <c r="Q121" s="1223"/>
      <c r="R121" s="1223"/>
      <c r="S121" s="1223"/>
      <c r="T121" s="1223"/>
      <c r="U121" s="1223"/>
    </row>
    <row r="122" spans="7:21" ht="15.6">
      <c r="G122" s="1224"/>
      <c r="H122" s="1223"/>
      <c r="I122" s="1223"/>
      <c r="J122" s="1223"/>
      <c r="K122" s="1223"/>
      <c r="L122" s="1223"/>
      <c r="M122" s="1223"/>
      <c r="N122" s="1223"/>
      <c r="O122" s="1223"/>
      <c r="P122" s="1223"/>
      <c r="Q122" s="1223"/>
      <c r="R122" s="1223"/>
      <c r="S122" s="1223"/>
      <c r="T122" s="1223"/>
      <c r="U122" s="1223"/>
    </row>
    <row r="123" spans="7:21" ht="15.6">
      <c r="G123" s="1224"/>
      <c r="H123" s="1223"/>
      <c r="I123" s="1223"/>
      <c r="J123" s="1223"/>
      <c r="K123" s="1223"/>
      <c r="L123" s="1223"/>
      <c r="M123" s="1223"/>
      <c r="N123" s="1223"/>
      <c r="O123" s="1223"/>
      <c r="P123" s="1223"/>
      <c r="Q123" s="1223"/>
      <c r="R123" s="1223"/>
      <c r="S123" s="1223"/>
      <c r="T123" s="1223"/>
      <c r="U123" s="1223"/>
    </row>
    <row r="124" spans="7:21" ht="15.6">
      <c r="G124" s="1224"/>
      <c r="H124" s="1223"/>
      <c r="I124" s="1223"/>
      <c r="J124" s="1223"/>
      <c r="K124" s="1223"/>
      <c r="L124" s="1223"/>
      <c r="M124" s="1223"/>
      <c r="N124" s="1223"/>
      <c r="O124" s="1223"/>
      <c r="P124" s="1223"/>
      <c r="Q124" s="1223"/>
      <c r="R124" s="1223"/>
      <c r="S124" s="1223"/>
      <c r="T124" s="1223"/>
      <c r="U124" s="1223"/>
    </row>
    <row r="125" spans="7:21" ht="15.6">
      <c r="G125" s="1224"/>
      <c r="H125" s="1223"/>
      <c r="I125" s="1223"/>
      <c r="J125" s="1223"/>
      <c r="K125" s="1223"/>
      <c r="L125" s="1223"/>
      <c r="M125" s="1223"/>
      <c r="N125" s="1223"/>
      <c r="O125" s="1223"/>
      <c r="P125" s="1223"/>
      <c r="Q125" s="1223"/>
      <c r="R125" s="1223"/>
      <c r="S125" s="1223"/>
      <c r="T125" s="1223"/>
      <c r="U125" s="1223"/>
    </row>
    <row r="126" spans="7:21" ht="15.6">
      <c r="G126" s="1224"/>
      <c r="H126" s="1223"/>
      <c r="I126" s="1223"/>
      <c r="J126" s="1223"/>
      <c r="K126" s="1223"/>
      <c r="L126" s="1223"/>
      <c r="M126" s="1223"/>
      <c r="N126" s="1223"/>
      <c r="O126" s="1223"/>
      <c r="P126" s="1223"/>
      <c r="Q126" s="1223"/>
      <c r="R126" s="1223"/>
      <c r="S126" s="1223"/>
      <c r="T126" s="1223"/>
      <c r="U126" s="1223"/>
    </row>
    <row r="127" spans="7:21" ht="15.6">
      <c r="G127" s="1224"/>
      <c r="H127" s="1223"/>
      <c r="I127" s="1223"/>
      <c r="J127" s="1223"/>
      <c r="K127" s="1223"/>
      <c r="L127" s="1223"/>
      <c r="M127" s="1223"/>
      <c r="N127" s="1223"/>
      <c r="O127" s="1223"/>
      <c r="P127" s="1223"/>
      <c r="Q127" s="1223"/>
      <c r="R127" s="1223"/>
      <c r="S127" s="1223"/>
      <c r="T127" s="1223"/>
      <c r="U127" s="1223"/>
    </row>
    <row r="128" spans="7:21" ht="15.6">
      <c r="G128" s="1224"/>
      <c r="H128" s="1223"/>
      <c r="I128" s="1223"/>
      <c r="J128" s="1223"/>
      <c r="K128" s="1223"/>
      <c r="L128" s="1223"/>
      <c r="M128" s="1223"/>
      <c r="N128" s="1223"/>
      <c r="O128" s="1223"/>
      <c r="P128" s="1223"/>
      <c r="Q128" s="1223"/>
      <c r="R128" s="1223"/>
      <c r="S128" s="1223"/>
      <c r="T128" s="1223"/>
      <c r="U128" s="1223"/>
    </row>
    <row r="129" spans="7:21" ht="15.6">
      <c r="G129" s="1224"/>
      <c r="H129" s="1223"/>
      <c r="I129" s="1223"/>
      <c r="J129" s="1223"/>
      <c r="K129" s="1223"/>
      <c r="L129" s="1223"/>
      <c r="M129" s="1223"/>
      <c r="N129" s="1223"/>
      <c r="O129" s="1223"/>
      <c r="P129" s="1223"/>
      <c r="Q129" s="1223"/>
      <c r="R129" s="1223"/>
      <c r="S129" s="1223"/>
      <c r="T129" s="1223"/>
      <c r="U129" s="1223"/>
    </row>
    <row r="130" spans="7:21" ht="15.6">
      <c r="G130" s="1224"/>
      <c r="H130" s="1223"/>
      <c r="I130" s="1223"/>
      <c r="J130" s="1223"/>
      <c r="K130" s="1223"/>
      <c r="L130" s="1223"/>
      <c r="M130" s="1223"/>
      <c r="N130" s="1223"/>
      <c r="O130" s="1223"/>
      <c r="P130" s="1223"/>
      <c r="Q130" s="1223"/>
      <c r="R130" s="1223"/>
      <c r="S130" s="1223"/>
      <c r="T130" s="1223"/>
      <c r="U130" s="1223"/>
    </row>
    <row r="131" spans="7:21" ht="15.6">
      <c r="G131" s="1224"/>
      <c r="H131" s="1223"/>
      <c r="I131" s="1223"/>
      <c r="J131" s="1223"/>
      <c r="K131" s="1223"/>
      <c r="L131" s="1223"/>
      <c r="M131" s="1223"/>
      <c r="N131" s="1223"/>
      <c r="O131" s="1223"/>
      <c r="P131" s="1223"/>
      <c r="Q131" s="1223"/>
      <c r="R131" s="1223"/>
      <c r="S131" s="1223"/>
      <c r="T131" s="1223"/>
      <c r="U131" s="1223"/>
    </row>
    <row r="132" spans="7:21" ht="15.6">
      <c r="G132" s="1224"/>
      <c r="H132" s="1223"/>
      <c r="I132" s="1223"/>
      <c r="J132" s="1223"/>
      <c r="K132" s="1223"/>
      <c r="L132" s="1223"/>
      <c r="M132" s="1223"/>
      <c r="N132" s="1223"/>
      <c r="O132" s="1223"/>
      <c r="P132" s="1223"/>
      <c r="Q132" s="1223"/>
      <c r="R132" s="1223"/>
      <c r="S132" s="1223"/>
      <c r="T132" s="1223"/>
      <c r="U132" s="1223"/>
    </row>
    <row r="133" spans="7:21" ht="15.6">
      <c r="G133" s="1224"/>
      <c r="H133" s="1223"/>
      <c r="I133" s="1223"/>
      <c r="J133" s="1223"/>
      <c r="K133" s="1223"/>
      <c r="L133" s="1223"/>
      <c r="M133" s="1223"/>
      <c r="N133" s="1223"/>
      <c r="O133" s="1223"/>
      <c r="P133" s="1223"/>
      <c r="Q133" s="1223"/>
      <c r="R133" s="1223"/>
      <c r="S133" s="1223"/>
      <c r="T133" s="1223"/>
      <c r="U133" s="1223"/>
    </row>
    <row r="134" spans="7:21" ht="15.6">
      <c r="G134" s="1224"/>
      <c r="H134" s="1223"/>
      <c r="I134" s="1223"/>
      <c r="J134" s="1223"/>
      <c r="K134" s="1223"/>
      <c r="L134" s="1223"/>
      <c r="M134" s="1223"/>
      <c r="N134" s="1223"/>
      <c r="O134" s="1223"/>
      <c r="P134" s="1223"/>
      <c r="Q134" s="1223"/>
      <c r="R134" s="1223"/>
      <c r="S134" s="1223"/>
      <c r="T134" s="1223"/>
      <c r="U134" s="1223"/>
    </row>
    <row r="135" spans="7:21" ht="15.6">
      <c r="G135" s="1224"/>
      <c r="H135" s="1223"/>
      <c r="I135" s="1223"/>
      <c r="J135" s="1223"/>
      <c r="K135" s="1223"/>
      <c r="L135" s="1223"/>
      <c r="M135" s="1223"/>
      <c r="N135" s="1223"/>
      <c r="O135" s="1223"/>
      <c r="P135" s="1223"/>
      <c r="Q135" s="1223"/>
      <c r="R135" s="1223"/>
      <c r="S135" s="1223"/>
      <c r="T135" s="1223"/>
      <c r="U135" s="1223"/>
    </row>
    <row r="136" spans="7:21" ht="15.6">
      <c r="G136" s="1224"/>
      <c r="H136" s="1223"/>
      <c r="I136" s="1223"/>
      <c r="J136" s="1223"/>
      <c r="K136" s="1223"/>
      <c r="L136" s="1223"/>
      <c r="M136" s="1223"/>
      <c r="N136" s="1223"/>
      <c r="O136" s="1223"/>
      <c r="P136" s="1223"/>
      <c r="Q136" s="1223"/>
      <c r="R136" s="1223"/>
      <c r="S136" s="1223"/>
      <c r="T136" s="1223"/>
      <c r="U136" s="1223"/>
    </row>
    <row r="137" spans="7:21" ht="15.6">
      <c r="G137" s="1224"/>
      <c r="H137" s="1223"/>
      <c r="I137" s="1223"/>
      <c r="J137" s="1223"/>
      <c r="K137" s="1223"/>
      <c r="L137" s="1223"/>
      <c r="M137" s="1223"/>
      <c r="N137" s="1223"/>
      <c r="O137" s="1223"/>
      <c r="P137" s="1223"/>
      <c r="Q137" s="1223"/>
      <c r="R137" s="1223"/>
      <c r="S137" s="1223"/>
      <c r="T137" s="1223"/>
      <c r="U137" s="1223"/>
    </row>
    <row r="138" spans="7:21" ht="15.6">
      <c r="G138" s="1224"/>
      <c r="H138" s="1223"/>
      <c r="I138" s="1223"/>
      <c r="J138" s="1223"/>
      <c r="K138" s="1223"/>
      <c r="L138" s="1223"/>
      <c r="M138" s="1223"/>
      <c r="N138" s="1223"/>
      <c r="O138" s="1223"/>
      <c r="P138" s="1223"/>
      <c r="Q138" s="1223"/>
      <c r="R138" s="1223"/>
      <c r="S138" s="1223"/>
      <c r="T138" s="1223"/>
      <c r="U138" s="1223"/>
    </row>
    <row r="139" spans="7:21" ht="15.6">
      <c r="G139" s="1224"/>
      <c r="H139" s="1223"/>
      <c r="I139" s="1223"/>
      <c r="J139" s="1223"/>
      <c r="K139" s="1223"/>
      <c r="L139" s="1223"/>
      <c r="M139" s="1223"/>
      <c r="N139" s="1223"/>
      <c r="O139" s="1223"/>
      <c r="P139" s="1223"/>
      <c r="Q139" s="1223"/>
      <c r="R139" s="1223"/>
      <c r="S139" s="1223"/>
      <c r="T139" s="1223"/>
      <c r="U139" s="1223"/>
    </row>
    <row r="140" spans="7:21" ht="15.6">
      <c r="G140" s="1224"/>
      <c r="H140" s="1223"/>
      <c r="I140" s="1223"/>
      <c r="J140" s="1223"/>
      <c r="K140" s="1223"/>
      <c r="L140" s="1223"/>
      <c r="M140" s="1223"/>
      <c r="N140" s="1223"/>
      <c r="O140" s="1223"/>
      <c r="P140" s="1223"/>
      <c r="Q140" s="1223"/>
      <c r="R140" s="1223"/>
      <c r="S140" s="1223"/>
      <c r="T140" s="1223"/>
      <c r="U140" s="1223"/>
    </row>
    <row r="141" spans="7:21" ht="15.6">
      <c r="G141" s="1224"/>
      <c r="H141" s="1223"/>
      <c r="I141" s="1223"/>
      <c r="J141" s="1223"/>
      <c r="K141" s="1223"/>
      <c r="L141" s="1223"/>
      <c r="M141" s="1223"/>
      <c r="N141" s="1223"/>
      <c r="O141" s="1223"/>
      <c r="P141" s="1223"/>
      <c r="Q141" s="1223"/>
      <c r="R141" s="1223"/>
      <c r="S141" s="1223"/>
      <c r="T141" s="1223"/>
      <c r="U141" s="1223"/>
    </row>
    <row r="142" spans="7:21" ht="15.6">
      <c r="G142" s="1224"/>
      <c r="H142" s="1223"/>
      <c r="I142" s="1223"/>
      <c r="J142" s="1223"/>
      <c r="K142" s="1223"/>
      <c r="L142" s="1223"/>
      <c r="M142" s="1223"/>
      <c r="N142" s="1223"/>
      <c r="O142" s="1223"/>
      <c r="P142" s="1223"/>
      <c r="Q142" s="1223"/>
      <c r="R142" s="1223"/>
      <c r="S142" s="1223"/>
      <c r="T142" s="1223"/>
      <c r="U142" s="1223"/>
    </row>
    <row r="143" spans="7:21" ht="15.6">
      <c r="G143" s="1224"/>
      <c r="H143" s="1223"/>
      <c r="I143" s="1223"/>
      <c r="J143" s="1223"/>
      <c r="K143" s="1223"/>
      <c r="L143" s="1223"/>
      <c r="M143" s="1223"/>
      <c r="N143" s="1223"/>
      <c r="O143" s="1223"/>
      <c r="P143" s="1223"/>
      <c r="Q143" s="1223"/>
      <c r="R143" s="1223"/>
      <c r="S143" s="1223"/>
      <c r="T143" s="1223"/>
      <c r="U143" s="1223"/>
    </row>
    <row r="144" spans="7:21" ht="15.6">
      <c r="G144" s="1224"/>
      <c r="H144" s="1223"/>
      <c r="I144" s="1223"/>
      <c r="J144" s="1223"/>
      <c r="K144" s="1223"/>
      <c r="L144" s="1223"/>
      <c r="M144" s="1223"/>
      <c r="N144" s="1223"/>
      <c r="O144" s="1223"/>
      <c r="P144" s="1223"/>
      <c r="Q144" s="1223"/>
      <c r="R144" s="1223"/>
      <c r="S144" s="1223"/>
      <c r="T144" s="1223"/>
      <c r="U144" s="1223"/>
    </row>
    <row r="145" spans="7:21" ht="15.6">
      <c r="G145" s="1224"/>
      <c r="H145" s="1223"/>
      <c r="I145" s="1223"/>
      <c r="J145" s="1223"/>
      <c r="K145" s="1223"/>
      <c r="L145" s="1223"/>
      <c r="M145" s="1223"/>
      <c r="N145" s="1223"/>
      <c r="O145" s="1223"/>
      <c r="P145" s="1223"/>
      <c r="Q145" s="1223"/>
      <c r="R145" s="1223"/>
      <c r="S145" s="1223"/>
      <c r="T145" s="1223"/>
      <c r="U145" s="1223"/>
    </row>
    <row r="146" spans="7:21" ht="15.6">
      <c r="G146" s="1224"/>
      <c r="H146" s="1223"/>
      <c r="I146" s="1223"/>
      <c r="J146" s="1223"/>
      <c r="K146" s="1223"/>
      <c r="L146" s="1223"/>
      <c r="M146" s="1223"/>
      <c r="N146" s="1223"/>
      <c r="O146" s="1223"/>
      <c r="P146" s="1223"/>
      <c r="Q146" s="1223"/>
      <c r="R146" s="1223"/>
      <c r="S146" s="1223"/>
      <c r="T146" s="1223"/>
      <c r="U146" s="1223"/>
    </row>
    <row r="147" spans="7:21" ht="15.6">
      <c r="G147" s="1224"/>
      <c r="H147" s="1223"/>
      <c r="I147" s="1223"/>
      <c r="J147" s="1223"/>
      <c r="K147" s="1223"/>
      <c r="L147" s="1223"/>
      <c r="M147" s="1223"/>
      <c r="N147" s="1223"/>
      <c r="O147" s="1223"/>
      <c r="P147" s="1223"/>
      <c r="Q147" s="1223"/>
      <c r="R147" s="1223"/>
      <c r="S147" s="1223"/>
      <c r="T147" s="1223"/>
      <c r="U147" s="1223"/>
    </row>
    <row r="148" spans="7:21" ht="15.6">
      <c r="G148" s="1224"/>
      <c r="H148" s="1223"/>
      <c r="I148" s="1223"/>
      <c r="J148" s="1223"/>
      <c r="K148" s="1223"/>
      <c r="L148" s="1223"/>
      <c r="M148" s="1223"/>
      <c r="N148" s="1223"/>
      <c r="O148" s="1223"/>
      <c r="P148" s="1223"/>
      <c r="Q148" s="1223"/>
      <c r="R148" s="1223"/>
      <c r="S148" s="1223"/>
      <c r="T148" s="1223"/>
      <c r="U148" s="1223"/>
    </row>
    <row r="149" spans="7:21" ht="15.6">
      <c r="G149" s="1224"/>
      <c r="H149" s="1223"/>
      <c r="I149" s="1223"/>
      <c r="J149" s="1223"/>
      <c r="K149" s="1223"/>
      <c r="L149" s="1223"/>
      <c r="M149" s="1223"/>
      <c r="N149" s="1223"/>
      <c r="O149" s="1223"/>
      <c r="P149" s="1223"/>
      <c r="Q149" s="1223"/>
      <c r="R149" s="1223"/>
      <c r="S149" s="1223"/>
      <c r="T149" s="1223"/>
      <c r="U149" s="1223"/>
    </row>
    <row r="150" spans="7:21" ht="15.6">
      <c r="G150" s="1224"/>
      <c r="H150" s="1223"/>
      <c r="I150" s="1223"/>
      <c r="J150" s="1223"/>
      <c r="K150" s="1223"/>
      <c r="L150" s="1223"/>
      <c r="M150" s="1223"/>
      <c r="N150" s="1223"/>
      <c r="O150" s="1223"/>
      <c r="P150" s="1223"/>
      <c r="Q150" s="1223"/>
      <c r="R150" s="1223"/>
      <c r="S150" s="1223"/>
      <c r="T150" s="1223"/>
      <c r="U150" s="1223"/>
    </row>
    <row r="151" spans="7:21" ht="15.6">
      <c r="G151" s="1224"/>
      <c r="H151" s="1223"/>
      <c r="I151" s="1223"/>
      <c r="J151" s="1223"/>
      <c r="K151" s="1223"/>
      <c r="L151" s="1223"/>
      <c r="M151" s="1223"/>
      <c r="N151" s="1223"/>
      <c r="O151" s="1223"/>
      <c r="P151" s="1223"/>
      <c r="Q151" s="1223"/>
      <c r="R151" s="1223"/>
      <c r="S151" s="1223"/>
      <c r="T151" s="1223"/>
      <c r="U151" s="1223"/>
    </row>
    <row r="152" spans="7:21" ht="15.6">
      <c r="G152" s="1224"/>
      <c r="H152" s="1223"/>
      <c r="I152" s="1223"/>
      <c r="J152" s="1223"/>
      <c r="K152" s="1223"/>
      <c r="L152" s="1223"/>
      <c r="M152" s="1223"/>
      <c r="N152" s="1223"/>
      <c r="O152" s="1223"/>
      <c r="P152" s="1223"/>
      <c r="Q152" s="1223"/>
      <c r="R152" s="1223"/>
      <c r="S152" s="1223"/>
      <c r="T152" s="1223"/>
      <c r="U152" s="1223"/>
    </row>
    <row r="153" spans="7:21" ht="15.6">
      <c r="G153" s="1224"/>
      <c r="H153" s="1223"/>
      <c r="I153" s="1223"/>
      <c r="J153" s="1223"/>
      <c r="K153" s="1223"/>
      <c r="L153" s="1223"/>
      <c r="M153" s="1223"/>
      <c r="N153" s="1223"/>
      <c r="O153" s="1223"/>
      <c r="P153" s="1223"/>
      <c r="Q153" s="1223"/>
      <c r="R153" s="1223"/>
      <c r="S153" s="1223"/>
      <c r="T153" s="1223"/>
      <c r="U153" s="1223"/>
    </row>
    <row r="154" spans="7:21" ht="15.6">
      <c r="G154" s="1224"/>
      <c r="H154" s="1223"/>
      <c r="I154" s="1223"/>
      <c r="J154" s="1223"/>
      <c r="K154" s="1223"/>
      <c r="L154" s="1223"/>
      <c r="M154" s="1223"/>
      <c r="N154" s="1223"/>
      <c r="O154" s="1223"/>
      <c r="P154" s="1223"/>
      <c r="Q154" s="1223"/>
      <c r="R154" s="1223"/>
      <c r="S154" s="1223"/>
      <c r="T154" s="1223"/>
      <c r="U154" s="1223"/>
    </row>
    <row r="155" spans="7:21" ht="15.6">
      <c r="G155" s="1224"/>
      <c r="H155" s="1223"/>
      <c r="I155" s="1223"/>
      <c r="J155" s="1223"/>
      <c r="K155" s="1223"/>
      <c r="L155" s="1223"/>
      <c r="M155" s="1223"/>
      <c r="N155" s="1223"/>
      <c r="O155" s="1223"/>
      <c r="P155" s="1223"/>
      <c r="Q155" s="1223"/>
      <c r="R155" s="1223"/>
      <c r="S155" s="1223"/>
      <c r="T155" s="1223"/>
      <c r="U155" s="1223"/>
    </row>
    <row r="156" spans="7:21" ht="15.6">
      <c r="G156" s="1224"/>
      <c r="H156" s="1223"/>
      <c r="I156" s="1223"/>
      <c r="J156" s="1223"/>
      <c r="K156" s="1223"/>
      <c r="L156" s="1223"/>
      <c r="M156" s="1223"/>
      <c r="N156" s="1223"/>
      <c r="O156" s="1223"/>
      <c r="P156" s="1223"/>
      <c r="Q156" s="1223"/>
      <c r="R156" s="1223"/>
      <c r="S156" s="1223"/>
      <c r="T156" s="1223"/>
      <c r="U156" s="1223"/>
    </row>
    <row r="157" spans="7:21" ht="15.6">
      <c r="G157" s="1224"/>
      <c r="H157" s="1223"/>
      <c r="I157" s="1223"/>
      <c r="J157" s="1223"/>
      <c r="K157" s="1223"/>
      <c r="L157" s="1223"/>
      <c r="M157" s="1223"/>
      <c r="N157" s="1223"/>
      <c r="O157" s="1223"/>
      <c r="P157" s="1223"/>
      <c r="Q157" s="1223"/>
      <c r="R157" s="1223"/>
      <c r="S157" s="1223"/>
      <c r="T157" s="1223"/>
      <c r="U157" s="1223"/>
    </row>
    <row r="158" spans="7:21" ht="15.6">
      <c r="G158" s="1224"/>
      <c r="H158" s="1223"/>
      <c r="I158" s="1223"/>
      <c r="J158" s="1223"/>
      <c r="K158" s="1223"/>
      <c r="L158" s="1223"/>
      <c r="M158" s="1223"/>
      <c r="N158" s="1223"/>
      <c r="O158" s="1223"/>
      <c r="P158" s="1223"/>
      <c r="Q158" s="1223"/>
      <c r="R158" s="1223"/>
      <c r="S158" s="1223"/>
      <c r="T158" s="1223"/>
      <c r="U158" s="1223"/>
    </row>
    <row r="159" spans="7:21" ht="15.6">
      <c r="G159" s="1224"/>
      <c r="H159" s="1223"/>
      <c r="I159" s="1223"/>
      <c r="J159" s="1223"/>
      <c r="K159" s="1223"/>
      <c r="L159" s="1223"/>
      <c r="M159" s="1223"/>
      <c r="N159" s="1223"/>
      <c r="O159" s="1223"/>
      <c r="P159" s="1223"/>
      <c r="Q159" s="1223"/>
      <c r="R159" s="1223"/>
      <c r="S159" s="1223"/>
      <c r="T159" s="1223"/>
      <c r="U159" s="1223"/>
    </row>
    <row r="160" spans="7:21" ht="15.6">
      <c r="G160" s="1224"/>
      <c r="H160" s="1223"/>
      <c r="I160" s="1223"/>
      <c r="J160" s="1223"/>
      <c r="K160" s="1223"/>
      <c r="L160" s="1223"/>
      <c r="M160" s="1223"/>
      <c r="N160" s="1223"/>
      <c r="O160" s="1223"/>
      <c r="P160" s="1223"/>
      <c r="Q160" s="1223"/>
      <c r="R160" s="1223"/>
      <c r="S160" s="1223"/>
      <c r="T160" s="1223"/>
      <c r="U160" s="1223"/>
    </row>
    <row r="161" spans="7:21" ht="15.6">
      <c r="G161" s="1224"/>
      <c r="H161" s="1223"/>
      <c r="I161" s="1223"/>
      <c r="J161" s="1223"/>
      <c r="K161" s="1223"/>
      <c r="L161" s="1223"/>
      <c r="M161" s="1223"/>
      <c r="N161" s="1223"/>
      <c r="O161" s="1223"/>
      <c r="P161" s="1223"/>
      <c r="Q161" s="1223"/>
      <c r="R161" s="1223"/>
      <c r="S161" s="1223"/>
      <c r="T161" s="1223"/>
      <c r="U161" s="1223"/>
    </row>
    <row r="162" spans="7:21" ht="15.6">
      <c r="G162" s="1224"/>
      <c r="H162" s="1223"/>
      <c r="I162" s="1223"/>
      <c r="J162" s="1223"/>
      <c r="K162" s="1223"/>
      <c r="L162" s="1223"/>
      <c r="M162" s="1223"/>
      <c r="N162" s="1223"/>
      <c r="O162" s="1223"/>
      <c r="P162" s="1223"/>
      <c r="Q162" s="1223"/>
      <c r="R162" s="1223"/>
      <c r="S162" s="1223"/>
      <c r="T162" s="1223"/>
      <c r="U162" s="1223"/>
    </row>
    <row r="163" spans="7:21" ht="15.6">
      <c r="G163" s="1224"/>
      <c r="H163" s="1223"/>
      <c r="I163" s="1223"/>
      <c r="J163" s="1223"/>
      <c r="K163" s="1223"/>
      <c r="L163" s="1223"/>
      <c r="M163" s="1223"/>
      <c r="N163" s="1223"/>
      <c r="O163" s="1223"/>
      <c r="P163" s="1223"/>
      <c r="Q163" s="1223"/>
      <c r="R163" s="1223"/>
      <c r="S163" s="1223"/>
      <c r="T163" s="1223"/>
      <c r="U163" s="1223"/>
    </row>
    <row r="164" spans="7:21" ht="15.6">
      <c r="G164" s="1224"/>
      <c r="H164" s="1223"/>
      <c r="I164" s="1223"/>
      <c r="J164" s="1223"/>
      <c r="K164" s="1223"/>
      <c r="L164" s="1223"/>
      <c r="M164" s="1223"/>
      <c r="N164" s="1223"/>
      <c r="O164" s="1223"/>
      <c r="P164" s="1223"/>
      <c r="Q164" s="1223"/>
      <c r="R164" s="1223"/>
      <c r="S164" s="1223"/>
      <c r="T164" s="1223"/>
      <c r="U164" s="1223"/>
    </row>
    <row r="165" spans="7:21" ht="15.6">
      <c r="G165" s="1224"/>
      <c r="H165" s="1223"/>
      <c r="I165" s="1223"/>
      <c r="J165" s="1223"/>
      <c r="K165" s="1223"/>
      <c r="L165" s="1223"/>
      <c r="M165" s="1223"/>
      <c r="N165" s="1223"/>
      <c r="O165" s="1223"/>
      <c r="P165" s="1223"/>
      <c r="Q165" s="1223"/>
      <c r="R165" s="1223"/>
      <c r="S165" s="1223"/>
      <c r="T165" s="1223"/>
      <c r="U165" s="1223"/>
    </row>
    <row r="166" spans="7:21" ht="15.6">
      <c r="G166" s="1224"/>
      <c r="H166" s="1223"/>
      <c r="I166" s="1223"/>
      <c r="J166" s="1223"/>
      <c r="K166" s="1223"/>
      <c r="L166" s="1223"/>
      <c r="M166" s="1223"/>
      <c r="N166" s="1223"/>
      <c r="O166" s="1223"/>
      <c r="P166" s="1223"/>
      <c r="Q166" s="1223"/>
      <c r="R166" s="1223"/>
      <c r="S166" s="1223"/>
      <c r="T166" s="1223"/>
      <c r="U166" s="1223"/>
    </row>
    <row r="167" spans="7:21" ht="15.6">
      <c r="G167" s="1224"/>
      <c r="H167" s="1223"/>
      <c r="I167" s="1223"/>
      <c r="J167" s="1223"/>
      <c r="K167" s="1223"/>
      <c r="L167" s="1223"/>
      <c r="M167" s="1223"/>
      <c r="N167" s="1223"/>
      <c r="O167" s="1223"/>
      <c r="P167" s="1223"/>
      <c r="Q167" s="1223"/>
      <c r="R167" s="1223"/>
      <c r="S167" s="1223"/>
      <c r="T167" s="1223"/>
      <c r="U167" s="1223"/>
    </row>
    <row r="168" spans="7:21" ht="15.6">
      <c r="G168" s="1224"/>
      <c r="H168" s="1223"/>
      <c r="I168" s="1223"/>
      <c r="J168" s="1223"/>
      <c r="K168" s="1223"/>
      <c r="L168" s="1223"/>
      <c r="M168" s="1223"/>
      <c r="N168" s="1223"/>
      <c r="O168" s="1223"/>
      <c r="P168" s="1223"/>
      <c r="Q168" s="1223"/>
      <c r="R168" s="1223"/>
      <c r="S168" s="1223"/>
      <c r="T168" s="1223"/>
      <c r="U168" s="1223"/>
    </row>
    <row r="169" spans="7:21" ht="15.6">
      <c r="G169" s="1224"/>
      <c r="H169" s="1223"/>
      <c r="I169" s="1223"/>
      <c r="J169" s="1223"/>
      <c r="K169" s="1223"/>
      <c r="L169" s="1223"/>
      <c r="M169" s="1223"/>
      <c r="N169" s="1223"/>
      <c r="O169" s="1223"/>
      <c r="P169" s="1223"/>
      <c r="Q169" s="1223"/>
      <c r="R169" s="1223"/>
      <c r="S169" s="1223"/>
      <c r="T169" s="1223"/>
      <c r="U169" s="1223"/>
    </row>
    <row r="170" spans="7:21" ht="15.6">
      <c r="G170" s="1224"/>
      <c r="H170" s="1223"/>
      <c r="I170" s="1223"/>
      <c r="J170" s="1223"/>
      <c r="K170" s="1223"/>
      <c r="L170" s="1223"/>
      <c r="M170" s="1223"/>
      <c r="N170" s="1223"/>
      <c r="O170" s="1223"/>
      <c r="P170" s="1223"/>
      <c r="Q170" s="1223"/>
      <c r="R170" s="1223"/>
      <c r="S170" s="1223"/>
      <c r="T170" s="1223"/>
      <c r="U170" s="1223"/>
    </row>
    <row r="171" spans="7:21" ht="15.6">
      <c r="G171" s="1224"/>
      <c r="H171" s="1223"/>
      <c r="I171" s="1223"/>
      <c r="J171" s="1223"/>
      <c r="K171" s="1223"/>
      <c r="L171" s="1223"/>
      <c r="M171" s="1223"/>
      <c r="N171" s="1223"/>
      <c r="O171" s="1223"/>
      <c r="P171" s="1223"/>
      <c r="Q171" s="1223"/>
      <c r="R171" s="1223"/>
      <c r="S171" s="1223"/>
      <c r="T171" s="1223"/>
      <c r="U171" s="1223"/>
    </row>
    <row r="172" spans="7:21" ht="15.6">
      <c r="G172" s="1224"/>
      <c r="H172" s="1223"/>
      <c r="I172" s="1223"/>
      <c r="J172" s="1223"/>
      <c r="K172" s="1223"/>
      <c r="L172" s="1223"/>
      <c r="M172" s="1223"/>
      <c r="N172" s="1223"/>
      <c r="O172" s="1223"/>
      <c r="P172" s="1223"/>
      <c r="Q172" s="1223"/>
      <c r="R172" s="1223"/>
      <c r="S172" s="1223"/>
      <c r="T172" s="1223"/>
      <c r="U172" s="1223"/>
    </row>
    <row r="173" spans="7:21" ht="15.6">
      <c r="G173" s="1224"/>
      <c r="H173" s="1223"/>
      <c r="I173" s="1223"/>
      <c r="J173" s="1223"/>
      <c r="K173" s="1223"/>
      <c r="L173" s="1223"/>
      <c r="M173" s="1223"/>
      <c r="N173" s="1223"/>
      <c r="O173" s="1223"/>
      <c r="P173" s="1223"/>
      <c r="Q173" s="1223"/>
      <c r="R173" s="1223"/>
      <c r="S173" s="1223"/>
      <c r="T173" s="1223"/>
      <c r="U173" s="1223"/>
    </row>
    <row r="174" spans="7:21" ht="15.6">
      <c r="G174" s="1224"/>
      <c r="H174" s="1223"/>
      <c r="I174" s="1223"/>
      <c r="J174" s="1223"/>
      <c r="K174" s="1223"/>
      <c r="L174" s="1223"/>
      <c r="M174" s="1223"/>
      <c r="N174" s="1223"/>
      <c r="O174" s="1223"/>
      <c r="P174" s="1223"/>
      <c r="Q174" s="1223"/>
      <c r="R174" s="1223"/>
      <c r="S174" s="1223"/>
      <c r="T174" s="1223"/>
      <c r="U174" s="1223"/>
    </row>
    <row r="175" spans="7:21" ht="15.6">
      <c r="G175" s="1224"/>
      <c r="H175" s="1223"/>
      <c r="I175" s="1223"/>
      <c r="J175" s="1223"/>
      <c r="K175" s="1223"/>
      <c r="L175" s="1223"/>
      <c r="M175" s="1223"/>
      <c r="N175" s="1223"/>
      <c r="O175" s="1223"/>
      <c r="P175" s="1223"/>
      <c r="Q175" s="1223"/>
      <c r="R175" s="1223"/>
      <c r="S175" s="1223"/>
      <c r="T175" s="1223"/>
      <c r="U175" s="1223"/>
    </row>
    <row r="176" spans="7:21" ht="15.6">
      <c r="G176" s="1224"/>
      <c r="H176" s="1223"/>
      <c r="I176" s="1223"/>
      <c r="J176" s="1223"/>
      <c r="K176" s="1223"/>
      <c r="L176" s="1223"/>
      <c r="M176" s="1223"/>
      <c r="N176" s="1223"/>
      <c r="O176" s="1223"/>
      <c r="P176" s="1223"/>
      <c r="Q176" s="1223"/>
      <c r="R176" s="1223"/>
      <c r="S176" s="1223"/>
      <c r="T176" s="1223"/>
      <c r="U176" s="1223"/>
    </row>
    <row r="177" spans="7:21" ht="15.6">
      <c r="G177" s="1224"/>
      <c r="H177" s="1223"/>
      <c r="I177" s="1223"/>
      <c r="J177" s="1223"/>
      <c r="K177" s="1223"/>
      <c r="L177" s="1223"/>
      <c r="M177" s="1223"/>
      <c r="N177" s="1223"/>
      <c r="O177" s="1223"/>
      <c r="P177" s="1223"/>
      <c r="Q177" s="1223"/>
      <c r="R177" s="1223"/>
      <c r="S177" s="1223"/>
      <c r="T177" s="1223"/>
      <c r="U177" s="1223"/>
    </row>
    <row r="178" spans="7:21" ht="15.6">
      <c r="G178" s="1224"/>
      <c r="H178" s="1223"/>
      <c r="I178" s="1223"/>
      <c r="J178" s="1223"/>
      <c r="K178" s="1223"/>
      <c r="L178" s="1223"/>
      <c r="M178" s="1223"/>
      <c r="N178" s="1223"/>
      <c r="O178" s="1223"/>
      <c r="P178" s="1223"/>
      <c r="Q178" s="1223"/>
      <c r="R178" s="1223"/>
      <c r="S178" s="1223"/>
      <c r="T178" s="1223"/>
      <c r="U178" s="1223"/>
    </row>
    <row r="179" spans="7:21" ht="15.6">
      <c r="G179" s="1224"/>
      <c r="H179" s="1223"/>
      <c r="I179" s="1223"/>
      <c r="J179" s="1223"/>
      <c r="K179" s="1223"/>
      <c r="L179" s="1223"/>
      <c r="M179" s="1223"/>
      <c r="N179" s="1223"/>
      <c r="O179" s="1223"/>
      <c r="P179" s="1223"/>
      <c r="Q179" s="1223"/>
      <c r="R179" s="1223"/>
      <c r="S179" s="1223"/>
      <c r="T179" s="1223"/>
      <c r="U179" s="1223"/>
    </row>
    <row r="180" spans="7:21" ht="15.6">
      <c r="G180" s="1224"/>
      <c r="H180" s="1223"/>
      <c r="I180" s="1223"/>
      <c r="J180" s="1223"/>
      <c r="K180" s="1223"/>
      <c r="L180" s="1223"/>
      <c r="M180" s="1223"/>
      <c r="N180" s="1223"/>
      <c r="O180" s="1223"/>
      <c r="P180" s="1223"/>
      <c r="Q180" s="1223"/>
      <c r="R180" s="1223"/>
      <c r="S180" s="1223"/>
      <c r="T180" s="1223"/>
      <c r="U180" s="1223"/>
    </row>
    <row r="181" spans="7:21" ht="15.6">
      <c r="G181" s="1224"/>
      <c r="H181" s="1223"/>
      <c r="I181" s="1223"/>
      <c r="J181" s="1223"/>
      <c r="K181" s="1223"/>
      <c r="L181" s="1223"/>
      <c r="M181" s="1223"/>
      <c r="N181" s="1223"/>
      <c r="O181" s="1223"/>
      <c r="P181" s="1223"/>
      <c r="Q181" s="1223"/>
      <c r="R181" s="1223"/>
      <c r="S181" s="1223"/>
      <c r="T181" s="1223"/>
      <c r="U181" s="1223"/>
    </row>
    <row r="182" spans="7:21" ht="15.6">
      <c r="G182" s="1224"/>
      <c r="H182" s="1223"/>
      <c r="I182" s="1223"/>
      <c r="J182" s="1223"/>
      <c r="K182" s="1223"/>
      <c r="L182" s="1223"/>
      <c r="M182" s="1223"/>
      <c r="N182" s="1223"/>
      <c r="O182" s="1223"/>
      <c r="P182" s="1223"/>
      <c r="Q182" s="1223"/>
      <c r="R182" s="1223"/>
      <c r="S182" s="1223"/>
      <c r="T182" s="1223"/>
      <c r="U182" s="1223"/>
    </row>
    <row r="183" spans="7:21" ht="15.6">
      <c r="G183" s="1224"/>
      <c r="H183" s="1223"/>
      <c r="I183" s="1223"/>
      <c r="J183" s="1223"/>
      <c r="K183" s="1223"/>
      <c r="L183" s="1223"/>
      <c r="M183" s="1223"/>
      <c r="N183" s="1223"/>
      <c r="O183" s="1223"/>
      <c r="P183" s="1223"/>
      <c r="Q183" s="1223"/>
      <c r="R183" s="1223"/>
      <c r="S183" s="1223"/>
      <c r="T183" s="1223"/>
      <c r="U183" s="1223"/>
    </row>
    <row r="184" spans="7:21" ht="15.6">
      <c r="G184" s="1224"/>
      <c r="H184" s="1223"/>
      <c r="I184" s="1223"/>
      <c r="J184" s="1223"/>
      <c r="K184" s="1223"/>
      <c r="L184" s="1223"/>
      <c r="M184" s="1223"/>
      <c r="N184" s="1223"/>
      <c r="O184" s="1223"/>
      <c r="P184" s="1223"/>
      <c r="Q184" s="1223"/>
      <c r="R184" s="1223"/>
      <c r="S184" s="1223"/>
      <c r="T184" s="1223"/>
      <c r="U184" s="1223"/>
    </row>
    <row r="185" spans="7:21" ht="15.6">
      <c r="G185" s="1224"/>
      <c r="H185" s="1223"/>
      <c r="I185" s="1223"/>
      <c r="J185" s="1223"/>
      <c r="K185" s="1223"/>
      <c r="L185" s="1223"/>
      <c r="M185" s="1223"/>
      <c r="N185" s="1223"/>
      <c r="O185" s="1223"/>
      <c r="P185" s="1223"/>
      <c r="Q185" s="1223"/>
      <c r="R185" s="1223"/>
      <c r="S185" s="1223"/>
      <c r="T185" s="1223"/>
      <c r="U185" s="1223"/>
    </row>
    <row r="186" spans="7:21" ht="15.6">
      <c r="G186" s="1224"/>
      <c r="H186" s="1223"/>
      <c r="I186" s="1223"/>
      <c r="J186" s="1223"/>
      <c r="K186" s="1223"/>
      <c r="L186" s="1223"/>
      <c r="M186" s="1223"/>
      <c r="N186" s="1223"/>
      <c r="O186" s="1223"/>
      <c r="P186" s="1223"/>
      <c r="Q186" s="1223"/>
      <c r="R186" s="1223"/>
      <c r="S186" s="1223"/>
      <c r="T186" s="1223"/>
      <c r="U186" s="1223"/>
    </row>
    <row r="187" spans="7:21" ht="15.6">
      <c r="G187" s="1224"/>
      <c r="H187" s="1223"/>
      <c r="I187" s="1223"/>
      <c r="J187" s="1223"/>
      <c r="K187" s="1223"/>
      <c r="L187" s="1223"/>
      <c r="M187" s="1223"/>
      <c r="N187" s="1223"/>
      <c r="O187" s="1223"/>
      <c r="P187" s="1223"/>
      <c r="Q187" s="1223"/>
      <c r="R187" s="1223"/>
      <c r="S187" s="1223"/>
      <c r="T187" s="1223"/>
      <c r="U187" s="1223"/>
    </row>
    <row r="188" spans="7:21" ht="15.6">
      <c r="G188" s="1224"/>
      <c r="H188" s="1223"/>
      <c r="I188" s="1223"/>
      <c r="J188" s="1223"/>
      <c r="K188" s="1223"/>
      <c r="L188" s="1223"/>
      <c r="M188" s="1223"/>
      <c r="N188" s="1223"/>
      <c r="O188" s="1223"/>
      <c r="P188" s="1223"/>
      <c r="Q188" s="1223"/>
      <c r="R188" s="1223"/>
      <c r="S188" s="1223"/>
      <c r="T188" s="1223"/>
      <c r="U188" s="1223"/>
    </row>
    <row r="189" spans="7:21" ht="15.6">
      <c r="G189" s="1224"/>
      <c r="H189" s="1223"/>
      <c r="I189" s="1223"/>
      <c r="J189" s="1223"/>
      <c r="K189" s="1223"/>
      <c r="L189" s="1223"/>
      <c r="M189" s="1223"/>
      <c r="N189" s="1223"/>
      <c r="O189" s="1223"/>
      <c r="P189" s="1223"/>
      <c r="Q189" s="1223"/>
      <c r="R189" s="1223"/>
      <c r="S189" s="1223"/>
      <c r="T189" s="1223"/>
      <c r="U189" s="1223"/>
    </row>
    <row r="190" spans="7:21" ht="15.6">
      <c r="G190" s="1224"/>
      <c r="H190" s="1223"/>
      <c r="I190" s="1223"/>
      <c r="J190" s="1223"/>
      <c r="K190" s="1223"/>
      <c r="L190" s="1223"/>
      <c r="M190" s="1223"/>
      <c r="N190" s="1223"/>
      <c r="O190" s="1223"/>
      <c r="P190" s="1223"/>
      <c r="Q190" s="1223"/>
      <c r="R190" s="1223"/>
      <c r="S190" s="1223"/>
      <c r="T190" s="1223"/>
      <c r="U190" s="1223"/>
    </row>
    <row r="191" spans="7:21" ht="15.6">
      <c r="G191" s="1224"/>
      <c r="H191" s="1223"/>
      <c r="I191" s="1223"/>
      <c r="J191" s="1223"/>
      <c r="K191" s="1223"/>
      <c r="L191" s="1223"/>
      <c r="M191" s="1223"/>
      <c r="N191" s="1223"/>
      <c r="O191" s="1223"/>
      <c r="P191" s="1223"/>
      <c r="Q191" s="1223"/>
      <c r="R191" s="1223"/>
      <c r="S191" s="1223"/>
      <c r="T191" s="1223"/>
      <c r="U191" s="1223"/>
    </row>
    <row r="192" spans="7:21" ht="15.6">
      <c r="G192" s="1224"/>
      <c r="H192" s="1223"/>
      <c r="I192" s="1223"/>
      <c r="J192" s="1223"/>
      <c r="K192" s="1223"/>
      <c r="L192" s="1223"/>
      <c r="M192" s="1223"/>
      <c r="N192" s="1223"/>
      <c r="O192" s="1223"/>
      <c r="P192" s="1223"/>
      <c r="Q192" s="1223"/>
      <c r="R192" s="1223"/>
      <c r="S192" s="1223"/>
      <c r="T192" s="1223"/>
      <c r="U192" s="1223"/>
    </row>
    <row r="193" spans="7:21" ht="15.6">
      <c r="G193" s="1224"/>
      <c r="H193" s="1223"/>
      <c r="I193" s="1223"/>
      <c r="J193" s="1223"/>
      <c r="K193" s="1223"/>
      <c r="L193" s="1223"/>
      <c r="M193" s="1223"/>
      <c r="N193" s="1223"/>
      <c r="O193" s="1223"/>
      <c r="P193" s="1223"/>
      <c r="Q193" s="1223"/>
      <c r="R193" s="1223"/>
      <c r="S193" s="1223"/>
      <c r="T193" s="1223"/>
      <c r="U193" s="1223"/>
    </row>
    <row r="194" spans="7:21" ht="15.6">
      <c r="G194" s="1224"/>
      <c r="H194" s="1223"/>
      <c r="I194" s="1223"/>
      <c r="J194" s="1223"/>
      <c r="K194" s="1223"/>
      <c r="L194" s="1223"/>
      <c r="M194" s="1223"/>
      <c r="N194" s="1223"/>
      <c r="O194" s="1223"/>
      <c r="P194" s="1223"/>
      <c r="Q194" s="1223"/>
      <c r="R194" s="1223"/>
      <c r="S194" s="1223"/>
      <c r="T194" s="1223"/>
      <c r="U194" s="1223"/>
    </row>
    <row r="195" spans="7:21" ht="15.6">
      <c r="G195" s="1224"/>
      <c r="H195" s="1223"/>
      <c r="I195" s="1223"/>
      <c r="J195" s="1223"/>
      <c r="K195" s="1223"/>
      <c r="L195" s="1223"/>
      <c r="M195" s="1223"/>
      <c r="N195" s="1223"/>
      <c r="O195" s="1223"/>
      <c r="P195" s="1223"/>
      <c r="Q195" s="1223"/>
      <c r="R195" s="1223"/>
      <c r="S195" s="1223"/>
      <c r="T195" s="1223"/>
      <c r="U195" s="1223"/>
    </row>
    <row r="196" spans="7:21" ht="15.6">
      <c r="G196" s="1224"/>
      <c r="H196" s="1223"/>
      <c r="I196" s="1223"/>
      <c r="J196" s="1223"/>
      <c r="K196" s="1223"/>
      <c r="L196" s="1223"/>
      <c r="M196" s="1223"/>
      <c r="N196" s="1223"/>
      <c r="O196" s="1223"/>
      <c r="P196" s="1223"/>
      <c r="Q196" s="1223"/>
      <c r="R196" s="1223"/>
      <c r="S196" s="1223"/>
      <c r="T196" s="1223"/>
      <c r="U196" s="1223"/>
    </row>
    <row r="197" spans="7:21" ht="15.6">
      <c r="G197" s="1224"/>
      <c r="H197" s="1223"/>
      <c r="I197" s="1223"/>
      <c r="J197" s="1223"/>
      <c r="K197" s="1223"/>
      <c r="L197" s="1223"/>
      <c r="M197" s="1223"/>
      <c r="N197" s="1223"/>
      <c r="O197" s="1223"/>
      <c r="P197" s="1223"/>
      <c r="Q197" s="1223"/>
      <c r="R197" s="1223"/>
      <c r="S197" s="1223"/>
      <c r="T197" s="1223"/>
      <c r="U197" s="1223"/>
    </row>
    <row r="198" spans="7:21" ht="15.6">
      <c r="G198" s="1224"/>
      <c r="H198" s="1223"/>
      <c r="I198" s="1223"/>
      <c r="J198" s="1223"/>
      <c r="K198" s="1223"/>
      <c r="L198" s="1223"/>
      <c r="M198" s="1223"/>
      <c r="N198" s="1223"/>
      <c r="O198" s="1223"/>
      <c r="P198" s="1223"/>
      <c r="Q198" s="1223"/>
      <c r="R198" s="1223"/>
      <c r="S198" s="1223"/>
      <c r="T198" s="1223"/>
      <c r="U198" s="1223"/>
    </row>
    <row r="199" spans="7:21" ht="15.6">
      <c r="G199" s="1224"/>
      <c r="H199" s="1223"/>
      <c r="I199" s="1223"/>
      <c r="J199" s="1223"/>
      <c r="K199" s="1223"/>
      <c r="L199" s="1223"/>
      <c r="M199" s="1223"/>
      <c r="N199" s="1223"/>
      <c r="O199" s="1223"/>
      <c r="P199" s="1223"/>
      <c r="Q199" s="1223"/>
      <c r="R199" s="1223"/>
      <c r="S199" s="1223"/>
      <c r="T199" s="1223"/>
      <c r="U199" s="1223"/>
    </row>
    <row r="200" spans="7:21" ht="15.6">
      <c r="G200" s="1224"/>
      <c r="H200" s="1223"/>
      <c r="I200" s="1223"/>
      <c r="J200" s="1223"/>
      <c r="K200" s="1223"/>
      <c r="L200" s="1223"/>
      <c r="M200" s="1223"/>
      <c r="N200" s="1223"/>
      <c r="O200" s="1223"/>
      <c r="P200" s="1223"/>
      <c r="Q200" s="1223"/>
      <c r="R200" s="1223"/>
      <c r="S200" s="1223"/>
      <c r="T200" s="1223"/>
      <c r="U200" s="1223"/>
    </row>
    <row r="201" spans="7:21" ht="15.6">
      <c r="G201" s="1224"/>
      <c r="H201" s="1223"/>
      <c r="I201" s="1223"/>
      <c r="J201" s="1223"/>
      <c r="K201" s="1223"/>
      <c r="L201" s="1223"/>
      <c r="M201" s="1223"/>
      <c r="N201" s="1223"/>
      <c r="O201" s="1223"/>
      <c r="P201" s="1223"/>
      <c r="Q201" s="1223"/>
      <c r="R201" s="1223"/>
      <c r="S201" s="1223"/>
      <c r="T201" s="1223"/>
      <c r="U201" s="1223"/>
    </row>
    <row r="202" spans="7:21" ht="15.6">
      <c r="G202" s="1224"/>
      <c r="H202" s="1223"/>
      <c r="I202" s="1223"/>
      <c r="J202" s="1223"/>
      <c r="K202" s="1223"/>
      <c r="L202" s="1223"/>
      <c r="M202" s="1223"/>
      <c r="N202" s="1223"/>
      <c r="O202" s="1223"/>
      <c r="P202" s="1223"/>
      <c r="Q202" s="1223"/>
      <c r="R202" s="1223"/>
      <c r="S202" s="1223"/>
      <c r="T202" s="1223"/>
      <c r="U202" s="1223"/>
    </row>
    <row r="203" spans="7:21" ht="15.6">
      <c r="G203" s="1224"/>
      <c r="H203" s="1223"/>
      <c r="I203" s="1223"/>
      <c r="J203" s="1223"/>
      <c r="K203" s="1223"/>
      <c r="L203" s="1223"/>
      <c r="M203" s="1223"/>
      <c r="N203" s="1223"/>
      <c r="O203" s="1223"/>
      <c r="P203" s="1223"/>
      <c r="Q203" s="1223"/>
      <c r="R203" s="1223"/>
      <c r="S203" s="1223"/>
      <c r="T203" s="1223"/>
      <c r="U203" s="1223"/>
    </row>
    <row r="204" spans="7:21" ht="15.6">
      <c r="G204" s="1224"/>
      <c r="H204" s="1223"/>
      <c r="I204" s="1223"/>
      <c r="J204" s="1223"/>
      <c r="K204" s="1223"/>
      <c r="L204" s="1223"/>
      <c r="M204" s="1223"/>
      <c r="N204" s="1223"/>
      <c r="O204" s="1223"/>
      <c r="P204" s="1223"/>
      <c r="Q204" s="1223"/>
      <c r="R204" s="1223"/>
      <c r="S204" s="1223"/>
      <c r="T204" s="1223"/>
      <c r="U204" s="1223"/>
    </row>
    <row r="205" spans="7:21" ht="15.6">
      <c r="G205" s="1224"/>
      <c r="H205" s="1223"/>
      <c r="I205" s="1223"/>
      <c r="J205" s="1223"/>
      <c r="K205" s="1223"/>
      <c r="L205" s="1223"/>
      <c r="M205" s="1223"/>
      <c r="N205" s="1223"/>
      <c r="O205" s="1223"/>
      <c r="P205" s="1223"/>
      <c r="Q205" s="1223"/>
      <c r="R205" s="1223"/>
      <c r="S205" s="1223"/>
      <c r="T205" s="1223"/>
      <c r="U205" s="1223"/>
    </row>
    <row r="206" spans="7:21" ht="15.6">
      <c r="G206" s="1224"/>
      <c r="H206" s="1223"/>
      <c r="I206" s="1223"/>
      <c r="J206" s="1223"/>
      <c r="K206" s="1223"/>
      <c r="L206" s="1223"/>
      <c r="M206" s="1223"/>
      <c r="N206" s="1223"/>
      <c r="O206" s="1223"/>
      <c r="P206" s="1223"/>
      <c r="Q206" s="1223"/>
      <c r="R206" s="1223"/>
      <c r="S206" s="1223"/>
      <c r="T206" s="1223"/>
      <c r="U206" s="1223"/>
    </row>
    <row r="207" spans="7:21" ht="15.6">
      <c r="G207" s="1224"/>
      <c r="H207" s="1223"/>
      <c r="I207" s="1223"/>
      <c r="J207" s="1223"/>
      <c r="K207" s="1223"/>
      <c r="L207" s="1223"/>
      <c r="M207" s="1223"/>
      <c r="N207" s="1223"/>
      <c r="O207" s="1223"/>
      <c r="P207" s="1223"/>
      <c r="Q207" s="1223"/>
      <c r="R207" s="1223"/>
      <c r="S207" s="1223"/>
      <c r="T207" s="1223"/>
      <c r="U207" s="1223"/>
    </row>
    <row r="208" spans="7:21" ht="15.6">
      <c r="G208" s="1224"/>
      <c r="H208" s="1223"/>
      <c r="I208" s="1223"/>
      <c r="J208" s="1223"/>
      <c r="K208" s="1223"/>
      <c r="L208" s="1223"/>
      <c r="M208" s="1223"/>
      <c r="N208" s="1223"/>
      <c r="O208" s="1223"/>
      <c r="P208" s="1223"/>
      <c r="Q208" s="1223"/>
      <c r="R208" s="1223"/>
      <c r="S208" s="1223"/>
      <c r="T208" s="1223"/>
      <c r="U208" s="1223"/>
    </row>
    <row r="209" spans="7:21" ht="15.6">
      <c r="G209" s="1224"/>
      <c r="H209" s="1223"/>
      <c r="I209" s="1223"/>
      <c r="J209" s="1223"/>
      <c r="K209" s="1223"/>
      <c r="L209" s="1223"/>
      <c r="M209" s="1223"/>
      <c r="N209" s="1223"/>
      <c r="O209" s="1223"/>
      <c r="P209" s="1223"/>
      <c r="Q209" s="1223"/>
      <c r="R209" s="1223"/>
      <c r="S209" s="1223"/>
      <c r="T209" s="1223"/>
      <c r="U209" s="1223"/>
    </row>
    <row r="210" spans="7:21" ht="15.6">
      <c r="G210" s="1224"/>
      <c r="H210" s="1223"/>
      <c r="I210" s="1223"/>
      <c r="J210" s="1223"/>
      <c r="K210" s="1223"/>
      <c r="L210" s="1223"/>
      <c r="M210" s="1223"/>
      <c r="N210" s="1223"/>
      <c r="O210" s="1223"/>
      <c r="P210" s="1223"/>
      <c r="Q210" s="1223"/>
      <c r="R210" s="1223"/>
      <c r="S210" s="1223"/>
      <c r="T210" s="1223"/>
      <c r="U210" s="1223"/>
    </row>
    <row r="211" spans="7:21" ht="15.6">
      <c r="G211" s="1224"/>
      <c r="H211" s="1223"/>
      <c r="I211" s="1223"/>
      <c r="J211" s="1223"/>
      <c r="K211" s="1223"/>
      <c r="L211" s="1223"/>
      <c r="M211" s="1223"/>
      <c r="N211" s="1223"/>
      <c r="O211" s="1223"/>
      <c r="P211" s="1223"/>
      <c r="Q211" s="1223"/>
      <c r="R211" s="1223"/>
      <c r="S211" s="1223"/>
      <c r="T211" s="1223"/>
      <c r="U211" s="1223"/>
    </row>
    <row r="212" spans="7:21" ht="15.6">
      <c r="G212" s="1224"/>
      <c r="H212" s="1223"/>
      <c r="I212" s="1223"/>
      <c r="J212" s="1223"/>
      <c r="K212" s="1223"/>
      <c r="L212" s="1223"/>
      <c r="M212" s="1223"/>
      <c r="N212" s="1223"/>
      <c r="O212" s="1223"/>
      <c r="P212" s="1223"/>
      <c r="Q212" s="1223"/>
      <c r="R212" s="1223"/>
      <c r="S212" s="1223"/>
      <c r="T212" s="1223"/>
      <c r="U212" s="1223"/>
    </row>
    <row r="213" spans="7:21" ht="15.6">
      <c r="G213" s="1224"/>
      <c r="H213" s="1223"/>
      <c r="I213" s="1223"/>
      <c r="J213" s="1223"/>
      <c r="K213" s="1223"/>
      <c r="L213" s="1223"/>
      <c r="M213" s="1223"/>
      <c r="N213" s="1223"/>
      <c r="O213" s="1223"/>
      <c r="P213" s="1223"/>
      <c r="Q213" s="1223"/>
      <c r="R213" s="1223"/>
      <c r="S213" s="1223"/>
      <c r="T213" s="1223"/>
      <c r="U213" s="1223"/>
    </row>
    <row r="214" spans="7:21" ht="15.6">
      <c r="G214" s="1224"/>
      <c r="H214" s="1223"/>
      <c r="I214" s="1223"/>
      <c r="J214" s="1223"/>
      <c r="K214" s="1223"/>
      <c r="L214" s="1223"/>
      <c r="M214" s="1223"/>
      <c r="N214" s="1223"/>
      <c r="O214" s="1223"/>
      <c r="P214" s="1223"/>
      <c r="Q214" s="1223"/>
      <c r="R214" s="1223"/>
      <c r="S214" s="1223"/>
      <c r="T214" s="1223"/>
      <c r="U214" s="1223"/>
    </row>
    <row r="215" spans="7:21" ht="15.6">
      <c r="G215" s="1224"/>
      <c r="H215" s="1223"/>
      <c r="I215" s="1223"/>
      <c r="J215" s="1223"/>
      <c r="K215" s="1223"/>
      <c r="L215" s="1223"/>
      <c r="M215" s="1223"/>
      <c r="N215" s="1223"/>
      <c r="O215" s="1223"/>
      <c r="P215" s="1223"/>
      <c r="Q215" s="1223"/>
      <c r="R215" s="1223"/>
      <c r="S215" s="1223"/>
      <c r="T215" s="1223"/>
      <c r="U215" s="1223"/>
    </row>
    <row r="216" spans="7:21" ht="15.6">
      <c r="G216" s="1224"/>
      <c r="H216" s="1223"/>
      <c r="I216" s="1223"/>
      <c r="J216" s="1223"/>
      <c r="K216" s="1223"/>
      <c r="L216" s="1223"/>
      <c r="M216" s="1223"/>
      <c r="N216" s="1223"/>
      <c r="O216" s="1223"/>
      <c r="P216" s="1223"/>
      <c r="Q216" s="1223"/>
      <c r="R216" s="1223"/>
      <c r="S216" s="1223"/>
      <c r="T216" s="1223"/>
      <c r="U216" s="1223"/>
    </row>
    <row r="217" spans="7:21" ht="15.6">
      <c r="G217" s="1224"/>
      <c r="H217" s="1223"/>
      <c r="I217" s="1223"/>
      <c r="J217" s="1223"/>
      <c r="K217" s="1223"/>
      <c r="L217" s="1223"/>
      <c r="M217" s="1223"/>
      <c r="N217" s="1223"/>
      <c r="O217" s="1223"/>
      <c r="P217" s="1223"/>
      <c r="Q217" s="1223"/>
      <c r="R217" s="1223"/>
      <c r="S217" s="1223"/>
      <c r="T217" s="1223"/>
      <c r="U217" s="1223"/>
    </row>
    <row r="218" spans="7:21" ht="15.6">
      <c r="G218" s="1224"/>
      <c r="H218" s="1223"/>
      <c r="I218" s="1223"/>
      <c r="J218" s="1223"/>
      <c r="K218" s="1223"/>
      <c r="L218" s="1223"/>
      <c r="M218" s="1223"/>
      <c r="N218" s="1223"/>
      <c r="O218" s="1223"/>
      <c r="P218" s="1223"/>
      <c r="Q218" s="1223"/>
      <c r="R218" s="1223"/>
      <c r="S218" s="1223"/>
      <c r="T218" s="1223"/>
      <c r="U218" s="1223"/>
    </row>
    <row r="219" spans="7:21" ht="15.6">
      <c r="G219" s="1224"/>
      <c r="H219" s="1223"/>
      <c r="I219" s="1223"/>
      <c r="J219" s="1223"/>
      <c r="K219" s="1223"/>
      <c r="L219" s="1223"/>
      <c r="M219" s="1223"/>
      <c r="N219" s="1223"/>
      <c r="O219" s="1223"/>
      <c r="P219" s="1223"/>
      <c r="Q219" s="1223"/>
      <c r="R219" s="1223"/>
      <c r="S219" s="1223"/>
      <c r="T219" s="1223"/>
      <c r="U219" s="1223"/>
    </row>
    <row r="220" spans="7:21" ht="15.6">
      <c r="G220" s="1224"/>
      <c r="H220" s="1223"/>
      <c r="I220" s="1223"/>
      <c r="J220" s="1223"/>
      <c r="K220" s="1223"/>
      <c r="L220" s="1223"/>
      <c r="M220" s="1223"/>
      <c r="N220" s="1223"/>
      <c r="O220" s="1223"/>
      <c r="P220" s="1223"/>
      <c r="Q220" s="1223"/>
      <c r="R220" s="1223"/>
      <c r="S220" s="1223"/>
      <c r="T220" s="1223"/>
      <c r="U220" s="1223"/>
    </row>
    <row r="221" spans="7:21" ht="15.6">
      <c r="G221" s="1224"/>
      <c r="H221" s="1223"/>
      <c r="I221" s="1223"/>
      <c r="J221" s="1223"/>
      <c r="K221" s="1223"/>
      <c r="L221" s="1223"/>
      <c r="M221" s="1223"/>
      <c r="N221" s="1223"/>
      <c r="O221" s="1223"/>
      <c r="P221" s="1223"/>
      <c r="Q221" s="1223"/>
      <c r="R221" s="1223"/>
      <c r="S221" s="1223"/>
      <c r="T221" s="1223"/>
      <c r="U221" s="1223"/>
    </row>
    <row r="222" spans="7:21" ht="15.6">
      <c r="G222" s="1224"/>
      <c r="H222" s="1223"/>
      <c r="I222" s="1223"/>
      <c r="J222" s="1223"/>
      <c r="K222" s="1223"/>
      <c r="L222" s="1223"/>
      <c r="M222" s="1223"/>
      <c r="N222" s="1223"/>
      <c r="O222" s="1223"/>
      <c r="P222" s="1223"/>
      <c r="Q222" s="1223"/>
      <c r="R222" s="1223"/>
      <c r="S222" s="1223"/>
      <c r="T222" s="1223"/>
      <c r="U222" s="1223"/>
    </row>
    <row r="223" spans="7:21" ht="15.6">
      <c r="G223" s="1224"/>
      <c r="H223" s="1223"/>
      <c r="I223" s="1223"/>
      <c r="J223" s="1223"/>
      <c r="K223" s="1223"/>
      <c r="L223" s="1223"/>
      <c r="M223" s="1223"/>
      <c r="N223" s="1223"/>
      <c r="O223" s="1223"/>
      <c r="P223" s="1223"/>
      <c r="Q223" s="1223"/>
      <c r="R223" s="1223"/>
      <c r="S223" s="1223"/>
      <c r="T223" s="1223"/>
      <c r="U223" s="1223"/>
    </row>
    <row r="224" spans="7:21" ht="15.6">
      <c r="G224" s="1224"/>
      <c r="H224" s="1223"/>
      <c r="I224" s="1223"/>
      <c r="J224" s="1223"/>
      <c r="K224" s="1223"/>
      <c r="L224" s="1223"/>
      <c r="M224" s="1223"/>
      <c r="N224" s="1223"/>
      <c r="O224" s="1223"/>
      <c r="P224" s="1223"/>
      <c r="Q224" s="1223"/>
      <c r="R224" s="1223"/>
      <c r="S224" s="1223"/>
      <c r="T224" s="1223"/>
      <c r="U224" s="1223"/>
    </row>
    <row r="225" spans="7:21" ht="15.6">
      <c r="G225" s="1224"/>
      <c r="H225" s="1223"/>
      <c r="I225" s="1223"/>
      <c r="J225" s="1223"/>
      <c r="K225" s="1223"/>
      <c r="L225" s="1223"/>
      <c r="M225" s="1223"/>
      <c r="N225" s="1223"/>
      <c r="O225" s="1223"/>
      <c r="P225" s="1223"/>
      <c r="Q225" s="1223"/>
      <c r="R225" s="1223"/>
      <c r="S225" s="1223"/>
      <c r="T225" s="1223"/>
      <c r="U225" s="1223"/>
    </row>
    <row r="226" spans="7:21" ht="15.6">
      <c r="G226" s="1224"/>
      <c r="H226" s="1223"/>
      <c r="I226" s="1223"/>
      <c r="J226" s="1223"/>
      <c r="K226" s="1223"/>
      <c r="L226" s="1223"/>
      <c r="M226" s="1223"/>
      <c r="N226" s="1223"/>
      <c r="O226" s="1223"/>
      <c r="P226" s="1223"/>
      <c r="Q226" s="1223"/>
      <c r="R226" s="1223"/>
      <c r="S226" s="1223"/>
      <c r="T226" s="1223"/>
      <c r="U226" s="1223"/>
    </row>
    <row r="227" spans="7:21" ht="15.6">
      <c r="G227" s="1224"/>
      <c r="H227" s="1223"/>
      <c r="I227" s="1223"/>
      <c r="J227" s="1223"/>
      <c r="K227" s="1223"/>
      <c r="L227" s="1223"/>
      <c r="M227" s="1223"/>
      <c r="N227" s="1223"/>
      <c r="O227" s="1223"/>
      <c r="P227" s="1223"/>
      <c r="Q227" s="1223"/>
      <c r="R227" s="1223"/>
      <c r="S227" s="1223"/>
      <c r="T227" s="1223"/>
      <c r="U227" s="1223"/>
    </row>
    <row r="228" spans="7:21" ht="15.6">
      <c r="G228" s="1224"/>
      <c r="H228" s="1223"/>
      <c r="I228" s="1223"/>
      <c r="J228" s="1223"/>
      <c r="K228" s="1223"/>
      <c r="L228" s="1223"/>
      <c r="M228" s="1223"/>
      <c r="N228" s="1223"/>
      <c r="O228" s="1223"/>
      <c r="P228" s="1223"/>
      <c r="Q228" s="1223"/>
      <c r="R228" s="1223"/>
      <c r="S228" s="1223"/>
      <c r="T228" s="1223"/>
      <c r="U228" s="1223"/>
    </row>
    <row r="229" spans="7:21" ht="15.6">
      <c r="G229" s="1224"/>
      <c r="H229" s="1223"/>
      <c r="I229" s="1223"/>
      <c r="J229" s="1223"/>
      <c r="K229" s="1223"/>
      <c r="L229" s="1223"/>
      <c r="M229" s="1223"/>
      <c r="N229" s="1223"/>
      <c r="O229" s="1223"/>
      <c r="P229" s="1223"/>
      <c r="Q229" s="1223"/>
      <c r="R229" s="1223"/>
      <c r="S229" s="1223"/>
      <c r="T229" s="1223"/>
      <c r="U229" s="1223"/>
    </row>
    <row r="230" spans="7:21" ht="15.6">
      <c r="G230" s="1224"/>
      <c r="H230" s="1223"/>
      <c r="I230" s="1223"/>
      <c r="J230" s="1223"/>
      <c r="K230" s="1223"/>
      <c r="L230" s="1223"/>
      <c r="M230" s="1223"/>
      <c r="N230" s="1223"/>
      <c r="O230" s="1223"/>
      <c r="P230" s="1223"/>
      <c r="Q230" s="1223"/>
      <c r="R230" s="1223"/>
      <c r="S230" s="1223"/>
      <c r="T230" s="1223"/>
      <c r="U230" s="1223"/>
    </row>
    <row r="231" spans="7:21" ht="15.6">
      <c r="G231" s="1224"/>
      <c r="H231" s="1223"/>
      <c r="I231" s="1223"/>
      <c r="J231" s="1223"/>
      <c r="K231" s="1223"/>
      <c r="L231" s="1223"/>
      <c r="M231" s="1223"/>
      <c r="N231" s="1223"/>
      <c r="O231" s="1223"/>
      <c r="P231" s="1223"/>
      <c r="Q231" s="1223"/>
      <c r="R231" s="1223"/>
      <c r="S231" s="1223"/>
      <c r="T231" s="1223"/>
      <c r="U231" s="1223"/>
    </row>
    <row r="232" spans="7:21" ht="15.6">
      <c r="G232" s="1224"/>
      <c r="H232" s="1223"/>
      <c r="I232" s="1223"/>
      <c r="J232" s="1223"/>
      <c r="K232" s="1223"/>
      <c r="L232" s="1223"/>
      <c r="M232" s="1223"/>
      <c r="N232" s="1223"/>
      <c r="O232" s="1223"/>
      <c r="P232" s="1223"/>
      <c r="Q232" s="1223"/>
      <c r="R232" s="1223"/>
      <c r="S232" s="1223"/>
      <c r="T232" s="1223"/>
      <c r="U232" s="1223"/>
    </row>
    <row r="233" spans="7:21" ht="15.6">
      <c r="G233" s="1224"/>
      <c r="H233" s="1223"/>
      <c r="I233" s="1223"/>
      <c r="J233" s="1223"/>
      <c r="K233" s="1223"/>
      <c r="L233" s="1223"/>
      <c r="M233" s="1223"/>
      <c r="N233" s="1223"/>
      <c r="O233" s="1223"/>
      <c r="P233" s="1223"/>
      <c r="Q233" s="1223"/>
      <c r="R233" s="1223"/>
      <c r="S233" s="1223"/>
      <c r="T233" s="1223"/>
      <c r="U233" s="1223"/>
    </row>
    <row r="234" spans="7:21" ht="15.6">
      <c r="G234" s="1224"/>
      <c r="H234" s="1223"/>
      <c r="I234" s="1223"/>
      <c r="J234" s="1223"/>
      <c r="K234" s="1223"/>
      <c r="L234" s="1223"/>
      <c r="M234" s="1223"/>
      <c r="N234" s="1223"/>
      <c r="O234" s="1223"/>
      <c r="P234" s="1223"/>
      <c r="Q234" s="1223"/>
      <c r="R234" s="1223"/>
      <c r="S234" s="1223"/>
      <c r="T234" s="1223"/>
      <c r="U234" s="1223"/>
    </row>
    <row r="235" spans="7:21" ht="15.6">
      <c r="G235" s="1224"/>
      <c r="H235" s="1223"/>
      <c r="I235" s="1223"/>
      <c r="J235" s="1223"/>
      <c r="K235" s="1223"/>
      <c r="L235" s="1223"/>
      <c r="M235" s="1223"/>
      <c r="N235" s="1223"/>
      <c r="O235" s="1223"/>
      <c r="P235" s="1223"/>
      <c r="Q235" s="1223"/>
      <c r="R235" s="1223"/>
      <c r="S235" s="1223"/>
      <c r="T235" s="1223"/>
      <c r="U235" s="1223"/>
    </row>
    <row r="236" spans="7:21" ht="15.6">
      <c r="G236" s="1224"/>
      <c r="H236" s="1223"/>
      <c r="I236" s="1223"/>
      <c r="J236" s="1223"/>
      <c r="K236" s="1223"/>
      <c r="L236" s="1223"/>
      <c r="M236" s="1223"/>
      <c r="N236" s="1223"/>
      <c r="O236" s="1223"/>
      <c r="P236" s="1223"/>
      <c r="Q236" s="1223"/>
      <c r="R236" s="1223"/>
      <c r="S236" s="1223"/>
      <c r="T236" s="1223"/>
      <c r="U236" s="1223"/>
    </row>
    <row r="237" spans="7:21" ht="15.6">
      <c r="G237" s="1224"/>
      <c r="H237" s="1223"/>
      <c r="I237" s="1223"/>
      <c r="J237" s="1223"/>
      <c r="K237" s="1223"/>
      <c r="L237" s="1223"/>
      <c r="M237" s="1223"/>
      <c r="N237" s="1223"/>
      <c r="O237" s="1223"/>
      <c r="P237" s="1223"/>
      <c r="Q237" s="1223"/>
      <c r="R237" s="1223"/>
      <c r="S237" s="1223"/>
      <c r="T237" s="1223"/>
      <c r="U237" s="1223"/>
    </row>
    <row r="238" spans="7:21" ht="15.6">
      <c r="G238" s="1224"/>
      <c r="H238" s="1223"/>
      <c r="I238" s="1223"/>
      <c r="J238" s="1223"/>
      <c r="K238" s="1223"/>
      <c r="L238" s="1223"/>
      <c r="M238" s="1223"/>
      <c r="N238" s="1223"/>
      <c r="O238" s="1223"/>
      <c r="P238" s="1223"/>
      <c r="Q238" s="1223"/>
      <c r="R238" s="1223"/>
      <c r="S238" s="1223"/>
      <c r="T238" s="1223"/>
      <c r="U238" s="1223"/>
    </row>
    <row r="239" spans="7:21" ht="15.6">
      <c r="G239" s="1224"/>
      <c r="H239" s="1223"/>
      <c r="I239" s="1223"/>
      <c r="J239" s="1223"/>
      <c r="K239" s="1223"/>
      <c r="L239" s="1223"/>
      <c r="M239" s="1223"/>
      <c r="N239" s="1223"/>
      <c r="O239" s="1223"/>
      <c r="P239" s="1223"/>
      <c r="Q239" s="1223"/>
      <c r="R239" s="1223"/>
      <c r="S239" s="1223"/>
      <c r="T239" s="1223"/>
      <c r="U239" s="1223"/>
    </row>
    <row r="240" spans="7:21" ht="15.6">
      <c r="G240" s="1224"/>
      <c r="H240" s="1223"/>
      <c r="I240" s="1223"/>
      <c r="J240" s="1223"/>
      <c r="K240" s="1223"/>
      <c r="L240" s="1223"/>
      <c r="M240" s="1223"/>
      <c r="N240" s="1223"/>
      <c r="O240" s="1223"/>
      <c r="P240" s="1223"/>
      <c r="Q240" s="1223"/>
      <c r="R240" s="1223"/>
      <c r="S240" s="1223"/>
      <c r="T240" s="1223"/>
      <c r="U240" s="1223"/>
    </row>
    <row r="241" spans="7:21" ht="15.6">
      <c r="G241" s="1224"/>
      <c r="H241" s="1223"/>
      <c r="I241" s="1223"/>
      <c r="J241" s="1223"/>
      <c r="K241" s="1223"/>
      <c r="L241" s="1223"/>
      <c r="M241" s="1223"/>
      <c r="N241" s="1223"/>
      <c r="O241" s="1223"/>
      <c r="P241" s="1223"/>
      <c r="Q241" s="1223"/>
      <c r="R241" s="1223"/>
      <c r="S241" s="1223"/>
      <c r="T241" s="1223"/>
      <c r="U241" s="1223"/>
    </row>
    <row r="242" spans="7:21" ht="15.6">
      <c r="G242" s="1224"/>
      <c r="H242" s="1223"/>
      <c r="I242" s="1223"/>
      <c r="J242" s="1223"/>
      <c r="K242" s="1223"/>
      <c r="L242" s="1223"/>
      <c r="M242" s="1223"/>
      <c r="N242" s="1223"/>
      <c r="O242" s="1223"/>
      <c r="P242" s="1223"/>
      <c r="Q242" s="1223"/>
      <c r="R242" s="1223"/>
      <c r="S242" s="1223"/>
      <c r="T242" s="1223"/>
      <c r="U242" s="1223"/>
    </row>
    <row r="243" spans="7:21" ht="15.6">
      <c r="G243" s="1224"/>
      <c r="H243" s="1223"/>
      <c r="I243" s="1223"/>
      <c r="J243" s="1223"/>
      <c r="K243" s="1223"/>
      <c r="L243" s="1223"/>
      <c r="M243" s="1223"/>
      <c r="N243" s="1223"/>
      <c r="O243" s="1223"/>
      <c r="P243" s="1223"/>
      <c r="Q243" s="1223"/>
      <c r="R243" s="1223"/>
      <c r="S243" s="1223"/>
      <c r="T243" s="1223"/>
      <c r="U243" s="1223"/>
    </row>
    <row r="244" spans="7:21" ht="15.6">
      <c r="G244" s="1224"/>
      <c r="H244" s="1223"/>
      <c r="I244" s="1223"/>
      <c r="J244" s="1223"/>
      <c r="K244" s="1223"/>
      <c r="L244" s="1223"/>
      <c r="M244" s="1223"/>
      <c r="N244" s="1223"/>
      <c r="O244" s="1223"/>
      <c r="P244" s="1223"/>
      <c r="Q244" s="1223"/>
      <c r="R244" s="1223"/>
      <c r="S244" s="1223"/>
      <c r="T244" s="1223"/>
      <c r="U244" s="1223"/>
    </row>
    <row r="245" spans="7:21" ht="15.6">
      <c r="G245" s="1224"/>
      <c r="H245" s="1223"/>
      <c r="I245" s="1223"/>
      <c r="J245" s="1223"/>
      <c r="K245" s="1223"/>
      <c r="L245" s="1223"/>
      <c r="M245" s="1223"/>
      <c r="N245" s="1223"/>
      <c r="O245" s="1223"/>
      <c r="P245" s="1223"/>
      <c r="Q245" s="1223"/>
      <c r="R245" s="1223"/>
      <c r="S245" s="1223"/>
      <c r="T245" s="1223"/>
      <c r="U245" s="1223"/>
    </row>
    <row r="246" spans="7:21" ht="15.6">
      <c r="G246" s="1224"/>
      <c r="H246" s="1223"/>
      <c r="I246" s="1223"/>
      <c r="J246" s="1223"/>
      <c r="K246" s="1223"/>
      <c r="L246" s="1223"/>
      <c r="M246" s="1223"/>
      <c r="N246" s="1223"/>
      <c r="O246" s="1223"/>
      <c r="P246" s="1223"/>
      <c r="Q246" s="1223"/>
      <c r="R246" s="1223"/>
      <c r="S246" s="1223"/>
      <c r="T246" s="1223"/>
      <c r="U246" s="1223"/>
    </row>
    <row r="247" spans="7:21" ht="15.6">
      <c r="G247" s="1224"/>
      <c r="H247" s="1223"/>
      <c r="I247" s="1223"/>
      <c r="J247" s="1223"/>
      <c r="K247" s="1223"/>
      <c r="L247" s="1223"/>
      <c r="M247" s="1223"/>
      <c r="N247" s="1223"/>
      <c r="O247" s="1223"/>
      <c r="P247" s="1223"/>
      <c r="Q247" s="1223"/>
      <c r="R247" s="1223"/>
      <c r="S247" s="1223"/>
      <c r="T247" s="1223"/>
      <c r="U247" s="1223"/>
    </row>
    <row r="248" spans="7:21" ht="15.6">
      <c r="G248" s="1224"/>
      <c r="H248" s="1223"/>
      <c r="I248" s="1223"/>
      <c r="J248" s="1223"/>
      <c r="K248" s="1223"/>
      <c r="L248" s="1223"/>
      <c r="M248" s="1223"/>
      <c r="N248" s="1223"/>
      <c r="O248" s="1223"/>
      <c r="P248" s="1223"/>
      <c r="Q248" s="1223"/>
      <c r="R248" s="1223"/>
      <c r="S248" s="1223"/>
      <c r="T248" s="1223"/>
      <c r="U248" s="1223"/>
    </row>
    <row r="249" spans="7:21" ht="15.6">
      <c r="G249" s="1224"/>
      <c r="H249" s="1223"/>
      <c r="I249" s="1223"/>
      <c r="J249" s="1223"/>
      <c r="K249" s="1223"/>
      <c r="L249" s="1223"/>
      <c r="M249" s="1223"/>
      <c r="N249" s="1223"/>
      <c r="O249" s="1223"/>
      <c r="P249" s="1223"/>
      <c r="Q249" s="1223"/>
      <c r="R249" s="1223"/>
      <c r="S249" s="1223"/>
      <c r="T249" s="1223"/>
      <c r="U249" s="1223"/>
    </row>
    <row r="250" spans="7:21" ht="15.6">
      <c r="G250" s="1224"/>
      <c r="H250" s="1223"/>
      <c r="I250" s="1223"/>
      <c r="J250" s="1223"/>
      <c r="K250" s="1223"/>
      <c r="L250" s="1223"/>
      <c r="M250" s="1223"/>
      <c r="N250" s="1223"/>
      <c r="O250" s="1223"/>
      <c r="P250" s="1223"/>
      <c r="Q250" s="1223"/>
      <c r="R250" s="1223"/>
      <c r="S250" s="1223"/>
      <c r="T250" s="1223"/>
      <c r="U250" s="1223"/>
    </row>
    <row r="251" spans="7:21" ht="15.6">
      <c r="G251" s="1224"/>
      <c r="H251" s="1223"/>
      <c r="I251" s="1223"/>
      <c r="J251" s="1223"/>
      <c r="K251" s="1223"/>
      <c r="L251" s="1223"/>
      <c r="M251" s="1223"/>
      <c r="N251" s="1223"/>
      <c r="O251" s="1223"/>
      <c r="P251" s="1223"/>
      <c r="Q251" s="1223"/>
      <c r="R251" s="1223"/>
      <c r="S251" s="1223"/>
      <c r="T251" s="1223"/>
      <c r="U251" s="1223"/>
    </row>
    <row r="252" spans="7:21" ht="15.6">
      <c r="G252" s="1224"/>
      <c r="H252" s="1223"/>
      <c r="I252" s="1223"/>
      <c r="J252" s="1223"/>
      <c r="K252" s="1223"/>
      <c r="L252" s="1223"/>
      <c r="M252" s="1223"/>
      <c r="N252" s="1223"/>
      <c r="O252" s="1223"/>
      <c r="P252" s="1223"/>
      <c r="Q252" s="1223"/>
      <c r="R252" s="1223"/>
      <c r="S252" s="1223"/>
      <c r="T252" s="1223"/>
      <c r="U252" s="1223"/>
    </row>
    <row r="253" spans="7:21" ht="15.6">
      <c r="G253" s="1224"/>
      <c r="H253" s="1223"/>
      <c r="I253" s="1223"/>
      <c r="J253" s="1223"/>
      <c r="K253" s="1223"/>
      <c r="L253" s="1223"/>
      <c r="M253" s="1223"/>
      <c r="N253" s="1223"/>
      <c r="O253" s="1223"/>
      <c r="P253" s="1223"/>
      <c r="Q253" s="1223"/>
      <c r="R253" s="1223"/>
      <c r="S253" s="1223"/>
      <c r="T253" s="1223"/>
      <c r="U253" s="1223"/>
    </row>
    <row r="254" spans="7:21" ht="15.6">
      <c r="G254" s="1224"/>
      <c r="H254" s="1223"/>
      <c r="I254" s="1223"/>
      <c r="J254" s="1223"/>
      <c r="K254" s="1223"/>
      <c r="L254" s="1223"/>
      <c r="M254" s="1223"/>
      <c r="N254" s="1223"/>
      <c r="O254" s="1223"/>
      <c r="P254" s="1223"/>
      <c r="Q254" s="1223"/>
      <c r="R254" s="1223"/>
      <c r="S254" s="1223"/>
      <c r="T254" s="1223"/>
      <c r="U254" s="1223"/>
    </row>
    <row r="255" spans="7:21" ht="15.6">
      <c r="G255" s="1224"/>
      <c r="H255" s="1223"/>
      <c r="I255" s="1223"/>
      <c r="J255" s="1223"/>
      <c r="K255" s="1223"/>
      <c r="L255" s="1223"/>
      <c r="M255" s="1223"/>
      <c r="N255" s="1223"/>
      <c r="O255" s="1223"/>
      <c r="P255" s="1223"/>
      <c r="Q255" s="1223"/>
      <c r="R255" s="1223"/>
      <c r="S255" s="1223"/>
      <c r="T255" s="1223"/>
      <c r="U255" s="1223"/>
    </row>
    <row r="256" spans="7:21" ht="15.6">
      <c r="G256" s="1224"/>
      <c r="H256" s="1223"/>
      <c r="I256" s="1223"/>
      <c r="J256" s="1223"/>
      <c r="K256" s="1223"/>
      <c r="L256" s="1223"/>
      <c r="M256" s="1223"/>
      <c r="N256" s="1223"/>
      <c r="O256" s="1223"/>
      <c r="P256" s="1223"/>
      <c r="Q256" s="1223"/>
      <c r="R256" s="1223"/>
      <c r="S256" s="1223"/>
      <c r="T256" s="1223"/>
      <c r="U256" s="1223"/>
    </row>
    <row r="257" spans="7:21" ht="15.6">
      <c r="G257" s="1224"/>
      <c r="H257" s="1223"/>
      <c r="I257" s="1223"/>
      <c r="J257" s="1223"/>
      <c r="K257" s="1223"/>
      <c r="L257" s="1223"/>
      <c r="M257" s="1223"/>
      <c r="N257" s="1223"/>
      <c r="O257" s="1223"/>
      <c r="P257" s="1223"/>
      <c r="Q257" s="1223"/>
      <c r="R257" s="1223"/>
      <c r="S257" s="1223"/>
      <c r="T257" s="1223"/>
      <c r="U257" s="1223"/>
    </row>
    <row r="258" spans="7:21" ht="15.6">
      <c r="G258" s="1224"/>
      <c r="H258" s="1223"/>
      <c r="I258" s="1223"/>
      <c r="J258" s="1223"/>
      <c r="K258" s="1223"/>
      <c r="L258" s="1223"/>
      <c r="M258" s="1223"/>
      <c r="N258" s="1223"/>
      <c r="O258" s="1223"/>
      <c r="P258" s="1223"/>
      <c r="Q258" s="1223"/>
      <c r="R258" s="1223"/>
      <c r="S258" s="1223"/>
      <c r="T258" s="1223"/>
      <c r="U258" s="1223"/>
    </row>
    <row r="259" spans="7:21" ht="15.6">
      <c r="G259" s="1224"/>
      <c r="H259" s="1223"/>
      <c r="I259" s="1223"/>
      <c r="J259" s="1223"/>
      <c r="K259" s="1223"/>
      <c r="L259" s="1223"/>
      <c r="M259" s="1223"/>
      <c r="N259" s="1223"/>
      <c r="O259" s="1223"/>
      <c r="P259" s="1223"/>
      <c r="Q259" s="1223"/>
      <c r="R259" s="1223"/>
      <c r="S259" s="1223"/>
      <c r="T259" s="1223"/>
      <c r="U259" s="1223"/>
    </row>
    <row r="260" spans="7:21" ht="15.6">
      <c r="G260" s="1224"/>
      <c r="H260" s="1223"/>
      <c r="I260" s="1223"/>
      <c r="J260" s="1223"/>
      <c r="K260" s="1223"/>
      <c r="L260" s="1223"/>
      <c r="M260" s="1223"/>
      <c r="N260" s="1223"/>
      <c r="O260" s="1223"/>
      <c r="P260" s="1223"/>
      <c r="Q260" s="1223"/>
      <c r="R260" s="1223"/>
      <c r="S260" s="1223"/>
      <c r="T260" s="1223"/>
      <c r="U260" s="1223"/>
    </row>
    <row r="261" spans="7:21" ht="15.6">
      <c r="G261" s="1224"/>
      <c r="H261" s="1223"/>
      <c r="I261" s="1223"/>
      <c r="J261" s="1223"/>
      <c r="K261" s="1223"/>
      <c r="L261" s="1223"/>
      <c r="M261" s="1223"/>
      <c r="N261" s="1223"/>
      <c r="O261" s="1223"/>
      <c r="P261" s="1223"/>
      <c r="Q261" s="1223"/>
      <c r="R261" s="1223"/>
      <c r="S261" s="1223"/>
      <c r="T261" s="1223"/>
      <c r="U261" s="1223"/>
    </row>
    <row r="262" spans="7:21" ht="15.6">
      <c r="G262" s="1224"/>
      <c r="H262" s="1223"/>
      <c r="I262" s="1223"/>
      <c r="J262" s="1223"/>
      <c r="K262" s="1223"/>
      <c r="L262" s="1223"/>
      <c r="M262" s="1223"/>
      <c r="N262" s="1223"/>
      <c r="O262" s="1223"/>
      <c r="P262" s="1223"/>
      <c r="Q262" s="1223"/>
      <c r="R262" s="1223"/>
      <c r="S262" s="1223"/>
      <c r="T262" s="1223"/>
      <c r="U262" s="1223"/>
    </row>
    <row r="263" spans="7:21" ht="15.6">
      <c r="G263" s="1224"/>
      <c r="H263" s="1223"/>
      <c r="I263" s="1223"/>
      <c r="J263" s="1223"/>
      <c r="K263" s="1223"/>
      <c r="L263" s="1223"/>
      <c r="M263" s="1223"/>
      <c r="N263" s="1223"/>
      <c r="O263" s="1223"/>
      <c r="P263" s="1223"/>
      <c r="Q263" s="1223"/>
      <c r="R263" s="1223"/>
      <c r="S263" s="1223"/>
      <c r="T263" s="1223"/>
      <c r="U263" s="1223"/>
    </row>
    <row r="264" spans="7:21" ht="15.6">
      <c r="G264" s="1224"/>
      <c r="H264" s="1223"/>
      <c r="I264" s="1223"/>
      <c r="J264" s="1223"/>
      <c r="K264" s="1223"/>
      <c r="L264" s="1223"/>
      <c r="M264" s="1223"/>
      <c r="N264" s="1223"/>
      <c r="O264" s="1223"/>
      <c r="P264" s="1223"/>
      <c r="Q264" s="1223"/>
      <c r="R264" s="1223"/>
      <c r="S264" s="1223"/>
      <c r="T264" s="1223"/>
      <c r="U264" s="1223"/>
    </row>
    <row r="265" spans="7:21" ht="15.6">
      <c r="G265" s="1224"/>
      <c r="H265" s="1223"/>
      <c r="I265" s="1223"/>
      <c r="J265" s="1223"/>
      <c r="K265" s="1223"/>
      <c r="L265" s="1223"/>
      <c r="M265" s="1223"/>
      <c r="N265" s="1223"/>
      <c r="O265" s="1223"/>
      <c r="P265" s="1223"/>
      <c r="Q265" s="1223"/>
      <c r="R265" s="1223"/>
      <c r="S265" s="1223"/>
      <c r="T265" s="1223"/>
      <c r="U265" s="1223"/>
    </row>
    <row r="266" spans="7:21" ht="15.6">
      <c r="G266" s="1224"/>
      <c r="H266" s="1223"/>
      <c r="I266" s="1223"/>
      <c r="J266" s="1223"/>
      <c r="K266" s="1223"/>
      <c r="L266" s="1223"/>
      <c r="M266" s="1223"/>
      <c r="N266" s="1223"/>
      <c r="O266" s="1223"/>
      <c r="P266" s="1223"/>
      <c r="Q266" s="1223"/>
      <c r="R266" s="1223"/>
      <c r="S266" s="1223"/>
      <c r="T266" s="1223"/>
      <c r="U266" s="1223"/>
    </row>
    <row r="267" spans="7:21" ht="15.6">
      <c r="G267" s="1224"/>
      <c r="H267" s="1223"/>
      <c r="I267" s="1223"/>
      <c r="J267" s="1223"/>
      <c r="K267" s="1223"/>
      <c r="L267" s="1223"/>
      <c r="M267" s="1223"/>
      <c r="N267" s="1223"/>
      <c r="O267" s="1223"/>
      <c r="P267" s="1223"/>
      <c r="Q267" s="1223"/>
      <c r="R267" s="1223"/>
      <c r="S267" s="1223"/>
      <c r="T267" s="1223"/>
      <c r="U267" s="1223"/>
    </row>
    <row r="268" spans="7:21" ht="15.6">
      <c r="G268" s="1224"/>
      <c r="H268" s="1223"/>
      <c r="I268" s="1223"/>
      <c r="J268" s="1223"/>
      <c r="K268" s="1223"/>
      <c r="L268" s="1223"/>
      <c r="M268" s="1223"/>
      <c r="N268" s="1223"/>
      <c r="O268" s="1223"/>
      <c r="P268" s="1223"/>
      <c r="Q268" s="1223"/>
      <c r="R268" s="1223"/>
      <c r="S268" s="1223"/>
      <c r="T268" s="1223"/>
      <c r="U268" s="1223"/>
    </row>
    <row r="269" spans="7:21" ht="15.6">
      <c r="G269" s="1224"/>
      <c r="H269" s="1223"/>
      <c r="I269" s="1223"/>
      <c r="J269" s="1223"/>
      <c r="K269" s="1223"/>
      <c r="L269" s="1223"/>
      <c r="M269" s="1223"/>
      <c r="N269" s="1223"/>
      <c r="O269" s="1223"/>
      <c r="P269" s="1223"/>
      <c r="Q269" s="1223"/>
      <c r="R269" s="1223"/>
      <c r="S269" s="1223"/>
      <c r="T269" s="1223"/>
      <c r="U269" s="1223"/>
    </row>
    <row r="270" spans="7:21" ht="15.6">
      <c r="G270" s="1224"/>
      <c r="H270" s="1223"/>
      <c r="I270" s="1223"/>
      <c r="J270" s="1223"/>
      <c r="K270" s="1223"/>
      <c r="L270" s="1223"/>
      <c r="M270" s="1223"/>
      <c r="N270" s="1223"/>
      <c r="O270" s="1223"/>
      <c r="P270" s="1223"/>
      <c r="Q270" s="1223"/>
      <c r="R270" s="1223"/>
      <c r="S270" s="1223"/>
      <c r="T270" s="1223"/>
      <c r="U270" s="1223"/>
    </row>
    <row r="271" spans="7:21" ht="15.6">
      <c r="G271" s="1224"/>
      <c r="H271" s="1223"/>
      <c r="I271" s="1223"/>
      <c r="J271" s="1223"/>
      <c r="K271" s="1223"/>
      <c r="L271" s="1223"/>
      <c r="M271" s="1223"/>
      <c r="N271" s="1223"/>
      <c r="O271" s="1223"/>
      <c r="P271" s="1223"/>
      <c r="Q271" s="1223"/>
      <c r="R271" s="1223"/>
      <c r="S271" s="1223"/>
      <c r="T271" s="1223"/>
      <c r="U271" s="1223"/>
    </row>
    <row r="272" spans="7:21" ht="15.6">
      <c r="G272" s="1224"/>
      <c r="H272" s="1223"/>
      <c r="I272" s="1223"/>
      <c r="J272" s="1223"/>
      <c r="K272" s="1223"/>
      <c r="L272" s="1223"/>
      <c r="M272" s="1223"/>
      <c r="N272" s="1223"/>
      <c r="O272" s="1223"/>
      <c r="P272" s="1223"/>
      <c r="Q272" s="1223"/>
      <c r="R272" s="1223"/>
      <c r="S272" s="1223"/>
      <c r="T272" s="1223"/>
      <c r="U272" s="1223"/>
    </row>
    <row r="273" spans="7:21" ht="15.6">
      <c r="G273" s="1224"/>
      <c r="H273" s="1223"/>
      <c r="I273" s="1223"/>
      <c r="J273" s="1223"/>
      <c r="K273" s="1223"/>
      <c r="L273" s="1223"/>
      <c r="M273" s="1223"/>
      <c r="N273" s="1223"/>
      <c r="O273" s="1223"/>
      <c r="P273" s="1223"/>
      <c r="Q273" s="1223"/>
      <c r="R273" s="1223"/>
      <c r="S273" s="1223"/>
      <c r="T273" s="1223"/>
      <c r="U273" s="1223"/>
    </row>
    <row r="274" spans="7:21" ht="15.6">
      <c r="G274" s="1224"/>
      <c r="H274" s="1223"/>
      <c r="I274" s="1223"/>
      <c r="J274" s="1223"/>
      <c r="K274" s="1223"/>
      <c r="L274" s="1223"/>
      <c r="M274" s="1223"/>
      <c r="N274" s="1223"/>
      <c r="O274" s="1223"/>
      <c r="P274" s="1223"/>
      <c r="Q274" s="1223"/>
      <c r="R274" s="1223"/>
      <c r="S274" s="1223"/>
      <c r="T274" s="1223"/>
      <c r="U274" s="1223"/>
    </row>
    <row r="275" spans="7:21" ht="15.6">
      <c r="G275" s="1224"/>
      <c r="H275" s="1223"/>
      <c r="I275" s="1223"/>
      <c r="J275" s="1223"/>
      <c r="K275" s="1223"/>
      <c r="L275" s="1223"/>
      <c r="M275" s="1223"/>
      <c r="N275" s="1223"/>
      <c r="O275" s="1223"/>
      <c r="P275" s="1223"/>
      <c r="Q275" s="1223"/>
      <c r="R275" s="1223"/>
      <c r="S275" s="1223"/>
      <c r="T275" s="1223"/>
      <c r="U275" s="1223"/>
    </row>
    <row r="276" spans="7:21" ht="15.6">
      <c r="G276" s="1224"/>
      <c r="H276" s="1223"/>
      <c r="I276" s="1223"/>
      <c r="J276" s="1223"/>
      <c r="K276" s="1223"/>
      <c r="L276" s="1223"/>
      <c r="M276" s="1223"/>
      <c r="N276" s="1223"/>
      <c r="O276" s="1223"/>
      <c r="P276" s="1223"/>
      <c r="Q276" s="1223"/>
      <c r="R276" s="1223"/>
      <c r="S276" s="1223"/>
      <c r="T276" s="1223"/>
      <c r="U276" s="1223"/>
    </row>
    <row r="277" spans="7:21" ht="15.6">
      <c r="G277" s="1224"/>
      <c r="H277" s="1223"/>
      <c r="I277" s="1223"/>
      <c r="J277" s="1223"/>
      <c r="K277" s="1223"/>
      <c r="L277" s="1223"/>
      <c r="M277" s="1223"/>
      <c r="N277" s="1223"/>
      <c r="O277" s="1223"/>
      <c r="P277" s="1223"/>
      <c r="Q277" s="1223"/>
      <c r="R277" s="1223"/>
      <c r="S277" s="1223"/>
      <c r="T277" s="1223"/>
      <c r="U277" s="1223"/>
    </row>
    <row r="278" spans="7:21" ht="15.6">
      <c r="G278" s="1224"/>
      <c r="H278" s="1223"/>
      <c r="I278" s="1223"/>
      <c r="J278" s="1223"/>
      <c r="K278" s="1223"/>
      <c r="L278" s="1223"/>
      <c r="M278" s="1223"/>
      <c r="N278" s="1223"/>
      <c r="O278" s="1223"/>
      <c r="P278" s="1223"/>
      <c r="Q278" s="1223"/>
      <c r="R278" s="1223"/>
      <c r="S278" s="1223"/>
      <c r="T278" s="1223"/>
      <c r="U278" s="1223"/>
    </row>
    <row r="279" spans="7:21" ht="15.6">
      <c r="G279" s="1224"/>
      <c r="H279" s="1223"/>
      <c r="I279" s="1223"/>
      <c r="J279" s="1223"/>
      <c r="K279" s="1223"/>
      <c r="L279" s="1223"/>
      <c r="M279" s="1223"/>
      <c r="N279" s="1223"/>
      <c r="O279" s="1223"/>
      <c r="P279" s="1223"/>
      <c r="Q279" s="1223"/>
      <c r="R279" s="1223"/>
      <c r="S279" s="1223"/>
      <c r="T279" s="1223"/>
      <c r="U279" s="1223"/>
    </row>
    <row r="280" spans="7:21" ht="15.6">
      <c r="G280" s="1224"/>
      <c r="H280" s="1223"/>
      <c r="I280" s="1223"/>
      <c r="J280" s="1223"/>
      <c r="K280" s="1223"/>
      <c r="L280" s="1223"/>
      <c r="M280" s="1223"/>
      <c r="N280" s="1223"/>
      <c r="O280" s="1223"/>
      <c r="P280" s="1223"/>
      <c r="Q280" s="1223"/>
      <c r="R280" s="1223"/>
      <c r="S280" s="1223"/>
      <c r="T280" s="1223"/>
      <c r="U280" s="1223"/>
    </row>
    <row r="281" spans="7:21" ht="15.6">
      <c r="G281" s="1224"/>
      <c r="H281" s="1223"/>
      <c r="I281" s="1223"/>
      <c r="J281" s="1223"/>
      <c r="K281" s="1223"/>
      <c r="L281" s="1223"/>
      <c r="M281" s="1223"/>
      <c r="N281" s="1223"/>
      <c r="O281" s="1223"/>
      <c r="P281" s="1223"/>
      <c r="Q281" s="1223"/>
      <c r="R281" s="1223"/>
      <c r="S281" s="1223"/>
      <c r="T281" s="1223"/>
      <c r="U281" s="1223"/>
    </row>
    <row r="282" spans="7:21" ht="15.6">
      <c r="G282" s="1224"/>
      <c r="H282" s="1223"/>
      <c r="I282" s="1223"/>
      <c r="J282" s="1223"/>
      <c r="K282" s="1223"/>
      <c r="L282" s="1223"/>
      <c r="M282" s="1223"/>
      <c r="N282" s="1223"/>
      <c r="O282" s="1223"/>
      <c r="P282" s="1223"/>
      <c r="Q282" s="1223"/>
      <c r="R282" s="1223"/>
      <c r="S282" s="1223"/>
      <c r="T282" s="1223"/>
      <c r="U282" s="1223"/>
    </row>
    <row r="283" spans="7:21" ht="15.6">
      <c r="G283" s="1224"/>
      <c r="H283" s="1223"/>
      <c r="I283" s="1223"/>
      <c r="J283" s="1223"/>
      <c r="K283" s="1223"/>
      <c r="L283" s="1223"/>
      <c r="M283" s="1223"/>
      <c r="N283" s="1223"/>
      <c r="O283" s="1223"/>
      <c r="P283" s="1223"/>
      <c r="Q283" s="1223"/>
      <c r="R283" s="1223"/>
      <c r="S283" s="1223"/>
      <c r="T283" s="1223"/>
      <c r="U283" s="1223"/>
    </row>
    <row r="284" spans="7:21" ht="15.6">
      <c r="G284" s="1224"/>
      <c r="H284" s="1223"/>
      <c r="I284" s="1223"/>
      <c r="J284" s="1223"/>
      <c r="K284" s="1223"/>
      <c r="L284" s="1223"/>
      <c r="M284" s="1223"/>
      <c r="N284" s="1223"/>
      <c r="O284" s="1223"/>
      <c r="P284" s="1223"/>
      <c r="Q284" s="1223"/>
      <c r="R284" s="1223"/>
      <c r="S284" s="1223"/>
      <c r="T284" s="1223"/>
      <c r="U284" s="1223"/>
    </row>
    <row r="285" spans="7:21" ht="15.6">
      <c r="G285" s="1224"/>
      <c r="H285" s="1223"/>
      <c r="I285" s="1223"/>
      <c r="J285" s="1223"/>
      <c r="K285" s="1223"/>
      <c r="L285" s="1223"/>
      <c r="M285" s="1223"/>
      <c r="N285" s="1223"/>
      <c r="O285" s="1223"/>
      <c r="P285" s="1223"/>
      <c r="Q285" s="1223"/>
      <c r="R285" s="1223"/>
      <c r="S285" s="1223"/>
      <c r="T285" s="1223"/>
      <c r="U285" s="1223"/>
    </row>
    <row r="286" spans="7:21" ht="15.6">
      <c r="G286" s="1224"/>
      <c r="H286" s="1223"/>
      <c r="I286" s="1223"/>
      <c r="J286" s="1223"/>
      <c r="K286" s="1223"/>
      <c r="L286" s="1223"/>
      <c r="M286" s="1223"/>
      <c r="N286" s="1223"/>
      <c r="O286" s="1223"/>
      <c r="P286" s="1223"/>
      <c r="Q286" s="1223"/>
      <c r="R286" s="1223"/>
      <c r="S286" s="1223"/>
      <c r="T286" s="1223"/>
      <c r="U286" s="1223"/>
    </row>
    <row r="287" spans="7:21" ht="15.6">
      <c r="G287" s="1224"/>
      <c r="H287" s="1223"/>
      <c r="I287" s="1223"/>
      <c r="J287" s="1223"/>
      <c r="K287" s="1223"/>
      <c r="L287" s="1223"/>
      <c r="M287" s="1223"/>
      <c r="N287" s="1223"/>
      <c r="O287" s="1223"/>
      <c r="P287" s="1223"/>
      <c r="Q287" s="1223"/>
      <c r="R287" s="1223"/>
      <c r="S287" s="1223"/>
      <c r="T287" s="1223"/>
      <c r="U287" s="1223"/>
    </row>
    <row r="288" spans="7:21" ht="15.6">
      <c r="G288" s="1224"/>
      <c r="H288" s="1223"/>
      <c r="I288" s="1223"/>
      <c r="J288" s="1223"/>
      <c r="K288" s="1223"/>
      <c r="L288" s="1223"/>
      <c r="M288" s="1223"/>
      <c r="N288" s="1223"/>
      <c r="O288" s="1223"/>
      <c r="P288" s="1223"/>
      <c r="Q288" s="1223"/>
      <c r="R288" s="1223"/>
      <c r="S288" s="1223"/>
      <c r="T288" s="1223"/>
      <c r="U288" s="1223"/>
    </row>
    <row r="289" spans="7:21" ht="15.6">
      <c r="G289" s="1224"/>
      <c r="H289" s="1223"/>
      <c r="I289" s="1223"/>
      <c r="J289" s="1223"/>
      <c r="K289" s="1223"/>
      <c r="L289" s="1223"/>
      <c r="M289" s="1223"/>
      <c r="N289" s="1223"/>
      <c r="O289" s="1223"/>
      <c r="P289" s="1223"/>
      <c r="Q289" s="1223"/>
      <c r="R289" s="1223"/>
      <c r="S289" s="1223"/>
      <c r="T289" s="1223"/>
      <c r="U289" s="1223"/>
    </row>
    <row r="290" spans="7:21" ht="15.6">
      <c r="G290" s="1224"/>
      <c r="H290" s="1223"/>
      <c r="I290" s="1223"/>
      <c r="J290" s="1223"/>
      <c r="K290" s="1223"/>
      <c r="L290" s="1223"/>
      <c r="M290" s="1223"/>
      <c r="N290" s="1223"/>
      <c r="O290" s="1223"/>
      <c r="P290" s="1223"/>
      <c r="Q290" s="1223"/>
      <c r="R290" s="1223"/>
      <c r="S290" s="1223"/>
      <c r="T290" s="1223"/>
      <c r="U290" s="1223"/>
    </row>
    <row r="291" spans="7:21" ht="15.6">
      <c r="G291" s="1224"/>
      <c r="H291" s="1223"/>
      <c r="I291" s="1223"/>
      <c r="J291" s="1223"/>
      <c r="K291" s="1223"/>
      <c r="L291" s="1223"/>
      <c r="M291" s="1223"/>
      <c r="N291" s="1223"/>
      <c r="O291" s="1223"/>
      <c r="P291" s="1223"/>
      <c r="Q291" s="1223"/>
      <c r="R291" s="1223"/>
      <c r="S291" s="1223"/>
      <c r="T291" s="1223"/>
      <c r="U291" s="1223"/>
    </row>
    <row r="292" spans="7:21" ht="15.6">
      <c r="G292" s="1224"/>
      <c r="H292" s="1223"/>
      <c r="I292" s="1223"/>
      <c r="J292" s="1223"/>
      <c r="K292" s="1223"/>
      <c r="L292" s="1223"/>
      <c r="M292" s="1223"/>
      <c r="N292" s="1223"/>
      <c r="O292" s="1223"/>
      <c r="P292" s="1223"/>
      <c r="Q292" s="1223"/>
      <c r="R292" s="1223"/>
      <c r="S292" s="1223"/>
      <c r="T292" s="1223"/>
      <c r="U292" s="1223"/>
    </row>
    <row r="293" spans="7:21" ht="15.6">
      <c r="G293" s="1224"/>
      <c r="H293" s="1223"/>
      <c r="I293" s="1223"/>
      <c r="J293" s="1223"/>
      <c r="K293" s="1223"/>
      <c r="L293" s="1223"/>
      <c r="M293" s="1223"/>
      <c r="N293" s="1223"/>
      <c r="O293" s="1223"/>
      <c r="P293" s="1223"/>
      <c r="Q293" s="1223"/>
      <c r="R293" s="1223"/>
      <c r="S293" s="1223"/>
      <c r="T293" s="1223"/>
      <c r="U293" s="1223"/>
    </row>
    <row r="294" spans="7:21" ht="15.6">
      <c r="G294" s="1224"/>
      <c r="H294" s="1223"/>
      <c r="I294" s="1223"/>
      <c r="J294" s="1223"/>
      <c r="K294" s="1223"/>
      <c r="L294" s="1223"/>
      <c r="M294" s="1223"/>
      <c r="N294" s="1223"/>
      <c r="O294" s="1223"/>
      <c r="P294" s="1223"/>
      <c r="Q294" s="1223"/>
      <c r="R294" s="1223"/>
      <c r="S294" s="1223"/>
      <c r="T294" s="1223"/>
      <c r="U294" s="1223"/>
    </row>
    <row r="295" spans="7:21" ht="15.6">
      <c r="G295" s="1224"/>
      <c r="H295" s="1223"/>
      <c r="I295" s="1223"/>
      <c r="J295" s="1223"/>
      <c r="K295" s="1223"/>
      <c r="L295" s="1223"/>
      <c r="M295" s="1223"/>
      <c r="N295" s="1223"/>
      <c r="O295" s="1223"/>
      <c r="P295" s="1223"/>
      <c r="Q295" s="1223"/>
      <c r="R295" s="1223"/>
      <c r="S295" s="1223"/>
      <c r="T295" s="1223"/>
      <c r="U295" s="1223"/>
    </row>
    <row r="296" spans="7:21" ht="15.6">
      <c r="G296" s="1224"/>
      <c r="H296" s="1223"/>
      <c r="I296" s="1223"/>
      <c r="J296" s="1223"/>
      <c r="K296" s="1223"/>
      <c r="L296" s="1223"/>
      <c r="M296" s="1223"/>
      <c r="N296" s="1223"/>
      <c r="O296" s="1223"/>
      <c r="P296" s="1223"/>
      <c r="Q296" s="1223"/>
      <c r="R296" s="1223"/>
      <c r="S296" s="1223"/>
      <c r="T296" s="1223"/>
      <c r="U296" s="1223"/>
    </row>
    <row r="297" spans="7:21" ht="15.6">
      <c r="G297" s="1224"/>
      <c r="H297" s="1223"/>
      <c r="I297" s="1223"/>
      <c r="J297" s="1223"/>
      <c r="K297" s="1223"/>
      <c r="L297" s="1223"/>
      <c r="M297" s="1223"/>
      <c r="N297" s="1223"/>
      <c r="O297" s="1223"/>
      <c r="P297" s="1223"/>
      <c r="Q297" s="1223"/>
      <c r="R297" s="1223"/>
      <c r="S297" s="1223"/>
      <c r="T297" s="1223"/>
      <c r="U297" s="1223"/>
    </row>
    <row r="298" spans="7:21" ht="15.6">
      <c r="G298" s="1224"/>
      <c r="H298" s="1223"/>
      <c r="I298" s="1223"/>
      <c r="J298" s="1223"/>
      <c r="K298" s="1223"/>
      <c r="L298" s="1223"/>
      <c r="M298" s="1223"/>
      <c r="N298" s="1223"/>
      <c r="O298" s="1223"/>
      <c r="P298" s="1223"/>
      <c r="Q298" s="1223"/>
      <c r="R298" s="1223"/>
      <c r="S298" s="1223"/>
      <c r="T298" s="1223"/>
      <c r="U298" s="1223"/>
    </row>
    <row r="299" spans="7:21" ht="15.6">
      <c r="G299" s="1224"/>
      <c r="H299" s="1223"/>
      <c r="I299" s="1223"/>
      <c r="J299" s="1223"/>
      <c r="K299" s="1223"/>
      <c r="L299" s="1223"/>
      <c r="M299" s="1223"/>
      <c r="N299" s="1223"/>
      <c r="O299" s="1223"/>
      <c r="P299" s="1223"/>
      <c r="Q299" s="1223"/>
      <c r="R299" s="1223"/>
      <c r="S299" s="1223"/>
      <c r="T299" s="1223"/>
      <c r="U299" s="1223"/>
    </row>
    <row r="300" spans="7:21" ht="15.6">
      <c r="G300" s="1224"/>
      <c r="H300" s="1223"/>
      <c r="I300" s="1223"/>
      <c r="J300" s="1223"/>
      <c r="K300" s="1223"/>
      <c r="L300" s="1223"/>
      <c r="M300" s="1223"/>
      <c r="N300" s="1223"/>
      <c r="O300" s="1223"/>
      <c r="P300" s="1223"/>
      <c r="Q300" s="1223"/>
      <c r="R300" s="1223"/>
      <c r="S300" s="1223"/>
      <c r="T300" s="1223"/>
      <c r="U300" s="1223"/>
    </row>
    <row r="301" spans="7:21" ht="15.6">
      <c r="G301" s="1224"/>
      <c r="H301" s="1223"/>
      <c r="I301" s="1223"/>
      <c r="J301" s="1223"/>
      <c r="K301" s="1223"/>
      <c r="L301" s="1223"/>
      <c r="M301" s="1223"/>
      <c r="N301" s="1223"/>
      <c r="O301" s="1223"/>
      <c r="P301" s="1223"/>
      <c r="Q301" s="1223"/>
      <c r="R301" s="1223"/>
      <c r="S301" s="1223"/>
      <c r="T301" s="1223"/>
      <c r="U301" s="1223"/>
    </row>
    <row r="302" spans="7:21" ht="15.6">
      <c r="G302" s="1224"/>
      <c r="H302" s="1223"/>
      <c r="I302" s="1223"/>
      <c r="J302" s="1223"/>
      <c r="K302" s="1223"/>
      <c r="L302" s="1223"/>
      <c r="M302" s="1223"/>
      <c r="N302" s="1223"/>
      <c r="O302" s="1223"/>
      <c r="P302" s="1223"/>
      <c r="Q302" s="1223"/>
      <c r="R302" s="1223"/>
      <c r="S302" s="1223"/>
      <c r="T302" s="1223"/>
      <c r="U302" s="1223"/>
    </row>
    <row r="303" spans="7:21" ht="15.6">
      <c r="G303" s="1224"/>
      <c r="H303" s="1223"/>
      <c r="I303" s="1223"/>
      <c r="J303" s="1223"/>
      <c r="K303" s="1223"/>
      <c r="L303" s="1223"/>
      <c r="M303" s="1223"/>
      <c r="N303" s="1223"/>
      <c r="O303" s="1223"/>
      <c r="P303" s="1223"/>
      <c r="Q303" s="1223"/>
      <c r="R303" s="1223"/>
      <c r="S303" s="1223"/>
      <c r="T303" s="1223"/>
      <c r="U303" s="1223"/>
    </row>
    <row r="304" spans="7:21" ht="15.6">
      <c r="G304" s="1224"/>
      <c r="H304" s="1223"/>
      <c r="I304" s="1223"/>
      <c r="J304" s="1223"/>
      <c r="K304" s="1223"/>
      <c r="L304" s="1223"/>
      <c r="M304" s="1223"/>
      <c r="N304" s="1223"/>
      <c r="O304" s="1223"/>
      <c r="P304" s="1223"/>
      <c r="Q304" s="1223"/>
      <c r="R304" s="1223"/>
      <c r="S304" s="1223"/>
      <c r="T304" s="1223"/>
      <c r="U304" s="1223"/>
    </row>
    <row r="305" spans="7:21" ht="15.6">
      <c r="G305" s="1224"/>
      <c r="H305" s="1223"/>
      <c r="I305" s="1223"/>
      <c r="J305" s="1223"/>
      <c r="K305" s="1223"/>
      <c r="L305" s="1223"/>
      <c r="M305" s="1223"/>
      <c r="N305" s="1223"/>
      <c r="O305" s="1223"/>
      <c r="P305" s="1223"/>
      <c r="Q305" s="1223"/>
      <c r="R305" s="1223"/>
      <c r="S305" s="1223"/>
      <c r="T305" s="1223"/>
      <c r="U305" s="1223"/>
    </row>
    <row r="306" spans="7:21" ht="15.6">
      <c r="G306" s="1224"/>
      <c r="H306" s="1223"/>
      <c r="I306" s="1223"/>
      <c r="J306" s="1223"/>
      <c r="K306" s="1223"/>
      <c r="L306" s="1223"/>
      <c r="M306" s="1223"/>
      <c r="N306" s="1223"/>
      <c r="O306" s="1223"/>
      <c r="P306" s="1223"/>
      <c r="Q306" s="1223"/>
      <c r="R306" s="1223"/>
      <c r="S306" s="1223"/>
      <c r="T306" s="1223"/>
      <c r="U306" s="1223"/>
    </row>
    <row r="307" spans="7:21" ht="15.6">
      <c r="G307" s="1224"/>
      <c r="H307" s="1223"/>
      <c r="I307" s="1223"/>
      <c r="J307" s="1223"/>
      <c r="K307" s="1223"/>
      <c r="L307" s="1223"/>
      <c r="M307" s="1223"/>
      <c r="N307" s="1223"/>
      <c r="O307" s="1223"/>
      <c r="P307" s="1223"/>
      <c r="Q307" s="1223"/>
      <c r="R307" s="1223"/>
      <c r="S307" s="1223"/>
      <c r="T307" s="1223"/>
      <c r="U307" s="1223"/>
    </row>
    <row r="308" spans="7:21" ht="15.6">
      <c r="G308" s="1224"/>
      <c r="H308" s="1223"/>
      <c r="I308" s="1223"/>
      <c r="J308" s="1223"/>
      <c r="K308" s="1223"/>
      <c r="L308" s="1223"/>
      <c r="M308" s="1223"/>
      <c r="N308" s="1223"/>
      <c r="O308" s="1223"/>
      <c r="P308" s="1223"/>
      <c r="Q308" s="1223"/>
      <c r="R308" s="1223"/>
      <c r="S308" s="1223"/>
      <c r="T308" s="1223"/>
      <c r="U308" s="1223"/>
    </row>
    <row r="309" spans="7:21" ht="15.6">
      <c r="G309" s="1224"/>
      <c r="H309" s="1223"/>
      <c r="I309" s="1223"/>
      <c r="J309" s="1223"/>
      <c r="K309" s="1223"/>
      <c r="L309" s="1223"/>
      <c r="M309" s="1223"/>
      <c r="N309" s="1223"/>
      <c r="O309" s="1223"/>
      <c r="P309" s="1223"/>
      <c r="Q309" s="1223"/>
      <c r="R309" s="1223"/>
      <c r="S309" s="1223"/>
      <c r="T309" s="1223"/>
      <c r="U309" s="1223"/>
    </row>
    <row r="310" spans="7:21" ht="15.6">
      <c r="G310" s="1224"/>
      <c r="H310" s="1223"/>
      <c r="I310" s="1223"/>
      <c r="J310" s="1223"/>
      <c r="K310" s="1223"/>
      <c r="L310" s="1223"/>
      <c r="M310" s="1223"/>
      <c r="N310" s="1223"/>
      <c r="O310" s="1223"/>
      <c r="P310" s="1223"/>
      <c r="Q310" s="1223"/>
      <c r="R310" s="1223"/>
      <c r="S310" s="1223"/>
      <c r="T310" s="1223"/>
      <c r="U310" s="1223"/>
    </row>
    <row r="311" spans="7:21" ht="15.6">
      <c r="G311" s="1224"/>
      <c r="H311" s="1223"/>
      <c r="I311" s="1223"/>
      <c r="J311" s="1223"/>
      <c r="K311" s="1223"/>
      <c r="L311" s="1223"/>
      <c r="M311" s="1223"/>
      <c r="N311" s="1223"/>
      <c r="O311" s="1223"/>
      <c r="P311" s="1223"/>
      <c r="Q311" s="1223"/>
      <c r="R311" s="1223"/>
      <c r="S311" s="1223"/>
      <c r="T311" s="1223"/>
      <c r="U311" s="1223"/>
    </row>
    <row r="312" spans="7:21" ht="15.6">
      <c r="G312" s="1224"/>
      <c r="H312" s="1223"/>
      <c r="I312" s="1223"/>
      <c r="J312" s="1223"/>
      <c r="K312" s="1223"/>
      <c r="L312" s="1223"/>
      <c r="M312" s="1223"/>
      <c r="N312" s="1223"/>
      <c r="O312" s="1223"/>
      <c r="P312" s="1223"/>
      <c r="Q312" s="1223"/>
      <c r="R312" s="1223"/>
      <c r="S312" s="1223"/>
      <c r="T312" s="1223"/>
      <c r="U312" s="1223"/>
    </row>
    <row r="313" spans="7:21" ht="15.6">
      <c r="G313" s="1224"/>
      <c r="H313" s="1223"/>
      <c r="I313" s="1223"/>
      <c r="J313" s="1223"/>
      <c r="K313" s="1223"/>
      <c r="L313" s="1223"/>
      <c r="M313" s="1223"/>
      <c r="N313" s="1223"/>
      <c r="O313" s="1223"/>
      <c r="P313" s="1223"/>
      <c r="Q313" s="1223"/>
      <c r="R313" s="1223"/>
      <c r="S313" s="1223"/>
      <c r="T313" s="1223"/>
      <c r="U313" s="1223"/>
    </row>
    <row r="314" spans="7:21" ht="15.6">
      <c r="G314" s="1224"/>
      <c r="H314" s="1223"/>
      <c r="I314" s="1223"/>
      <c r="J314" s="1223"/>
      <c r="K314" s="1223"/>
      <c r="L314" s="1223"/>
      <c r="M314" s="1223"/>
      <c r="N314" s="1223"/>
      <c r="O314" s="1223"/>
      <c r="P314" s="1223"/>
      <c r="Q314" s="1223"/>
      <c r="R314" s="1223"/>
      <c r="S314" s="1223"/>
      <c r="T314" s="1223"/>
      <c r="U314" s="1223"/>
    </row>
    <row r="315" spans="7:21" ht="15.6">
      <c r="G315" s="1224"/>
      <c r="H315" s="1223"/>
      <c r="I315" s="1223"/>
      <c r="J315" s="1223"/>
      <c r="K315" s="1223"/>
      <c r="L315" s="1223"/>
      <c r="M315" s="1223"/>
      <c r="N315" s="1223"/>
      <c r="O315" s="1223"/>
      <c r="P315" s="1223"/>
      <c r="Q315" s="1223"/>
      <c r="R315" s="1223"/>
      <c r="S315" s="1223"/>
      <c r="T315" s="1223"/>
      <c r="U315" s="1223"/>
    </row>
    <row r="316" spans="7:21" ht="15.6">
      <c r="G316" s="1224"/>
      <c r="H316" s="1223"/>
      <c r="I316" s="1223"/>
      <c r="J316" s="1223"/>
      <c r="K316" s="1223"/>
      <c r="L316" s="1223"/>
      <c r="M316" s="1223"/>
      <c r="N316" s="1223"/>
      <c r="O316" s="1223"/>
      <c r="P316" s="1223"/>
      <c r="Q316" s="1223"/>
      <c r="R316" s="1223"/>
      <c r="S316" s="1223"/>
      <c r="T316" s="1223"/>
      <c r="U316" s="1223"/>
    </row>
    <row r="317" spans="7:21" ht="15.6">
      <c r="G317" s="1224"/>
      <c r="H317" s="1223"/>
      <c r="I317" s="1223"/>
      <c r="J317" s="1223"/>
      <c r="K317" s="1223"/>
      <c r="L317" s="1223"/>
      <c r="M317" s="1223"/>
      <c r="N317" s="1223"/>
      <c r="O317" s="1223"/>
      <c r="P317" s="1223"/>
      <c r="Q317" s="1223"/>
      <c r="R317" s="1223"/>
      <c r="S317" s="1223"/>
      <c r="T317" s="1223"/>
      <c r="U317" s="1223"/>
    </row>
    <row r="318" spans="7:21" ht="15.6">
      <c r="G318" s="1224"/>
      <c r="H318" s="1223"/>
      <c r="I318" s="1223"/>
      <c r="J318" s="1223"/>
      <c r="K318" s="1223"/>
      <c r="L318" s="1223"/>
      <c r="M318" s="1223"/>
      <c r="N318" s="1223"/>
      <c r="O318" s="1223"/>
      <c r="P318" s="1223"/>
      <c r="Q318" s="1223"/>
      <c r="R318" s="1223"/>
      <c r="S318" s="1223"/>
      <c r="T318" s="1223"/>
      <c r="U318" s="1223"/>
    </row>
    <row r="319" spans="7:21" ht="15.6">
      <c r="G319" s="1224"/>
      <c r="H319" s="1223"/>
      <c r="I319" s="1223"/>
      <c r="J319" s="1223"/>
      <c r="K319" s="1223"/>
      <c r="L319" s="1223"/>
      <c r="M319" s="1223"/>
      <c r="N319" s="1223"/>
      <c r="O319" s="1223"/>
      <c r="P319" s="1223"/>
      <c r="Q319" s="1223"/>
      <c r="R319" s="1223"/>
      <c r="S319" s="1223"/>
      <c r="T319" s="1223"/>
      <c r="U319" s="1223"/>
    </row>
    <row r="320" spans="7:21" ht="15.6">
      <c r="G320" s="1224"/>
      <c r="H320" s="1223"/>
      <c r="I320" s="1223"/>
      <c r="J320" s="1223"/>
      <c r="K320" s="1223"/>
      <c r="L320" s="1223"/>
      <c r="M320" s="1223"/>
      <c r="N320" s="1223"/>
      <c r="O320" s="1223"/>
      <c r="P320" s="1223"/>
      <c r="Q320" s="1223"/>
      <c r="R320" s="1223"/>
      <c r="S320" s="1223"/>
      <c r="T320" s="1223"/>
      <c r="U320" s="1223"/>
    </row>
    <row r="321" spans="7:21" ht="15.6">
      <c r="G321" s="1224"/>
      <c r="H321" s="1223"/>
      <c r="I321" s="1223"/>
      <c r="J321" s="1223"/>
      <c r="K321" s="1223"/>
      <c r="L321" s="1223"/>
      <c r="M321" s="1223"/>
      <c r="N321" s="1223"/>
      <c r="O321" s="1223"/>
      <c r="P321" s="1223"/>
      <c r="Q321" s="1223"/>
      <c r="R321" s="1223"/>
      <c r="S321" s="1223"/>
      <c r="T321" s="1223"/>
      <c r="U321" s="1223"/>
    </row>
    <row r="322" spans="7:21" ht="15.6">
      <c r="G322" s="1224"/>
      <c r="H322" s="1223"/>
      <c r="I322" s="1223"/>
      <c r="J322" s="1223"/>
      <c r="K322" s="1223"/>
      <c r="L322" s="1223"/>
      <c r="M322" s="1223"/>
      <c r="N322" s="1223"/>
      <c r="O322" s="1223"/>
      <c r="P322" s="1223"/>
      <c r="Q322" s="1223"/>
      <c r="R322" s="1223"/>
      <c r="S322" s="1223"/>
      <c r="T322" s="1223"/>
      <c r="U322" s="1223"/>
    </row>
    <row r="323" spans="7:21" ht="15.6">
      <c r="G323" s="1224"/>
      <c r="H323" s="1223"/>
      <c r="I323" s="1223"/>
      <c r="J323" s="1223"/>
      <c r="K323" s="1223"/>
      <c r="L323" s="1223"/>
      <c r="M323" s="1223"/>
      <c r="N323" s="1223"/>
      <c r="O323" s="1223"/>
      <c r="P323" s="1223"/>
      <c r="Q323" s="1223"/>
      <c r="R323" s="1223"/>
      <c r="S323" s="1223"/>
      <c r="T323" s="1223"/>
      <c r="U323" s="1223"/>
    </row>
    <row r="324" spans="7:21" ht="15.6">
      <c r="G324" s="1224"/>
      <c r="H324" s="1223"/>
      <c r="I324" s="1223"/>
      <c r="J324" s="1223"/>
      <c r="K324" s="1223"/>
      <c r="L324" s="1223"/>
      <c r="M324" s="1223"/>
      <c r="N324" s="1223"/>
      <c r="O324" s="1223"/>
      <c r="P324" s="1223"/>
      <c r="Q324" s="1223"/>
      <c r="R324" s="1223"/>
      <c r="S324" s="1223"/>
      <c r="T324" s="1223"/>
      <c r="U324" s="1223"/>
    </row>
    <row r="325" spans="7:21" ht="15.6">
      <c r="G325" s="1224"/>
      <c r="H325" s="1223"/>
      <c r="I325" s="1223"/>
      <c r="J325" s="1223"/>
      <c r="K325" s="1223"/>
      <c r="L325" s="1223"/>
      <c r="M325" s="1223"/>
      <c r="N325" s="1223"/>
      <c r="O325" s="1223"/>
      <c r="P325" s="1223"/>
      <c r="Q325" s="1223"/>
      <c r="R325" s="1223"/>
      <c r="S325" s="1223"/>
      <c r="T325" s="1223"/>
      <c r="U325" s="1223"/>
    </row>
    <row r="326" spans="7:21" ht="15.6">
      <c r="G326" s="1224"/>
      <c r="H326" s="1223"/>
      <c r="I326" s="1223"/>
      <c r="J326" s="1223"/>
      <c r="K326" s="1223"/>
      <c r="L326" s="1223"/>
      <c r="M326" s="1223"/>
      <c r="N326" s="1223"/>
      <c r="O326" s="1223"/>
      <c r="P326" s="1223"/>
      <c r="Q326" s="1223"/>
      <c r="R326" s="1223"/>
      <c r="S326" s="1223"/>
      <c r="T326" s="1223"/>
      <c r="U326" s="1223"/>
    </row>
    <row r="327" spans="7:21" ht="15.6">
      <c r="G327" s="1224"/>
      <c r="H327" s="1223"/>
      <c r="I327" s="1223"/>
      <c r="J327" s="1223"/>
      <c r="K327" s="1223"/>
      <c r="L327" s="1223"/>
      <c r="M327" s="1223"/>
      <c r="N327" s="1223"/>
      <c r="O327" s="1223"/>
      <c r="P327" s="1223"/>
      <c r="Q327" s="1223"/>
      <c r="R327" s="1223"/>
      <c r="S327" s="1223"/>
      <c r="T327" s="1223"/>
      <c r="U327" s="1223"/>
    </row>
    <row r="328" spans="7:21" ht="15.6">
      <c r="G328" s="1224"/>
      <c r="H328" s="1223"/>
      <c r="I328" s="1223"/>
      <c r="J328" s="1223"/>
      <c r="K328" s="1223"/>
      <c r="L328" s="1223"/>
      <c r="M328" s="1223"/>
      <c r="N328" s="1223"/>
      <c r="O328" s="1223"/>
      <c r="P328" s="1223"/>
      <c r="Q328" s="1223"/>
      <c r="R328" s="1223"/>
      <c r="S328" s="1223"/>
      <c r="T328" s="1223"/>
      <c r="U328" s="1223"/>
    </row>
    <row r="329" spans="7:21" ht="15.6">
      <c r="G329" s="1224"/>
      <c r="H329" s="1223"/>
      <c r="I329" s="1223"/>
      <c r="J329" s="1223"/>
      <c r="K329" s="1223"/>
      <c r="L329" s="1223"/>
      <c r="M329" s="1223"/>
      <c r="N329" s="1223"/>
      <c r="O329" s="1223"/>
      <c r="P329" s="1223"/>
      <c r="Q329" s="1223"/>
      <c r="R329" s="1223"/>
      <c r="S329" s="1223"/>
      <c r="T329" s="1223"/>
      <c r="U329" s="1223"/>
    </row>
    <row r="330" spans="7:21" ht="15.6">
      <c r="G330" s="1224"/>
      <c r="H330" s="1223"/>
      <c r="I330" s="1223"/>
      <c r="J330" s="1223"/>
      <c r="K330" s="1223"/>
      <c r="L330" s="1223"/>
      <c r="M330" s="1223"/>
      <c r="N330" s="1223"/>
      <c r="O330" s="1223"/>
      <c r="P330" s="1223"/>
      <c r="Q330" s="1223"/>
      <c r="R330" s="1223"/>
      <c r="S330" s="1223"/>
      <c r="T330" s="1223"/>
      <c r="U330" s="1223"/>
    </row>
    <row r="331" spans="7:21" ht="15.6">
      <c r="G331" s="1224"/>
      <c r="H331" s="1223"/>
      <c r="I331" s="1223"/>
      <c r="J331" s="1223"/>
      <c r="K331" s="1223"/>
      <c r="L331" s="1223"/>
      <c r="M331" s="1223"/>
      <c r="N331" s="1223"/>
      <c r="O331" s="1223"/>
      <c r="P331" s="1223"/>
      <c r="Q331" s="1223"/>
      <c r="R331" s="1223"/>
      <c r="S331" s="1223"/>
      <c r="T331" s="1223"/>
      <c r="U331" s="1223"/>
    </row>
    <row r="332" spans="7:21" ht="15.6">
      <c r="G332" s="1224"/>
      <c r="H332" s="1223"/>
      <c r="I332" s="1223"/>
      <c r="J332" s="1223"/>
      <c r="K332" s="1223"/>
      <c r="L332" s="1223"/>
      <c r="M332" s="1223"/>
      <c r="N332" s="1223"/>
      <c r="O332" s="1223"/>
      <c r="P332" s="1223"/>
      <c r="Q332" s="1223"/>
      <c r="R332" s="1223"/>
      <c r="S332" s="1223"/>
      <c r="T332" s="1223"/>
      <c r="U332" s="1223"/>
    </row>
    <row r="333" spans="7:21" ht="15.6">
      <c r="G333" s="1224"/>
      <c r="H333" s="1223"/>
      <c r="I333" s="1223"/>
      <c r="J333" s="1223"/>
      <c r="K333" s="1223"/>
      <c r="L333" s="1223"/>
      <c r="M333" s="1223"/>
      <c r="N333" s="1223"/>
      <c r="O333" s="1223"/>
      <c r="P333" s="1223"/>
      <c r="Q333" s="1223"/>
      <c r="R333" s="1223"/>
      <c r="S333" s="1223"/>
      <c r="T333" s="1223"/>
      <c r="U333" s="1223"/>
    </row>
    <row r="334" spans="7:21" ht="15.6">
      <c r="G334" s="1224"/>
      <c r="H334" s="1223"/>
      <c r="I334" s="1223"/>
      <c r="J334" s="1223"/>
      <c r="K334" s="1223"/>
      <c r="L334" s="1223"/>
      <c r="M334" s="1223"/>
      <c r="N334" s="1223"/>
      <c r="O334" s="1223"/>
      <c r="P334" s="1223"/>
      <c r="Q334" s="1223"/>
      <c r="R334" s="1223"/>
      <c r="S334" s="1223"/>
      <c r="T334" s="1223"/>
      <c r="U334" s="1223"/>
    </row>
    <row r="335" spans="7:21" ht="15.6">
      <c r="G335" s="1224"/>
      <c r="H335" s="1223"/>
      <c r="I335" s="1223"/>
      <c r="J335" s="1223"/>
      <c r="K335" s="1223"/>
      <c r="L335" s="1223"/>
      <c r="M335" s="1223"/>
      <c r="N335" s="1223"/>
      <c r="O335" s="1223"/>
      <c r="P335" s="1223"/>
      <c r="Q335" s="1223"/>
      <c r="R335" s="1223"/>
      <c r="S335" s="1223"/>
      <c r="T335" s="1223"/>
      <c r="U335" s="1223"/>
    </row>
    <row r="336" spans="7:21" ht="15.6">
      <c r="G336" s="1224"/>
      <c r="H336" s="1223"/>
      <c r="I336" s="1223"/>
      <c r="J336" s="1223"/>
      <c r="K336" s="1223"/>
      <c r="L336" s="1223"/>
      <c r="M336" s="1223"/>
      <c r="N336" s="1223"/>
      <c r="O336" s="1223"/>
      <c r="P336" s="1223"/>
      <c r="Q336" s="1223"/>
      <c r="R336" s="1223"/>
      <c r="S336" s="1223"/>
      <c r="T336" s="1223"/>
      <c r="U336" s="1223"/>
    </row>
    <row r="337" spans="7:21" ht="15.6">
      <c r="G337" s="1224"/>
      <c r="H337" s="1223"/>
      <c r="I337" s="1223"/>
      <c r="J337" s="1223"/>
      <c r="K337" s="1223"/>
      <c r="L337" s="1223"/>
      <c r="M337" s="1223"/>
      <c r="N337" s="1223"/>
      <c r="O337" s="1223"/>
      <c r="P337" s="1223"/>
      <c r="Q337" s="1223"/>
      <c r="R337" s="1223"/>
      <c r="S337" s="1223"/>
      <c r="T337" s="1223"/>
      <c r="U337" s="1223"/>
    </row>
    <row r="338" spans="7:21" ht="15.6">
      <c r="G338" s="1224"/>
      <c r="H338" s="1223"/>
      <c r="I338" s="1223"/>
      <c r="J338" s="1223"/>
      <c r="K338" s="1223"/>
      <c r="L338" s="1223"/>
      <c r="M338" s="1223"/>
      <c r="N338" s="1223"/>
      <c r="O338" s="1223"/>
      <c r="P338" s="1223"/>
      <c r="Q338" s="1223"/>
      <c r="R338" s="1223"/>
      <c r="S338" s="1223"/>
      <c r="T338" s="1223"/>
      <c r="U338" s="1223"/>
    </row>
    <row r="339" spans="7:21" ht="15.6">
      <c r="G339" s="1224"/>
      <c r="H339" s="1223"/>
      <c r="I339" s="1223"/>
      <c r="J339" s="1223"/>
      <c r="K339" s="1223"/>
      <c r="L339" s="1223"/>
      <c r="M339" s="1223"/>
      <c r="N339" s="1223"/>
      <c r="O339" s="1223"/>
      <c r="P339" s="1223"/>
      <c r="Q339" s="1223"/>
      <c r="R339" s="1223"/>
      <c r="S339" s="1223"/>
      <c r="T339" s="1223"/>
      <c r="U339" s="1223"/>
    </row>
    <row r="340" spans="7:21" ht="15.6">
      <c r="G340" s="1224"/>
      <c r="H340" s="1223"/>
      <c r="I340" s="1223"/>
      <c r="J340" s="1223"/>
      <c r="K340" s="1223"/>
      <c r="L340" s="1223"/>
      <c r="M340" s="1223"/>
      <c r="N340" s="1223"/>
      <c r="O340" s="1223"/>
      <c r="P340" s="1223"/>
      <c r="Q340" s="1223"/>
      <c r="R340" s="1223"/>
      <c r="S340" s="1223"/>
      <c r="T340" s="1223"/>
      <c r="U340" s="1223"/>
    </row>
    <row r="341" spans="7:21" ht="15.6">
      <c r="G341" s="1224"/>
      <c r="H341" s="1223"/>
      <c r="I341" s="1223"/>
      <c r="J341" s="1223"/>
      <c r="K341" s="1223"/>
      <c r="L341" s="1223"/>
      <c r="M341" s="1223"/>
      <c r="N341" s="1223"/>
      <c r="O341" s="1223"/>
      <c r="P341" s="1223"/>
      <c r="Q341" s="1223"/>
      <c r="R341" s="1223"/>
      <c r="S341" s="1223"/>
      <c r="T341" s="1223"/>
      <c r="U341" s="1223"/>
    </row>
    <row r="342" spans="7:21" ht="15.6">
      <c r="G342" s="1224"/>
      <c r="H342" s="1223"/>
      <c r="I342" s="1223"/>
      <c r="J342" s="1223"/>
      <c r="K342" s="1223"/>
      <c r="L342" s="1223"/>
      <c r="M342" s="1223"/>
      <c r="N342" s="1223"/>
      <c r="O342" s="1223"/>
      <c r="P342" s="1223"/>
      <c r="Q342" s="1223"/>
      <c r="R342" s="1223"/>
      <c r="S342" s="1223"/>
      <c r="T342" s="1223"/>
      <c r="U342" s="1223"/>
    </row>
    <row r="343" spans="7:21" ht="15.6">
      <c r="G343" s="1224"/>
      <c r="H343" s="1223"/>
      <c r="I343" s="1223"/>
      <c r="J343" s="1223"/>
      <c r="K343" s="1223"/>
      <c r="L343" s="1223"/>
      <c r="M343" s="1223"/>
      <c r="N343" s="1223"/>
      <c r="O343" s="1223"/>
      <c r="P343" s="1223"/>
      <c r="Q343" s="1223"/>
      <c r="R343" s="1223"/>
      <c r="S343" s="1223"/>
      <c r="T343" s="1223"/>
      <c r="U343" s="1223"/>
    </row>
    <row r="344" spans="7:21" ht="15.6">
      <c r="G344" s="1224"/>
      <c r="H344" s="1223"/>
      <c r="I344" s="1223"/>
      <c r="J344" s="1223"/>
      <c r="K344" s="1223"/>
      <c r="L344" s="1223"/>
      <c r="M344" s="1223"/>
      <c r="N344" s="1223"/>
      <c r="O344" s="1223"/>
      <c r="P344" s="1223"/>
      <c r="Q344" s="1223"/>
      <c r="R344" s="1223"/>
      <c r="S344" s="1223"/>
      <c r="T344" s="1223"/>
      <c r="U344" s="1223"/>
    </row>
    <row r="345" spans="7:21" ht="15.6">
      <c r="G345" s="1224"/>
      <c r="H345" s="1223"/>
      <c r="I345" s="1223"/>
      <c r="J345" s="1223"/>
      <c r="K345" s="1223"/>
      <c r="L345" s="1223"/>
      <c r="M345" s="1223"/>
      <c r="N345" s="1223"/>
      <c r="O345" s="1223"/>
      <c r="P345" s="1223"/>
      <c r="Q345" s="1223"/>
      <c r="R345" s="1223"/>
      <c r="S345" s="1223"/>
      <c r="T345" s="1223"/>
      <c r="U345" s="1223"/>
    </row>
    <row r="346" spans="7:21" ht="15.6">
      <c r="G346" s="1224"/>
      <c r="H346" s="1223"/>
      <c r="I346" s="1223"/>
      <c r="J346" s="1223"/>
      <c r="K346" s="1223"/>
      <c r="L346" s="1223"/>
      <c r="M346" s="1223"/>
      <c r="N346" s="1223"/>
      <c r="O346" s="1223"/>
      <c r="P346" s="1223"/>
      <c r="Q346" s="1223"/>
      <c r="R346" s="1223"/>
      <c r="S346" s="1223"/>
      <c r="T346" s="1223"/>
      <c r="U346" s="1223"/>
    </row>
    <row r="347" spans="7:21" ht="15.6">
      <c r="G347" s="1224"/>
      <c r="H347" s="1223"/>
      <c r="I347" s="1223"/>
      <c r="J347" s="1223"/>
      <c r="K347" s="1223"/>
      <c r="L347" s="1223"/>
      <c r="M347" s="1223"/>
      <c r="N347" s="1223"/>
      <c r="O347" s="1223"/>
      <c r="P347" s="1223"/>
      <c r="Q347" s="1223"/>
      <c r="R347" s="1223"/>
      <c r="S347" s="1223"/>
      <c r="T347" s="1223"/>
      <c r="U347" s="1223"/>
    </row>
    <row r="348" spans="7:21" ht="15.6">
      <c r="G348" s="1224"/>
      <c r="H348" s="1223"/>
      <c r="I348" s="1223"/>
      <c r="J348" s="1223"/>
      <c r="K348" s="1223"/>
      <c r="L348" s="1223"/>
      <c r="M348" s="1223"/>
      <c r="N348" s="1223"/>
      <c r="O348" s="1223"/>
      <c r="P348" s="1223"/>
      <c r="Q348" s="1223"/>
      <c r="R348" s="1223"/>
      <c r="S348" s="1223"/>
      <c r="T348" s="1223"/>
      <c r="U348" s="1223"/>
    </row>
    <row r="349" spans="7:21" ht="15.6">
      <c r="G349" s="1224"/>
      <c r="H349" s="1223"/>
      <c r="I349" s="1223"/>
      <c r="J349" s="1223"/>
      <c r="K349" s="1223"/>
      <c r="L349" s="1223"/>
      <c r="M349" s="1223"/>
      <c r="N349" s="1223"/>
      <c r="O349" s="1223"/>
      <c r="P349" s="1223"/>
      <c r="Q349" s="1223"/>
      <c r="R349" s="1223"/>
      <c r="S349" s="1223"/>
      <c r="T349" s="1223"/>
      <c r="U349" s="1223"/>
    </row>
    <row r="350" spans="7:21" ht="15.6">
      <c r="G350" s="1224"/>
      <c r="H350" s="1223"/>
      <c r="I350" s="1223"/>
      <c r="J350" s="1223"/>
      <c r="K350" s="1223"/>
      <c r="L350" s="1223"/>
      <c r="M350" s="1223"/>
      <c r="N350" s="1223"/>
      <c r="O350" s="1223"/>
      <c r="P350" s="1223"/>
      <c r="Q350" s="1223"/>
      <c r="R350" s="1223"/>
      <c r="S350" s="1223"/>
      <c r="T350" s="1223"/>
      <c r="U350" s="1223"/>
    </row>
    <row r="351" spans="7:21" ht="15.6">
      <c r="G351" s="1224"/>
      <c r="H351" s="1223"/>
      <c r="I351" s="1223"/>
      <c r="J351" s="1223"/>
      <c r="K351" s="1223"/>
      <c r="L351" s="1223"/>
      <c r="M351" s="1223"/>
      <c r="N351" s="1223"/>
      <c r="O351" s="1223"/>
      <c r="P351" s="1223"/>
      <c r="Q351" s="1223"/>
      <c r="R351" s="1223"/>
      <c r="S351" s="1223"/>
      <c r="T351" s="1223"/>
      <c r="U351" s="1223"/>
    </row>
    <row r="352" spans="7:21" ht="15.6">
      <c r="G352" s="1224"/>
      <c r="H352" s="1223"/>
      <c r="I352" s="1223"/>
      <c r="J352" s="1223"/>
      <c r="K352" s="1223"/>
      <c r="L352" s="1223"/>
      <c r="M352" s="1223"/>
      <c r="N352" s="1223"/>
      <c r="O352" s="1223"/>
      <c r="P352" s="1223"/>
      <c r="Q352" s="1223"/>
      <c r="R352" s="1223"/>
      <c r="S352" s="1223"/>
      <c r="T352" s="1223"/>
      <c r="U352" s="1223"/>
    </row>
    <row r="353" spans="7:21" ht="15.6">
      <c r="G353" s="1224"/>
      <c r="H353" s="1223"/>
      <c r="I353" s="1223"/>
      <c r="J353" s="1223"/>
      <c r="K353" s="1223"/>
      <c r="L353" s="1223"/>
      <c r="M353" s="1223"/>
      <c r="N353" s="1223"/>
      <c r="O353" s="1223"/>
      <c r="P353" s="1223"/>
      <c r="Q353" s="1223"/>
      <c r="R353" s="1223"/>
      <c r="S353" s="1223"/>
      <c r="T353" s="1223"/>
      <c r="U353" s="1223"/>
    </row>
    <row r="354" spans="7:21" ht="15.6">
      <c r="G354" s="1224"/>
      <c r="H354" s="1223"/>
      <c r="I354" s="1223"/>
      <c r="J354" s="1223"/>
      <c r="K354" s="1223"/>
      <c r="L354" s="1223"/>
      <c r="M354" s="1223"/>
      <c r="N354" s="1223"/>
      <c r="O354" s="1223"/>
      <c r="P354" s="1223"/>
      <c r="Q354" s="1223"/>
      <c r="R354" s="1223"/>
      <c r="S354" s="1223"/>
      <c r="T354" s="1223"/>
      <c r="U354" s="1223"/>
    </row>
    <row r="355" spans="7:21" ht="15.6">
      <c r="G355" s="1224"/>
      <c r="H355" s="1223"/>
      <c r="I355" s="1223"/>
      <c r="J355" s="1223"/>
      <c r="K355" s="1223"/>
      <c r="L355" s="1223"/>
      <c r="M355" s="1223"/>
      <c r="N355" s="1223"/>
      <c r="O355" s="1223"/>
      <c r="P355" s="1223"/>
      <c r="Q355" s="1223"/>
      <c r="R355" s="1223"/>
      <c r="S355" s="1223"/>
      <c r="T355" s="1223"/>
      <c r="U355" s="1223"/>
    </row>
    <row r="356" spans="7:21" ht="15.6">
      <c r="G356" s="1224"/>
      <c r="H356" s="1223"/>
      <c r="I356" s="1223"/>
      <c r="J356" s="1223"/>
      <c r="K356" s="1223"/>
      <c r="L356" s="1223"/>
      <c r="M356" s="1223"/>
      <c r="N356" s="1223"/>
      <c r="O356" s="1223"/>
      <c r="P356" s="1223"/>
      <c r="Q356" s="1223"/>
      <c r="R356" s="1223"/>
      <c r="S356" s="1223"/>
      <c r="T356" s="1223"/>
      <c r="U356" s="1223"/>
    </row>
    <row r="357" spans="7:21" ht="15.6">
      <c r="G357" s="1224"/>
      <c r="H357" s="1223"/>
      <c r="I357" s="1223"/>
      <c r="J357" s="1223"/>
      <c r="K357" s="1223"/>
      <c r="L357" s="1223"/>
      <c r="M357" s="1223"/>
      <c r="N357" s="1223"/>
      <c r="O357" s="1223"/>
      <c r="P357" s="1223"/>
      <c r="Q357" s="1223"/>
      <c r="R357" s="1223"/>
      <c r="S357" s="1223"/>
      <c r="T357" s="1223"/>
      <c r="U357" s="1223"/>
    </row>
    <row r="358" spans="7:21" ht="15.6">
      <c r="G358" s="1224"/>
      <c r="H358" s="1223"/>
      <c r="I358" s="1223"/>
      <c r="J358" s="1223"/>
      <c r="K358" s="1223"/>
      <c r="L358" s="1223"/>
      <c r="M358" s="1223"/>
      <c r="N358" s="1223"/>
      <c r="O358" s="1223"/>
      <c r="P358" s="1223"/>
      <c r="Q358" s="1223"/>
      <c r="R358" s="1223"/>
      <c r="S358" s="1223"/>
      <c r="T358" s="1223"/>
      <c r="U358" s="1223"/>
    </row>
    <row r="359" spans="7:21" ht="15.6">
      <c r="G359" s="1224"/>
      <c r="H359" s="1223"/>
      <c r="I359" s="1223"/>
      <c r="J359" s="1223"/>
      <c r="K359" s="1223"/>
      <c r="L359" s="1223"/>
      <c r="M359" s="1223"/>
      <c r="N359" s="1223"/>
      <c r="O359" s="1223"/>
      <c r="P359" s="1223"/>
      <c r="Q359" s="1223"/>
      <c r="R359" s="1223"/>
      <c r="S359" s="1223"/>
      <c r="T359" s="1223"/>
      <c r="U359" s="1223"/>
    </row>
    <row r="360" spans="7:21" ht="15.6">
      <c r="G360" s="1224"/>
      <c r="H360" s="1223"/>
      <c r="I360" s="1223"/>
      <c r="J360" s="1223"/>
      <c r="K360" s="1223"/>
      <c r="L360" s="1223"/>
      <c r="M360" s="1223"/>
      <c r="N360" s="1223"/>
      <c r="O360" s="1223"/>
      <c r="P360" s="1223"/>
      <c r="Q360" s="1223"/>
      <c r="R360" s="1223"/>
      <c r="S360" s="1223"/>
      <c r="T360" s="1223"/>
      <c r="U360" s="1223"/>
    </row>
    <row r="361" spans="7:21" ht="15.6">
      <c r="G361" s="1224"/>
      <c r="H361" s="1223"/>
      <c r="I361" s="1223"/>
      <c r="J361" s="1223"/>
      <c r="K361" s="1223"/>
      <c r="L361" s="1223"/>
      <c r="M361" s="1223"/>
      <c r="N361" s="1223"/>
      <c r="O361" s="1223"/>
      <c r="P361" s="1223"/>
      <c r="Q361" s="1223"/>
      <c r="R361" s="1223"/>
      <c r="S361" s="1223"/>
      <c r="T361" s="1223"/>
      <c r="U361" s="1223"/>
    </row>
    <row r="362" spans="7:21" ht="15.6">
      <c r="G362" s="1224"/>
      <c r="H362" s="1223"/>
      <c r="I362" s="1223"/>
      <c r="J362" s="1223"/>
      <c r="K362" s="1223"/>
      <c r="L362" s="1223"/>
      <c r="M362" s="1223"/>
      <c r="N362" s="1223"/>
      <c r="O362" s="1223"/>
      <c r="P362" s="1223"/>
      <c r="Q362" s="1223"/>
      <c r="R362" s="1223"/>
      <c r="S362" s="1223"/>
      <c r="T362" s="1223"/>
      <c r="U362" s="1223"/>
    </row>
    <row r="363" spans="7:21" ht="15.6">
      <c r="G363" s="1224"/>
      <c r="H363" s="1223"/>
      <c r="I363" s="1223"/>
      <c r="J363" s="1223"/>
      <c r="K363" s="1223"/>
      <c r="L363" s="1223"/>
      <c r="M363" s="1223"/>
      <c r="N363" s="1223"/>
      <c r="O363" s="1223"/>
      <c r="P363" s="1223"/>
      <c r="Q363" s="1223"/>
      <c r="R363" s="1223"/>
      <c r="S363" s="1223"/>
      <c r="T363" s="1223"/>
      <c r="U363" s="1223"/>
    </row>
    <row r="364" spans="7:21" ht="15.6">
      <c r="G364" s="1224"/>
      <c r="H364" s="1223"/>
      <c r="I364" s="1223"/>
      <c r="J364" s="1223"/>
      <c r="K364" s="1223"/>
      <c r="L364" s="1223"/>
      <c r="M364" s="1223"/>
      <c r="N364" s="1223"/>
      <c r="O364" s="1223"/>
      <c r="P364" s="1223"/>
      <c r="Q364" s="1223"/>
      <c r="R364" s="1223"/>
      <c r="S364" s="1223"/>
      <c r="T364" s="1223"/>
      <c r="U364" s="1223"/>
    </row>
    <row r="365" spans="7:21" ht="15.6">
      <c r="G365" s="1224"/>
      <c r="H365" s="1223"/>
      <c r="I365" s="1223"/>
      <c r="J365" s="1223"/>
      <c r="K365" s="1223"/>
      <c r="L365" s="1223"/>
      <c r="M365" s="1223"/>
      <c r="N365" s="1223"/>
      <c r="O365" s="1223"/>
      <c r="P365" s="1223"/>
      <c r="Q365" s="1223"/>
      <c r="R365" s="1223"/>
      <c r="S365" s="1223"/>
      <c r="T365" s="1223"/>
      <c r="U365" s="1223"/>
    </row>
    <row r="366" spans="7:21" ht="15.6">
      <c r="G366" s="1224"/>
      <c r="H366" s="1223"/>
      <c r="I366" s="1223"/>
      <c r="J366" s="1223"/>
      <c r="K366" s="1223"/>
      <c r="L366" s="1223"/>
      <c r="M366" s="1223"/>
      <c r="N366" s="1223"/>
      <c r="O366" s="1223"/>
      <c r="P366" s="1223"/>
      <c r="Q366" s="1223"/>
      <c r="R366" s="1223"/>
      <c r="S366" s="1223"/>
      <c r="T366" s="1223"/>
      <c r="U366" s="1223"/>
    </row>
    <row r="367" spans="7:21" ht="15.6">
      <c r="G367" s="1224"/>
      <c r="H367" s="1223"/>
      <c r="I367" s="1223"/>
      <c r="J367" s="1223"/>
      <c r="K367" s="1223"/>
      <c r="L367" s="1223"/>
      <c r="M367" s="1223"/>
      <c r="N367" s="1223"/>
      <c r="O367" s="1223"/>
      <c r="P367" s="1223"/>
      <c r="Q367" s="1223"/>
      <c r="R367" s="1223"/>
      <c r="S367" s="1223"/>
      <c r="T367" s="1223"/>
      <c r="U367" s="1223"/>
    </row>
    <row r="368" spans="7:21" ht="15.6">
      <c r="G368" s="1224"/>
      <c r="H368" s="1223"/>
      <c r="I368" s="1223"/>
      <c r="J368" s="1223"/>
      <c r="K368" s="1223"/>
      <c r="L368" s="1223"/>
      <c r="M368" s="1223"/>
      <c r="N368" s="1223"/>
      <c r="O368" s="1223"/>
      <c r="P368" s="1223"/>
      <c r="Q368" s="1223"/>
      <c r="R368" s="1223"/>
      <c r="S368" s="1223"/>
      <c r="T368" s="1223"/>
      <c r="U368" s="1223"/>
    </row>
    <row r="369" spans="7:21" ht="15.6">
      <c r="G369" s="1224"/>
      <c r="H369" s="1223"/>
      <c r="I369" s="1223"/>
      <c r="J369" s="1223"/>
      <c r="K369" s="1223"/>
      <c r="L369" s="1223"/>
      <c r="M369" s="1223"/>
      <c r="N369" s="1223"/>
      <c r="O369" s="1223"/>
      <c r="P369" s="1223"/>
      <c r="Q369" s="1223"/>
      <c r="R369" s="1223"/>
      <c r="S369" s="1223"/>
      <c r="T369" s="1223"/>
      <c r="U369" s="1223"/>
    </row>
    <row r="370" spans="7:21" ht="15.6">
      <c r="G370" s="1224"/>
      <c r="H370" s="1223"/>
      <c r="I370" s="1223"/>
      <c r="J370" s="1223"/>
      <c r="K370" s="1223"/>
      <c r="L370" s="1223"/>
      <c r="M370" s="1223"/>
      <c r="N370" s="1223"/>
      <c r="O370" s="1223"/>
      <c r="P370" s="1223"/>
      <c r="Q370" s="1223"/>
      <c r="R370" s="1223"/>
      <c r="S370" s="1223"/>
      <c r="T370" s="1223"/>
      <c r="U370" s="1223"/>
    </row>
    <row r="371" spans="7:21" ht="15.6">
      <c r="G371" s="1224"/>
      <c r="H371" s="1223"/>
      <c r="I371" s="1223"/>
      <c r="J371" s="1223"/>
      <c r="K371" s="1223"/>
      <c r="L371" s="1223"/>
      <c r="M371" s="1223"/>
      <c r="N371" s="1223"/>
      <c r="O371" s="1223"/>
      <c r="P371" s="1223"/>
      <c r="Q371" s="1223"/>
      <c r="R371" s="1223"/>
      <c r="S371" s="1223"/>
      <c r="T371" s="1223"/>
      <c r="U371" s="1223"/>
    </row>
    <row r="372" spans="7:21" ht="15.6">
      <c r="G372" s="1224"/>
      <c r="H372" s="1223"/>
      <c r="I372" s="1223"/>
      <c r="J372" s="1223"/>
      <c r="K372" s="1223"/>
      <c r="L372" s="1223"/>
      <c r="M372" s="1223"/>
      <c r="N372" s="1223"/>
      <c r="O372" s="1223"/>
      <c r="P372" s="1223"/>
      <c r="Q372" s="1223"/>
      <c r="R372" s="1223"/>
      <c r="S372" s="1223"/>
      <c r="T372" s="1223"/>
      <c r="U372" s="1223"/>
    </row>
    <row r="373" spans="7:21" ht="15.6">
      <c r="G373" s="1224"/>
      <c r="H373" s="1223"/>
      <c r="I373" s="1223"/>
      <c r="J373" s="1223"/>
      <c r="K373" s="1223"/>
      <c r="L373" s="1223"/>
      <c r="M373" s="1223"/>
      <c r="N373" s="1223"/>
      <c r="O373" s="1223"/>
      <c r="P373" s="1223"/>
      <c r="Q373" s="1223"/>
      <c r="R373" s="1223"/>
      <c r="S373" s="1223"/>
      <c r="T373" s="1223"/>
      <c r="U373" s="1223"/>
    </row>
    <row r="374" spans="7:21" ht="15.6">
      <c r="G374" s="1224"/>
      <c r="H374" s="1223"/>
      <c r="I374" s="1223"/>
      <c r="J374" s="1223"/>
      <c r="K374" s="1223"/>
      <c r="L374" s="1223"/>
      <c r="M374" s="1223"/>
      <c r="N374" s="1223"/>
      <c r="O374" s="1223"/>
      <c r="P374" s="1223"/>
      <c r="Q374" s="1223"/>
      <c r="R374" s="1223"/>
      <c r="S374" s="1223"/>
      <c r="T374" s="1223"/>
      <c r="U374" s="1223"/>
    </row>
    <row r="375" spans="7:21" ht="15.6">
      <c r="G375" s="1224"/>
      <c r="H375" s="1223"/>
      <c r="I375" s="1223"/>
      <c r="J375" s="1223"/>
      <c r="K375" s="1223"/>
      <c r="L375" s="1223"/>
      <c r="M375" s="1223"/>
      <c r="N375" s="1223"/>
      <c r="O375" s="1223"/>
      <c r="P375" s="1223"/>
      <c r="Q375" s="1223"/>
      <c r="R375" s="1223"/>
      <c r="S375" s="1223"/>
      <c r="T375" s="1223"/>
      <c r="U375" s="1223"/>
    </row>
    <row r="376" spans="7:21" ht="15.6">
      <c r="G376" s="1224"/>
      <c r="H376" s="1223"/>
      <c r="I376" s="1223"/>
      <c r="J376" s="1223"/>
      <c r="K376" s="1223"/>
      <c r="L376" s="1223"/>
      <c r="M376" s="1223"/>
      <c r="N376" s="1223"/>
      <c r="O376" s="1223"/>
      <c r="P376" s="1223"/>
      <c r="Q376" s="1223"/>
      <c r="R376" s="1223"/>
      <c r="S376" s="1223"/>
      <c r="T376" s="1223"/>
      <c r="U376" s="1223"/>
    </row>
    <row r="377" spans="7:21" ht="15.6">
      <c r="G377" s="1224"/>
      <c r="H377" s="1223"/>
      <c r="I377" s="1223"/>
      <c r="J377" s="1223"/>
      <c r="K377" s="1223"/>
      <c r="L377" s="1223"/>
      <c r="M377" s="1223"/>
      <c r="N377" s="1223"/>
      <c r="O377" s="1223"/>
      <c r="P377" s="1223"/>
      <c r="Q377" s="1223"/>
      <c r="R377" s="1223"/>
      <c r="S377" s="1223"/>
      <c r="T377" s="1223"/>
      <c r="U377" s="1223"/>
    </row>
    <row r="378" spans="7:21" ht="15.6">
      <c r="G378" s="1224"/>
      <c r="H378" s="1223"/>
      <c r="I378" s="1223"/>
      <c r="J378" s="1223"/>
      <c r="K378" s="1223"/>
      <c r="L378" s="1223"/>
      <c r="M378" s="1223"/>
      <c r="N378" s="1223"/>
      <c r="O378" s="1223"/>
      <c r="P378" s="1223"/>
      <c r="Q378" s="1223"/>
      <c r="R378" s="1223"/>
      <c r="S378" s="1223"/>
      <c r="T378" s="1223"/>
      <c r="U378" s="1223"/>
    </row>
    <row r="379" spans="7:21" ht="15.6">
      <c r="G379" s="1224"/>
      <c r="H379" s="1223"/>
      <c r="I379" s="1223"/>
      <c r="J379" s="1223"/>
      <c r="K379" s="1223"/>
      <c r="L379" s="1223"/>
      <c r="M379" s="1223"/>
      <c r="N379" s="1223"/>
      <c r="O379" s="1223"/>
      <c r="P379" s="1223"/>
      <c r="Q379" s="1223"/>
      <c r="R379" s="1223"/>
      <c r="S379" s="1223"/>
      <c r="T379" s="1223"/>
      <c r="U379" s="1223"/>
    </row>
    <row r="380" spans="7:21" ht="15.6">
      <c r="G380" s="1224"/>
      <c r="H380" s="1223"/>
      <c r="I380" s="1223"/>
      <c r="J380" s="1223"/>
      <c r="K380" s="1223"/>
      <c r="L380" s="1223"/>
      <c r="M380" s="1223"/>
      <c r="N380" s="1223"/>
      <c r="O380" s="1223"/>
      <c r="P380" s="1223"/>
      <c r="Q380" s="1223"/>
      <c r="R380" s="1223"/>
      <c r="S380" s="1223"/>
      <c r="T380" s="1223"/>
      <c r="U380" s="1223"/>
    </row>
    <row r="381" spans="7:21" ht="15.6">
      <c r="G381" s="1224"/>
      <c r="H381" s="1223"/>
      <c r="I381" s="1223"/>
      <c r="J381" s="1223"/>
      <c r="K381" s="1223"/>
      <c r="L381" s="1223"/>
      <c r="M381" s="1223"/>
      <c r="N381" s="1223"/>
      <c r="O381" s="1223"/>
      <c r="P381" s="1223"/>
      <c r="Q381" s="1223"/>
      <c r="R381" s="1223"/>
      <c r="S381" s="1223"/>
      <c r="T381" s="1223"/>
      <c r="U381" s="1223"/>
    </row>
    <row r="382" spans="7:21" ht="15.6">
      <c r="G382" s="1224"/>
      <c r="H382" s="1223"/>
      <c r="I382" s="1223"/>
      <c r="J382" s="1223"/>
      <c r="K382" s="1223"/>
      <c r="L382" s="1223"/>
      <c r="M382" s="1223"/>
      <c r="N382" s="1223"/>
      <c r="O382" s="1223"/>
      <c r="P382" s="1223"/>
      <c r="Q382" s="1223"/>
      <c r="R382" s="1223"/>
      <c r="S382" s="1223"/>
      <c r="T382" s="1223"/>
      <c r="U382" s="1223"/>
    </row>
    <row r="383" spans="7:21" ht="15.6">
      <c r="G383" s="1224"/>
      <c r="H383" s="1223"/>
      <c r="I383" s="1223"/>
      <c r="J383" s="1223"/>
      <c r="K383" s="1223"/>
      <c r="L383" s="1223"/>
      <c r="M383" s="1223"/>
      <c r="N383" s="1223"/>
      <c r="O383" s="1223"/>
      <c r="P383" s="1223"/>
      <c r="Q383" s="1223"/>
      <c r="R383" s="1223"/>
      <c r="S383" s="1223"/>
      <c r="T383" s="1223"/>
      <c r="U383" s="1223"/>
    </row>
    <row r="384" spans="7:21" ht="15.6">
      <c r="G384" s="1224"/>
      <c r="H384" s="1223"/>
      <c r="I384" s="1223"/>
      <c r="J384" s="1223"/>
      <c r="K384" s="1223"/>
      <c r="L384" s="1223"/>
      <c r="M384" s="1223"/>
      <c r="N384" s="1223"/>
      <c r="O384" s="1223"/>
      <c r="P384" s="1223"/>
      <c r="Q384" s="1223"/>
      <c r="R384" s="1223"/>
      <c r="S384" s="1223"/>
      <c r="T384" s="1223"/>
      <c r="U384" s="1223"/>
    </row>
    <row r="385" spans="7:21" ht="15.6">
      <c r="G385" s="1224"/>
      <c r="H385" s="1223"/>
      <c r="I385" s="1223"/>
      <c r="J385" s="1223"/>
      <c r="K385" s="1223"/>
      <c r="L385" s="1223"/>
      <c r="M385" s="1223"/>
      <c r="N385" s="1223"/>
      <c r="O385" s="1223"/>
      <c r="P385" s="1223"/>
      <c r="Q385" s="1223"/>
      <c r="R385" s="1223"/>
      <c r="S385" s="1223"/>
      <c r="T385" s="1223"/>
      <c r="U385" s="1223"/>
    </row>
    <row r="386" spans="7:21" ht="15.6">
      <c r="G386" s="1224"/>
      <c r="H386" s="1223"/>
      <c r="I386" s="1223"/>
      <c r="J386" s="1223"/>
      <c r="K386" s="1223"/>
      <c r="L386" s="1223"/>
      <c r="M386" s="1223"/>
      <c r="N386" s="1223"/>
      <c r="O386" s="1223"/>
      <c r="P386" s="1223"/>
      <c r="Q386" s="1223"/>
      <c r="R386" s="1223"/>
      <c r="S386" s="1223"/>
      <c r="T386" s="1223"/>
      <c r="U386" s="1223"/>
    </row>
    <row r="387" spans="7:21" ht="15.6">
      <c r="G387" s="1224"/>
      <c r="H387" s="1223"/>
      <c r="I387" s="1223"/>
      <c r="J387" s="1223"/>
      <c r="K387" s="1223"/>
      <c r="L387" s="1223"/>
      <c r="M387" s="1223"/>
      <c r="N387" s="1223"/>
      <c r="O387" s="1223"/>
      <c r="P387" s="1223"/>
      <c r="Q387" s="1223"/>
      <c r="R387" s="1223"/>
      <c r="S387" s="1223"/>
      <c r="T387" s="1223"/>
      <c r="U387" s="1223"/>
    </row>
    <row r="388" spans="7:21" ht="15.6">
      <c r="G388" s="1224"/>
      <c r="H388" s="1223"/>
      <c r="I388" s="1223"/>
      <c r="J388" s="1223"/>
      <c r="K388" s="1223"/>
      <c r="L388" s="1223"/>
      <c r="M388" s="1223"/>
      <c r="N388" s="1223"/>
      <c r="O388" s="1223"/>
      <c r="P388" s="1223"/>
      <c r="Q388" s="1223"/>
      <c r="R388" s="1223"/>
      <c r="S388" s="1223"/>
      <c r="T388" s="1223"/>
      <c r="U388" s="1223"/>
    </row>
    <row r="389" spans="7:21" ht="15.6">
      <c r="G389" s="1224"/>
      <c r="H389" s="1223"/>
      <c r="I389" s="1223"/>
      <c r="J389" s="1223"/>
      <c r="K389" s="1223"/>
      <c r="L389" s="1223"/>
      <c r="M389" s="1223"/>
      <c r="N389" s="1223"/>
      <c r="O389" s="1223"/>
      <c r="P389" s="1223"/>
      <c r="Q389" s="1223"/>
      <c r="R389" s="1223"/>
      <c r="S389" s="1223"/>
      <c r="T389" s="1223"/>
      <c r="U389" s="1223"/>
    </row>
    <row r="390" spans="7:21" ht="15.6">
      <c r="G390" s="1224"/>
      <c r="H390" s="1223"/>
      <c r="I390" s="1223"/>
      <c r="J390" s="1223"/>
      <c r="K390" s="1223"/>
      <c r="L390" s="1223"/>
      <c r="M390" s="1223"/>
      <c r="N390" s="1223"/>
      <c r="O390" s="1223"/>
      <c r="P390" s="1223"/>
      <c r="Q390" s="1223"/>
      <c r="R390" s="1223"/>
      <c r="S390" s="1223"/>
      <c r="T390" s="1223"/>
      <c r="U390" s="1223"/>
    </row>
    <row r="391" spans="7:21" ht="15.6">
      <c r="G391" s="1224"/>
      <c r="H391" s="1223"/>
      <c r="I391" s="1223"/>
      <c r="J391" s="1223"/>
      <c r="K391" s="1223"/>
      <c r="L391" s="1223"/>
      <c r="M391" s="1223"/>
      <c r="N391" s="1223"/>
      <c r="O391" s="1223"/>
      <c r="P391" s="1223"/>
      <c r="Q391" s="1223"/>
      <c r="R391" s="1223"/>
      <c r="S391" s="1223"/>
      <c r="T391" s="1223"/>
      <c r="U391" s="1223"/>
    </row>
    <row r="392" spans="7:21" ht="15.6">
      <c r="G392" s="1224"/>
      <c r="H392" s="1223"/>
      <c r="I392" s="1223"/>
      <c r="J392" s="1223"/>
      <c r="K392" s="1223"/>
      <c r="L392" s="1223"/>
      <c r="M392" s="1223"/>
      <c r="N392" s="1223"/>
      <c r="O392" s="1223"/>
      <c r="P392" s="1223"/>
      <c r="Q392" s="1223"/>
      <c r="R392" s="1223"/>
      <c r="S392" s="1223"/>
      <c r="T392" s="1223"/>
      <c r="U392" s="1223"/>
    </row>
    <row r="393" spans="7:21" ht="15.6">
      <c r="G393" s="1224"/>
      <c r="H393" s="1223"/>
      <c r="I393" s="1223"/>
      <c r="J393" s="1223"/>
      <c r="K393" s="1223"/>
      <c r="L393" s="1223"/>
      <c r="M393" s="1223"/>
      <c r="N393" s="1223"/>
      <c r="O393" s="1223"/>
      <c r="P393" s="1223"/>
      <c r="Q393" s="1223"/>
      <c r="R393" s="1223"/>
      <c r="S393" s="1223"/>
      <c r="T393" s="1223"/>
      <c r="U393" s="1223"/>
    </row>
    <row r="394" spans="7:21" ht="15.6">
      <c r="G394" s="1224"/>
      <c r="H394" s="1223"/>
      <c r="I394" s="1223"/>
      <c r="J394" s="1223"/>
      <c r="K394" s="1223"/>
      <c r="L394" s="1223"/>
      <c r="M394" s="1223"/>
      <c r="N394" s="1223"/>
      <c r="O394" s="1223"/>
      <c r="P394" s="1223"/>
      <c r="Q394" s="1223"/>
      <c r="R394" s="1223"/>
      <c r="S394" s="1223"/>
      <c r="T394" s="1223"/>
      <c r="U394" s="1223"/>
    </row>
    <row r="395" spans="7:21" ht="15.6">
      <c r="G395" s="1224"/>
      <c r="H395" s="1223"/>
      <c r="I395" s="1223"/>
      <c r="J395" s="1223"/>
      <c r="K395" s="1223"/>
      <c r="L395" s="1223"/>
      <c r="M395" s="1223"/>
      <c r="N395" s="1223"/>
      <c r="O395" s="1223"/>
      <c r="P395" s="1223"/>
      <c r="Q395" s="1223"/>
      <c r="R395" s="1223"/>
      <c r="S395" s="1223"/>
      <c r="T395" s="1223"/>
      <c r="U395" s="1223"/>
    </row>
    <row r="396" spans="7:21" ht="15.6">
      <c r="G396" s="1224"/>
      <c r="H396" s="1223"/>
      <c r="I396" s="1223"/>
      <c r="J396" s="1223"/>
      <c r="K396" s="1223"/>
      <c r="L396" s="1223"/>
      <c r="M396" s="1223"/>
      <c r="N396" s="1223"/>
      <c r="O396" s="1223"/>
      <c r="P396" s="1223"/>
      <c r="Q396" s="1223"/>
      <c r="R396" s="1223"/>
      <c r="S396" s="1223"/>
      <c r="T396" s="1223"/>
      <c r="U396" s="1223"/>
    </row>
    <row r="397" spans="7:21" ht="15.6">
      <c r="G397" s="1224"/>
      <c r="H397" s="1223"/>
      <c r="I397" s="1223"/>
      <c r="J397" s="1223"/>
      <c r="K397" s="1223"/>
      <c r="L397" s="1223"/>
      <c r="M397" s="1223"/>
      <c r="N397" s="1223"/>
      <c r="O397" s="1223"/>
      <c r="P397" s="1223"/>
      <c r="Q397" s="1223"/>
      <c r="R397" s="1223"/>
      <c r="S397" s="1223"/>
      <c r="T397" s="1223"/>
      <c r="U397" s="1223"/>
    </row>
    <row r="398" spans="7:21" ht="15.6">
      <c r="G398" s="1224"/>
      <c r="H398" s="1223"/>
      <c r="I398" s="1223"/>
      <c r="J398" s="1223"/>
      <c r="K398" s="1223"/>
      <c r="L398" s="1223"/>
      <c r="M398" s="1223"/>
      <c r="N398" s="1223"/>
      <c r="O398" s="1223"/>
      <c r="P398" s="1223"/>
      <c r="Q398" s="1223"/>
      <c r="R398" s="1223"/>
      <c r="S398" s="1223"/>
      <c r="T398" s="1223"/>
      <c r="U398" s="1223"/>
    </row>
    <row r="399" spans="7:21" ht="15.6">
      <c r="G399" s="1224"/>
      <c r="H399" s="1223"/>
      <c r="I399" s="1223"/>
      <c r="J399" s="1223"/>
      <c r="K399" s="1223"/>
      <c r="L399" s="1223"/>
      <c r="M399" s="1223"/>
      <c r="N399" s="1223"/>
      <c r="O399" s="1223"/>
      <c r="P399" s="1223"/>
      <c r="Q399" s="1223"/>
      <c r="R399" s="1223"/>
      <c r="S399" s="1223"/>
      <c r="T399" s="1223"/>
      <c r="U399" s="1223"/>
    </row>
    <row r="400" spans="7:21" ht="15.6">
      <c r="G400" s="1224"/>
      <c r="H400" s="1223"/>
      <c r="I400" s="1223"/>
      <c r="J400" s="1223"/>
      <c r="K400" s="1223"/>
      <c r="L400" s="1223"/>
      <c r="M400" s="1223"/>
      <c r="N400" s="1223"/>
      <c r="O400" s="1223"/>
      <c r="P400" s="1223"/>
      <c r="Q400" s="1223"/>
      <c r="R400" s="1223"/>
      <c r="S400" s="1223"/>
      <c r="T400" s="1223"/>
      <c r="U400" s="1223"/>
    </row>
    <row r="401" spans="7:21" ht="15.6">
      <c r="G401" s="1224"/>
      <c r="H401" s="1223"/>
      <c r="I401" s="1223"/>
      <c r="J401" s="1223"/>
      <c r="K401" s="1223"/>
      <c r="L401" s="1223"/>
      <c r="M401" s="1223"/>
      <c r="N401" s="1223"/>
      <c r="O401" s="1223"/>
      <c r="P401" s="1223"/>
      <c r="Q401" s="1223"/>
      <c r="R401" s="1223"/>
      <c r="S401" s="1223"/>
      <c r="T401" s="1223"/>
      <c r="U401" s="1223"/>
    </row>
    <row r="402" spans="7:21" ht="15.6">
      <c r="G402" s="1224"/>
      <c r="H402" s="1223"/>
      <c r="I402" s="1223"/>
      <c r="J402" s="1223"/>
      <c r="K402" s="1223"/>
      <c r="L402" s="1223"/>
      <c r="M402" s="1223"/>
      <c r="N402" s="1223"/>
      <c r="O402" s="1223"/>
      <c r="P402" s="1223"/>
      <c r="Q402" s="1223"/>
      <c r="R402" s="1223"/>
      <c r="S402" s="1223"/>
      <c r="T402" s="1223"/>
      <c r="U402" s="1223"/>
    </row>
    <row r="403" spans="7:21" ht="15.6">
      <c r="G403" s="1224"/>
      <c r="H403" s="1223"/>
      <c r="I403" s="1223"/>
      <c r="J403" s="1223"/>
      <c r="K403" s="1223"/>
      <c r="L403" s="1223"/>
      <c r="M403" s="1223"/>
      <c r="N403" s="1223"/>
      <c r="O403" s="1223"/>
      <c r="P403" s="1223"/>
      <c r="Q403" s="1223"/>
      <c r="R403" s="1223"/>
      <c r="S403" s="1223"/>
      <c r="T403" s="1223"/>
      <c r="U403" s="1223"/>
    </row>
    <row r="404" spans="7:21" ht="15.6">
      <c r="G404" s="1224"/>
      <c r="H404" s="1223"/>
      <c r="I404" s="1223"/>
      <c r="J404" s="1223"/>
      <c r="K404" s="1223"/>
      <c r="L404" s="1223"/>
      <c r="M404" s="1223"/>
      <c r="N404" s="1223"/>
      <c r="O404" s="1223"/>
      <c r="P404" s="1223"/>
      <c r="Q404" s="1223"/>
      <c r="R404" s="1223"/>
      <c r="S404" s="1223"/>
      <c r="T404" s="1223"/>
      <c r="U404" s="1223"/>
    </row>
    <row r="405" spans="7:21" ht="15.6">
      <c r="G405" s="1224"/>
      <c r="H405" s="1223"/>
      <c r="I405" s="1223"/>
      <c r="J405" s="1223"/>
      <c r="K405" s="1223"/>
      <c r="L405" s="1223"/>
      <c r="M405" s="1223"/>
      <c r="N405" s="1223"/>
      <c r="O405" s="1223"/>
      <c r="P405" s="1223"/>
      <c r="Q405" s="1223"/>
      <c r="R405" s="1223"/>
      <c r="S405" s="1223"/>
      <c r="T405" s="1223"/>
      <c r="U405" s="1223"/>
    </row>
    <row r="406" spans="7:21" ht="15.6">
      <c r="G406" s="1224"/>
      <c r="H406" s="1223"/>
      <c r="I406" s="1223"/>
      <c r="J406" s="1223"/>
      <c r="K406" s="1223"/>
      <c r="L406" s="1223"/>
      <c r="M406" s="1223"/>
      <c r="N406" s="1223"/>
      <c r="O406" s="1223"/>
      <c r="P406" s="1223"/>
      <c r="Q406" s="1223"/>
      <c r="R406" s="1223"/>
      <c r="S406" s="1223"/>
      <c r="T406" s="1223"/>
      <c r="U406" s="1223"/>
    </row>
    <row r="407" spans="7:21" ht="15.6">
      <c r="G407" s="1224"/>
      <c r="H407" s="1223"/>
      <c r="I407" s="1223"/>
      <c r="J407" s="1223"/>
      <c r="K407" s="1223"/>
      <c r="L407" s="1223"/>
      <c r="M407" s="1223"/>
      <c r="N407" s="1223"/>
      <c r="O407" s="1223"/>
      <c r="P407" s="1223"/>
      <c r="Q407" s="1223"/>
      <c r="R407" s="1223"/>
      <c r="S407" s="1223"/>
      <c r="T407" s="1223"/>
      <c r="U407" s="1223"/>
    </row>
    <row r="408" spans="7:21" ht="15.6">
      <c r="G408" s="1224"/>
      <c r="H408" s="1223"/>
      <c r="I408" s="1223"/>
      <c r="J408" s="1223"/>
      <c r="K408" s="1223"/>
      <c r="L408" s="1223"/>
      <c r="M408" s="1223"/>
      <c r="N408" s="1223"/>
      <c r="O408" s="1223"/>
      <c r="P408" s="1223"/>
      <c r="Q408" s="1223"/>
      <c r="R408" s="1223"/>
      <c r="S408" s="1223"/>
      <c r="T408" s="1223"/>
      <c r="U408" s="1223"/>
    </row>
    <row r="409" spans="7:21" ht="15.6">
      <c r="G409" s="1224"/>
      <c r="H409" s="1223"/>
      <c r="I409" s="1223"/>
      <c r="J409" s="1223"/>
      <c r="K409" s="1223"/>
      <c r="L409" s="1223"/>
      <c r="M409" s="1223"/>
      <c r="N409" s="1223"/>
      <c r="O409" s="1223"/>
      <c r="P409" s="1223"/>
      <c r="Q409" s="1223"/>
      <c r="R409" s="1223"/>
      <c r="S409" s="1223"/>
      <c r="T409" s="1223"/>
      <c r="U409" s="1223"/>
    </row>
    <row r="410" spans="7:21" ht="15.6">
      <c r="G410" s="1224"/>
      <c r="H410" s="1223"/>
      <c r="I410" s="1223"/>
      <c r="J410" s="1223"/>
      <c r="K410" s="1223"/>
      <c r="L410" s="1223"/>
      <c r="M410" s="1223"/>
      <c r="N410" s="1223"/>
      <c r="O410" s="1223"/>
      <c r="P410" s="1223"/>
      <c r="Q410" s="1223"/>
      <c r="R410" s="1223"/>
      <c r="S410" s="1223"/>
      <c r="T410" s="1223"/>
      <c r="U410" s="1223"/>
    </row>
    <row r="411" spans="7:21" ht="15.6">
      <c r="G411" s="1224"/>
      <c r="H411" s="1223"/>
      <c r="I411" s="1223"/>
      <c r="J411" s="1223"/>
      <c r="K411" s="1223"/>
      <c r="L411" s="1223"/>
      <c r="M411" s="1223"/>
      <c r="N411" s="1223"/>
      <c r="O411" s="1223"/>
      <c r="P411" s="1223"/>
      <c r="Q411" s="1223"/>
      <c r="R411" s="1223"/>
      <c r="S411" s="1223"/>
      <c r="T411" s="1223"/>
      <c r="U411" s="1223"/>
    </row>
    <row r="412" spans="7:21" ht="15.6">
      <c r="G412" s="1224"/>
      <c r="H412" s="1223"/>
      <c r="I412" s="1223"/>
      <c r="J412" s="1223"/>
      <c r="K412" s="1223"/>
      <c r="L412" s="1223"/>
      <c r="M412" s="1223"/>
      <c r="N412" s="1223"/>
      <c r="O412" s="1223"/>
      <c r="P412" s="1223"/>
      <c r="Q412" s="1223"/>
      <c r="R412" s="1223"/>
      <c r="S412" s="1223"/>
      <c r="T412" s="1223"/>
      <c r="U412" s="1223"/>
    </row>
    <row r="413" spans="7:21" ht="15.6">
      <c r="G413" s="1224"/>
      <c r="H413" s="1223"/>
      <c r="I413" s="1223"/>
      <c r="J413" s="1223"/>
      <c r="K413" s="1223"/>
      <c r="L413" s="1223"/>
      <c r="M413" s="1223"/>
      <c r="N413" s="1223"/>
      <c r="O413" s="1223"/>
      <c r="P413" s="1223"/>
      <c r="Q413" s="1223"/>
      <c r="R413" s="1223"/>
      <c r="S413" s="1223"/>
      <c r="T413" s="1223"/>
      <c r="U413" s="1223"/>
    </row>
    <row r="414" spans="7:21" ht="15.6">
      <c r="G414" s="1224"/>
      <c r="H414" s="1223"/>
      <c r="I414" s="1223"/>
      <c r="J414" s="1223"/>
      <c r="K414" s="1223"/>
      <c r="L414" s="1223"/>
      <c r="M414" s="1223"/>
      <c r="N414" s="1223"/>
      <c r="O414" s="1223"/>
      <c r="P414" s="1223"/>
      <c r="Q414" s="1223"/>
      <c r="R414" s="1223"/>
      <c r="S414" s="1223"/>
      <c r="T414" s="1223"/>
      <c r="U414" s="1223"/>
    </row>
    <row r="415" spans="7:21" ht="15.6">
      <c r="G415" s="1224"/>
      <c r="H415" s="1223"/>
      <c r="I415" s="1223"/>
      <c r="J415" s="1223"/>
      <c r="K415" s="1223"/>
      <c r="L415" s="1223"/>
      <c r="M415" s="1223"/>
      <c r="N415" s="1223"/>
      <c r="O415" s="1223"/>
      <c r="P415" s="1223"/>
      <c r="Q415" s="1223"/>
      <c r="R415" s="1223"/>
      <c r="S415" s="1223"/>
      <c r="T415" s="1223"/>
      <c r="U415" s="1223"/>
    </row>
    <row r="416" spans="7:21" ht="15.6">
      <c r="G416" s="1224"/>
      <c r="H416" s="1223"/>
      <c r="I416" s="1223"/>
      <c r="J416" s="1223"/>
      <c r="K416" s="1223"/>
      <c r="L416" s="1223"/>
      <c r="M416" s="1223"/>
      <c r="N416" s="1223"/>
      <c r="O416" s="1223"/>
      <c r="P416" s="1223"/>
      <c r="Q416" s="1223"/>
      <c r="R416" s="1223"/>
      <c r="S416" s="1223"/>
      <c r="T416" s="1223"/>
      <c r="U416" s="1223"/>
    </row>
    <row r="417" spans="7:21" ht="15.6">
      <c r="G417" s="1224"/>
      <c r="H417" s="1223"/>
      <c r="I417" s="1223"/>
      <c r="J417" s="1223"/>
      <c r="K417" s="1223"/>
      <c r="L417" s="1223"/>
      <c r="M417" s="1223"/>
      <c r="N417" s="1223"/>
      <c r="O417" s="1223"/>
      <c r="P417" s="1223"/>
      <c r="Q417" s="1223"/>
      <c r="R417" s="1223"/>
      <c r="S417" s="1223"/>
      <c r="T417" s="1223"/>
      <c r="U417" s="1223"/>
    </row>
    <row r="418" spans="7:21" ht="15.6">
      <c r="G418" s="1224"/>
      <c r="H418" s="1223"/>
      <c r="I418" s="1223"/>
      <c r="J418" s="1223"/>
      <c r="K418" s="1223"/>
      <c r="L418" s="1223"/>
      <c r="M418" s="1223"/>
      <c r="N418" s="1223"/>
      <c r="O418" s="1223"/>
      <c r="P418" s="1223"/>
      <c r="Q418" s="1223"/>
      <c r="R418" s="1223"/>
      <c r="S418" s="1223"/>
      <c r="T418" s="1223"/>
      <c r="U418" s="1223"/>
    </row>
    <row r="419" spans="7:21" ht="15.6">
      <c r="G419" s="1224"/>
      <c r="H419" s="1223"/>
      <c r="I419" s="1223"/>
      <c r="J419" s="1223"/>
      <c r="K419" s="1223"/>
      <c r="L419" s="1223"/>
      <c r="M419" s="1223"/>
      <c r="N419" s="1223"/>
      <c r="O419" s="1223"/>
      <c r="P419" s="1223"/>
      <c r="Q419" s="1223"/>
      <c r="R419" s="1223"/>
      <c r="S419" s="1223"/>
      <c r="T419" s="1223"/>
      <c r="U419" s="1223"/>
    </row>
    <row r="420" spans="7:21" ht="15.6">
      <c r="G420" s="1224"/>
      <c r="H420" s="1223"/>
      <c r="I420" s="1223"/>
      <c r="J420" s="1223"/>
      <c r="K420" s="1223"/>
      <c r="L420" s="1223"/>
      <c r="M420" s="1223"/>
      <c r="N420" s="1223"/>
      <c r="O420" s="1223"/>
      <c r="P420" s="1223"/>
      <c r="Q420" s="1223"/>
      <c r="R420" s="1223"/>
      <c r="S420" s="1223"/>
      <c r="T420" s="1223"/>
      <c r="U420" s="1223"/>
    </row>
    <row r="421" spans="7:21" ht="15.6">
      <c r="G421" s="1224"/>
      <c r="H421" s="1223"/>
      <c r="I421" s="1223"/>
      <c r="J421" s="1223"/>
      <c r="K421" s="1223"/>
      <c r="L421" s="1223"/>
      <c r="M421" s="1223"/>
      <c r="N421" s="1223"/>
      <c r="O421" s="1223"/>
      <c r="P421" s="1223"/>
      <c r="Q421" s="1223"/>
      <c r="R421" s="1223"/>
      <c r="S421" s="1223"/>
      <c r="T421" s="1223"/>
      <c r="U421" s="1223"/>
    </row>
    <row r="422" spans="7:21" ht="15.6">
      <c r="G422" s="1224"/>
      <c r="H422" s="1223"/>
      <c r="I422" s="1223"/>
      <c r="J422" s="1223"/>
      <c r="K422" s="1223"/>
      <c r="L422" s="1223"/>
      <c r="M422" s="1223"/>
      <c r="N422" s="1223"/>
      <c r="O422" s="1223"/>
      <c r="P422" s="1223"/>
      <c r="Q422" s="1223"/>
      <c r="R422" s="1223"/>
      <c r="S422" s="1223"/>
      <c r="T422" s="1223"/>
      <c r="U422" s="1223"/>
    </row>
    <row r="423" spans="7:21" ht="15.6">
      <c r="G423" s="1224"/>
      <c r="H423" s="1223"/>
      <c r="I423" s="1223"/>
      <c r="J423" s="1223"/>
      <c r="K423" s="1223"/>
      <c r="L423" s="1223"/>
      <c r="M423" s="1223"/>
      <c r="N423" s="1223"/>
      <c r="O423" s="1223"/>
      <c r="P423" s="1223"/>
      <c r="Q423" s="1223"/>
      <c r="R423" s="1223"/>
      <c r="S423" s="1223"/>
      <c r="T423" s="1223"/>
      <c r="U423" s="1223"/>
    </row>
    <row r="424" spans="7:21" ht="15.6">
      <c r="G424" s="1224"/>
      <c r="H424" s="1223"/>
      <c r="I424" s="1223"/>
      <c r="J424" s="1223"/>
      <c r="K424" s="1223"/>
      <c r="L424" s="1223"/>
      <c r="M424" s="1223"/>
      <c r="N424" s="1223"/>
      <c r="O424" s="1223"/>
      <c r="P424" s="1223"/>
      <c r="Q424" s="1223"/>
      <c r="R424" s="1223"/>
      <c r="S424" s="1223"/>
      <c r="T424" s="1223"/>
      <c r="U424" s="1223"/>
    </row>
    <row r="425" spans="7:21" ht="15.6">
      <c r="G425" s="1224"/>
      <c r="H425" s="1223"/>
      <c r="I425" s="1223"/>
      <c r="J425" s="1223"/>
      <c r="K425" s="1223"/>
      <c r="L425" s="1223"/>
      <c r="M425" s="1223"/>
      <c r="N425" s="1223"/>
      <c r="O425" s="1223"/>
      <c r="P425" s="1223"/>
      <c r="Q425" s="1223"/>
      <c r="R425" s="1223"/>
      <c r="S425" s="1223"/>
      <c r="T425" s="1223"/>
      <c r="U425" s="1223"/>
    </row>
    <row r="426" spans="7:21" ht="15.6">
      <c r="G426" s="1224"/>
      <c r="H426" s="1223"/>
      <c r="I426" s="1223"/>
      <c r="J426" s="1223"/>
      <c r="K426" s="1223"/>
      <c r="L426" s="1223"/>
      <c r="M426" s="1223"/>
      <c r="N426" s="1223"/>
      <c r="O426" s="1223"/>
      <c r="P426" s="1223"/>
      <c r="Q426" s="1223"/>
      <c r="R426" s="1223"/>
      <c r="S426" s="1223"/>
      <c r="T426" s="1223"/>
      <c r="U426" s="1223"/>
    </row>
    <row r="427" spans="7:21" ht="15.6">
      <c r="G427" s="1224"/>
      <c r="H427" s="1223"/>
      <c r="I427" s="1223"/>
      <c r="J427" s="1223"/>
      <c r="K427" s="1223"/>
      <c r="L427" s="1223"/>
      <c r="M427" s="1223"/>
      <c r="N427" s="1223"/>
      <c r="O427" s="1223"/>
      <c r="P427" s="1223"/>
      <c r="Q427" s="1223"/>
      <c r="R427" s="1223"/>
      <c r="S427" s="1223"/>
      <c r="T427" s="1223"/>
      <c r="U427" s="1223"/>
    </row>
    <row r="428" spans="7:21" ht="15.6">
      <c r="G428" s="1224"/>
      <c r="H428" s="1223"/>
      <c r="I428" s="1223"/>
      <c r="J428" s="1223"/>
      <c r="K428" s="1223"/>
      <c r="L428" s="1223"/>
      <c r="M428" s="1223"/>
      <c r="N428" s="1223"/>
      <c r="O428" s="1223"/>
      <c r="P428" s="1223"/>
      <c r="Q428" s="1223"/>
      <c r="R428" s="1223"/>
      <c r="S428" s="1223"/>
      <c r="T428" s="1223"/>
      <c r="U428" s="1223"/>
    </row>
    <row r="429" spans="7:21" ht="15.6">
      <c r="G429" s="1224"/>
      <c r="H429" s="1223"/>
      <c r="I429" s="1223"/>
      <c r="J429" s="1223"/>
      <c r="K429" s="1223"/>
      <c r="L429" s="1223"/>
      <c r="M429" s="1223"/>
      <c r="N429" s="1223"/>
      <c r="O429" s="1223"/>
      <c r="P429" s="1223"/>
      <c r="Q429" s="1223"/>
      <c r="R429" s="1223"/>
      <c r="S429" s="1223"/>
      <c r="T429" s="1223"/>
      <c r="U429" s="1223"/>
    </row>
    <row r="430" spans="7:21" ht="15.6">
      <c r="G430" s="1224"/>
      <c r="H430" s="1223"/>
      <c r="I430" s="1223"/>
      <c r="J430" s="1223"/>
      <c r="K430" s="1223"/>
      <c r="L430" s="1223"/>
      <c r="M430" s="1223"/>
      <c r="N430" s="1223"/>
      <c r="O430" s="1223"/>
      <c r="P430" s="1223"/>
      <c r="Q430" s="1223"/>
      <c r="R430" s="1223"/>
      <c r="S430" s="1223"/>
      <c r="T430" s="1223"/>
      <c r="U430" s="1223"/>
    </row>
    <row r="431" spans="7:21" ht="15.6">
      <c r="G431" s="1224"/>
      <c r="H431" s="1223"/>
      <c r="I431" s="1223"/>
      <c r="J431" s="1223"/>
      <c r="K431" s="1223"/>
      <c r="L431" s="1223"/>
      <c r="M431" s="1223"/>
      <c r="N431" s="1223"/>
      <c r="O431" s="1223"/>
      <c r="P431" s="1223"/>
      <c r="Q431" s="1223"/>
      <c r="R431" s="1223"/>
      <c r="S431" s="1223"/>
      <c r="T431" s="1223"/>
      <c r="U431" s="1223"/>
    </row>
    <row r="432" spans="7:21" ht="15.6">
      <c r="G432" s="1224"/>
      <c r="H432" s="1223"/>
      <c r="I432" s="1223"/>
      <c r="J432" s="1223"/>
      <c r="K432" s="1223"/>
      <c r="L432" s="1223"/>
      <c r="M432" s="1223"/>
      <c r="N432" s="1223"/>
      <c r="O432" s="1223"/>
      <c r="P432" s="1223"/>
      <c r="Q432" s="1223"/>
      <c r="R432" s="1223"/>
      <c r="S432" s="1223"/>
      <c r="T432" s="1223"/>
      <c r="U432" s="1223"/>
    </row>
    <row r="433" spans="7:21" ht="15.6">
      <c r="G433" s="1224"/>
      <c r="H433" s="1223"/>
      <c r="I433" s="1223"/>
      <c r="J433" s="1223"/>
      <c r="K433" s="1223"/>
      <c r="L433" s="1223"/>
      <c r="M433" s="1223"/>
      <c r="N433" s="1223"/>
      <c r="O433" s="1223"/>
      <c r="P433" s="1223"/>
      <c r="Q433" s="1223"/>
      <c r="R433" s="1223"/>
      <c r="S433" s="1223"/>
      <c r="T433" s="1223"/>
      <c r="U433" s="1223"/>
    </row>
    <row r="434" spans="7:21" ht="15.6">
      <c r="G434" s="1224"/>
      <c r="H434" s="1223"/>
      <c r="I434" s="1223"/>
      <c r="J434" s="1223"/>
      <c r="K434" s="1223"/>
      <c r="L434" s="1223"/>
      <c r="M434" s="1223"/>
      <c r="N434" s="1223"/>
      <c r="O434" s="1223"/>
      <c r="P434" s="1223"/>
      <c r="Q434" s="1223"/>
      <c r="R434" s="1223"/>
      <c r="S434" s="1223"/>
      <c r="T434" s="1223"/>
      <c r="U434" s="1223"/>
    </row>
    <row r="435" spans="7:21" ht="15.6">
      <c r="G435" s="1224"/>
      <c r="H435" s="1223"/>
      <c r="I435" s="1223"/>
      <c r="J435" s="1223"/>
      <c r="K435" s="1223"/>
      <c r="L435" s="1223"/>
      <c r="M435" s="1223"/>
      <c r="N435" s="1223"/>
      <c r="O435" s="1223"/>
      <c r="P435" s="1223"/>
      <c r="Q435" s="1223"/>
      <c r="R435" s="1223"/>
      <c r="S435" s="1223"/>
      <c r="T435" s="1223"/>
      <c r="U435" s="1223"/>
    </row>
    <row r="436" spans="7:21" ht="15.6">
      <c r="G436" s="1224"/>
      <c r="H436" s="1223"/>
      <c r="I436" s="1223"/>
      <c r="J436" s="1223"/>
      <c r="K436" s="1223"/>
      <c r="L436" s="1223"/>
      <c r="M436" s="1223"/>
      <c r="N436" s="1223"/>
      <c r="O436" s="1223"/>
      <c r="P436" s="1223"/>
      <c r="Q436" s="1223"/>
      <c r="R436" s="1223"/>
      <c r="S436" s="1223"/>
      <c r="T436" s="1223"/>
      <c r="U436" s="1223"/>
    </row>
    <row r="437" spans="7:21" ht="15.6">
      <c r="G437" s="1224"/>
      <c r="H437" s="1223"/>
      <c r="I437" s="1223"/>
      <c r="J437" s="1223"/>
      <c r="K437" s="1223"/>
      <c r="L437" s="1223"/>
      <c r="M437" s="1223"/>
      <c r="N437" s="1223"/>
      <c r="O437" s="1223"/>
      <c r="P437" s="1223"/>
      <c r="Q437" s="1223"/>
      <c r="R437" s="1223"/>
      <c r="S437" s="1223"/>
      <c r="T437" s="1223"/>
      <c r="U437" s="1223"/>
    </row>
    <row r="438" spans="7:21" ht="15.6">
      <c r="G438" s="1224"/>
      <c r="H438" s="1223"/>
      <c r="I438" s="1223"/>
      <c r="J438" s="1223"/>
      <c r="K438" s="1223"/>
      <c r="L438" s="1223"/>
      <c r="M438" s="1223"/>
      <c r="N438" s="1223"/>
      <c r="O438" s="1223"/>
      <c r="P438" s="1223"/>
      <c r="Q438" s="1223"/>
      <c r="R438" s="1223"/>
      <c r="S438" s="1223"/>
      <c r="T438" s="1223"/>
      <c r="U438" s="1223"/>
    </row>
    <row r="439" spans="7:21" ht="15.6">
      <c r="G439" s="1224"/>
      <c r="H439" s="1223"/>
      <c r="I439" s="1223"/>
      <c r="J439" s="1223"/>
      <c r="K439" s="1223"/>
      <c r="L439" s="1223"/>
      <c r="M439" s="1223"/>
      <c r="N439" s="1223"/>
      <c r="O439" s="1223"/>
      <c r="P439" s="1223"/>
      <c r="Q439" s="1223"/>
      <c r="R439" s="1223"/>
      <c r="S439" s="1223"/>
      <c r="T439" s="1223"/>
      <c r="U439" s="1223"/>
    </row>
    <row r="440" spans="7:21" ht="15.6">
      <c r="G440" s="1224"/>
      <c r="H440" s="1223"/>
      <c r="I440" s="1223"/>
      <c r="J440" s="1223"/>
      <c r="K440" s="1223"/>
      <c r="L440" s="1223"/>
      <c r="M440" s="1223"/>
      <c r="N440" s="1223"/>
      <c r="O440" s="1223"/>
      <c r="P440" s="1223"/>
      <c r="Q440" s="1223"/>
      <c r="R440" s="1223"/>
      <c r="S440" s="1223"/>
      <c r="T440" s="1223"/>
      <c r="U440" s="1223"/>
    </row>
    <row r="441" spans="7:21" ht="15.6">
      <c r="G441" s="1224"/>
      <c r="H441" s="1223"/>
      <c r="I441" s="1223"/>
      <c r="J441" s="1223"/>
      <c r="K441" s="1223"/>
      <c r="L441" s="1223"/>
      <c r="M441" s="1223"/>
      <c r="N441" s="1223"/>
      <c r="O441" s="1223"/>
      <c r="P441" s="1223"/>
      <c r="Q441" s="1223"/>
      <c r="R441" s="1223"/>
      <c r="S441" s="1223"/>
      <c r="T441" s="1223"/>
      <c r="U441" s="1223"/>
    </row>
    <row r="442" spans="7:21" ht="15.6">
      <c r="G442" s="1224"/>
      <c r="H442" s="1223"/>
      <c r="I442" s="1223"/>
      <c r="J442" s="1223"/>
      <c r="K442" s="1223"/>
      <c r="L442" s="1223"/>
      <c r="M442" s="1223"/>
      <c r="N442" s="1223"/>
      <c r="O442" s="1223"/>
      <c r="P442" s="1223"/>
      <c r="Q442" s="1223"/>
      <c r="R442" s="1223"/>
      <c r="S442" s="1223"/>
      <c r="T442" s="1223"/>
      <c r="U442" s="1223"/>
    </row>
    <row r="443" spans="7:21" ht="15.6">
      <c r="G443" s="1224"/>
      <c r="H443" s="1223"/>
      <c r="I443" s="1223"/>
      <c r="J443" s="1223"/>
      <c r="K443" s="1223"/>
      <c r="L443" s="1223"/>
      <c r="M443" s="1223"/>
      <c r="N443" s="1223"/>
      <c r="O443" s="1223"/>
      <c r="P443" s="1223"/>
      <c r="Q443" s="1223"/>
      <c r="R443" s="1223"/>
      <c r="S443" s="1223"/>
      <c r="T443" s="1223"/>
      <c r="U443" s="1223"/>
    </row>
    <row r="444" spans="7:21" ht="15.6">
      <c r="G444" s="1224"/>
      <c r="H444" s="1223"/>
      <c r="I444" s="1223"/>
      <c r="J444" s="1223"/>
      <c r="K444" s="1223"/>
      <c r="L444" s="1223"/>
      <c r="M444" s="1223"/>
      <c r="N444" s="1223"/>
      <c r="O444" s="1223"/>
      <c r="P444" s="1223"/>
      <c r="Q444" s="1223"/>
      <c r="R444" s="1223"/>
      <c r="S444" s="1223"/>
      <c r="T444" s="1223"/>
      <c r="U444" s="1223"/>
    </row>
    <row r="445" spans="7:21" ht="15.6">
      <c r="G445" s="1224"/>
      <c r="H445" s="1223"/>
      <c r="I445" s="1223"/>
      <c r="J445" s="1223"/>
      <c r="K445" s="1223"/>
      <c r="L445" s="1223"/>
      <c r="M445" s="1223"/>
      <c r="N445" s="1223"/>
      <c r="O445" s="1223"/>
      <c r="P445" s="1223"/>
      <c r="Q445" s="1223"/>
      <c r="R445" s="1223"/>
      <c r="S445" s="1223"/>
      <c r="T445" s="1223"/>
      <c r="U445" s="1223"/>
    </row>
    <row r="446" spans="7:21" ht="15.6">
      <c r="G446" s="1224"/>
      <c r="H446" s="1223"/>
      <c r="I446" s="1223"/>
      <c r="J446" s="1223"/>
      <c r="K446" s="1223"/>
      <c r="L446" s="1223"/>
      <c r="M446" s="1223"/>
      <c r="N446" s="1223"/>
      <c r="O446" s="1223"/>
      <c r="P446" s="1223"/>
      <c r="Q446" s="1223"/>
      <c r="R446" s="1223"/>
      <c r="S446" s="1223"/>
      <c r="T446" s="1223"/>
      <c r="U446" s="1223"/>
    </row>
    <row r="447" spans="7:21" ht="15.6">
      <c r="G447" s="1224"/>
      <c r="H447" s="1223"/>
      <c r="I447" s="1223"/>
      <c r="J447" s="1223"/>
      <c r="K447" s="1223"/>
      <c r="L447" s="1223"/>
      <c r="M447" s="1223"/>
      <c r="N447" s="1223"/>
      <c r="O447" s="1223"/>
      <c r="P447" s="1223"/>
      <c r="Q447" s="1223"/>
      <c r="R447" s="1223"/>
      <c r="S447" s="1223"/>
      <c r="T447" s="1223"/>
      <c r="U447" s="1223"/>
    </row>
    <row r="448" spans="7:21" ht="15.6">
      <c r="G448" s="1224"/>
      <c r="H448" s="1223"/>
      <c r="I448" s="1223"/>
      <c r="J448" s="1223"/>
      <c r="K448" s="1223"/>
      <c r="L448" s="1223"/>
      <c r="M448" s="1223"/>
      <c r="N448" s="1223"/>
      <c r="O448" s="1223"/>
      <c r="P448" s="1223"/>
      <c r="Q448" s="1223"/>
      <c r="R448" s="1223"/>
      <c r="S448" s="1223"/>
      <c r="T448" s="1223"/>
      <c r="U448" s="1223"/>
    </row>
    <row r="449" spans="7:21" ht="15.6">
      <c r="G449" s="1224"/>
      <c r="H449" s="1223"/>
      <c r="I449" s="1223"/>
      <c r="J449" s="1223"/>
      <c r="K449" s="1223"/>
      <c r="L449" s="1223"/>
      <c r="M449" s="1223"/>
      <c r="N449" s="1223"/>
      <c r="O449" s="1223"/>
      <c r="P449" s="1223"/>
      <c r="Q449" s="1223"/>
      <c r="R449" s="1223"/>
      <c r="S449" s="1223"/>
      <c r="T449" s="1223"/>
      <c r="U449" s="1223"/>
    </row>
    <row r="450" spans="7:21" ht="15.6">
      <c r="G450" s="1224"/>
      <c r="H450" s="1223"/>
      <c r="I450" s="1223"/>
      <c r="J450" s="1223"/>
      <c r="K450" s="1223"/>
      <c r="L450" s="1223"/>
      <c r="M450" s="1223"/>
      <c r="N450" s="1223"/>
      <c r="O450" s="1223"/>
      <c r="P450" s="1223"/>
      <c r="Q450" s="1223"/>
      <c r="R450" s="1223"/>
      <c r="S450" s="1223"/>
      <c r="T450" s="1223"/>
      <c r="U450" s="1223"/>
    </row>
    <row r="451" spans="7:21" ht="15.6">
      <c r="G451" s="1224"/>
      <c r="H451" s="1223"/>
      <c r="I451" s="1223"/>
      <c r="J451" s="1223"/>
      <c r="K451" s="1223"/>
      <c r="L451" s="1223"/>
      <c r="M451" s="1223"/>
      <c r="N451" s="1223"/>
      <c r="O451" s="1223"/>
      <c r="P451" s="1223"/>
      <c r="Q451" s="1223"/>
      <c r="R451" s="1223"/>
      <c r="S451" s="1223"/>
      <c r="T451" s="1223"/>
      <c r="U451" s="1223"/>
    </row>
    <row r="452" spans="7:21" ht="15.6">
      <c r="G452" s="1224"/>
      <c r="H452" s="1223"/>
      <c r="I452" s="1223"/>
      <c r="J452" s="1223"/>
      <c r="K452" s="1223"/>
      <c r="L452" s="1223"/>
      <c r="M452" s="1223"/>
      <c r="N452" s="1223"/>
      <c r="O452" s="1223"/>
      <c r="P452" s="1223"/>
      <c r="Q452" s="1223"/>
      <c r="R452" s="1223"/>
      <c r="S452" s="1223"/>
      <c r="T452" s="1223"/>
      <c r="U452" s="1223"/>
    </row>
    <row r="453" spans="7:21" ht="15.6">
      <c r="G453" s="1224"/>
      <c r="H453" s="1223"/>
      <c r="I453" s="1223"/>
      <c r="J453" s="1223"/>
      <c r="K453" s="1223"/>
      <c r="L453" s="1223"/>
      <c r="M453" s="1223"/>
      <c r="N453" s="1223"/>
      <c r="O453" s="1223"/>
      <c r="P453" s="1223"/>
      <c r="Q453" s="1223"/>
      <c r="R453" s="1223"/>
      <c r="S453" s="1223"/>
      <c r="T453" s="1223"/>
      <c r="U453" s="1223"/>
    </row>
    <row r="454" spans="7:21" ht="15.6">
      <c r="G454" s="1224"/>
      <c r="H454" s="1223"/>
      <c r="I454" s="1223"/>
      <c r="J454" s="1223"/>
      <c r="K454" s="1223"/>
      <c r="L454" s="1223"/>
      <c r="M454" s="1223"/>
      <c r="N454" s="1223"/>
      <c r="O454" s="1223"/>
      <c r="P454" s="1223"/>
      <c r="Q454" s="1223"/>
      <c r="R454" s="1223"/>
      <c r="S454" s="1223"/>
      <c r="T454" s="1223"/>
      <c r="U454" s="1223"/>
    </row>
    <row r="455" spans="7:21" ht="15.6">
      <c r="G455" s="1224"/>
      <c r="H455" s="1223"/>
      <c r="I455" s="1223"/>
      <c r="J455" s="1223"/>
      <c r="K455" s="1223"/>
      <c r="L455" s="1223"/>
      <c r="M455" s="1223"/>
      <c r="N455" s="1223"/>
      <c r="O455" s="1223"/>
      <c r="P455" s="1223"/>
      <c r="Q455" s="1223"/>
      <c r="R455" s="1223"/>
      <c r="S455" s="1223"/>
      <c r="T455" s="1223"/>
      <c r="U455" s="1223"/>
    </row>
    <row r="456" spans="7:21" ht="15.6">
      <c r="G456" s="1224"/>
      <c r="H456" s="1223"/>
      <c r="I456" s="1223"/>
      <c r="J456" s="1223"/>
      <c r="K456" s="1223"/>
      <c r="L456" s="1223"/>
      <c r="M456" s="1223"/>
      <c r="N456" s="1223"/>
      <c r="O456" s="1223"/>
      <c r="P456" s="1223"/>
      <c r="Q456" s="1223"/>
      <c r="R456" s="1223"/>
      <c r="S456" s="1223"/>
      <c r="T456" s="1223"/>
      <c r="U456" s="1223"/>
    </row>
    <row r="457" spans="7:21" ht="15.6">
      <c r="G457" s="1224"/>
      <c r="H457" s="1223"/>
      <c r="I457" s="1223"/>
      <c r="J457" s="1223"/>
      <c r="K457" s="1223"/>
      <c r="L457" s="1223"/>
      <c r="M457" s="1223"/>
      <c r="N457" s="1223"/>
      <c r="O457" s="1223"/>
      <c r="P457" s="1223"/>
      <c r="Q457" s="1223"/>
      <c r="R457" s="1223"/>
      <c r="S457" s="1223"/>
      <c r="T457" s="1223"/>
      <c r="U457" s="1223"/>
    </row>
    <row r="458" spans="7:21" ht="15.6">
      <c r="G458" s="1224"/>
      <c r="H458" s="1223"/>
      <c r="I458" s="1223"/>
      <c r="J458" s="1223"/>
      <c r="K458" s="1223"/>
      <c r="L458" s="1223"/>
      <c r="M458" s="1223"/>
      <c r="N458" s="1223"/>
      <c r="O458" s="1223"/>
      <c r="P458" s="1223"/>
      <c r="Q458" s="1223"/>
      <c r="R458" s="1223"/>
      <c r="S458" s="1223"/>
      <c r="T458" s="1223"/>
      <c r="U458" s="1223"/>
    </row>
    <row r="459" spans="7:21" ht="15.6">
      <c r="G459" s="1224"/>
      <c r="H459" s="1223"/>
      <c r="I459" s="1223"/>
      <c r="J459" s="1223"/>
      <c r="K459" s="1223"/>
      <c r="L459" s="1223"/>
      <c r="M459" s="1223"/>
      <c r="N459" s="1223"/>
      <c r="O459" s="1223"/>
      <c r="P459" s="1223"/>
      <c r="Q459" s="1223"/>
      <c r="R459" s="1223"/>
      <c r="S459" s="1223"/>
      <c r="T459" s="1223"/>
      <c r="U459" s="1223"/>
    </row>
    <row r="460" spans="7:21" ht="15.6">
      <c r="G460" s="1224"/>
      <c r="H460" s="1223"/>
      <c r="I460" s="1223"/>
      <c r="J460" s="1223"/>
      <c r="K460" s="1223"/>
      <c r="L460" s="1223"/>
      <c r="M460" s="1223"/>
      <c r="N460" s="1223"/>
      <c r="O460" s="1223"/>
      <c r="P460" s="1223"/>
      <c r="Q460" s="1223"/>
      <c r="R460" s="1223"/>
      <c r="S460" s="1223"/>
      <c r="T460" s="1223"/>
      <c r="U460" s="1223"/>
    </row>
    <row r="461" spans="7:21" ht="15.6">
      <c r="G461" s="1224"/>
      <c r="H461" s="1223"/>
      <c r="I461" s="1223"/>
      <c r="J461" s="1223"/>
      <c r="K461" s="1223"/>
      <c r="L461" s="1223"/>
      <c r="M461" s="1223"/>
      <c r="N461" s="1223"/>
      <c r="O461" s="1223"/>
      <c r="P461" s="1223"/>
      <c r="Q461" s="1223"/>
      <c r="R461" s="1223"/>
      <c r="S461" s="1223"/>
      <c r="T461" s="1223"/>
      <c r="U461" s="1223"/>
    </row>
    <row r="462" spans="7:21" ht="15.6">
      <c r="G462" s="1224"/>
      <c r="H462" s="1223"/>
      <c r="I462" s="1223"/>
      <c r="J462" s="1223"/>
      <c r="K462" s="1223"/>
      <c r="L462" s="1223"/>
      <c r="M462" s="1223"/>
      <c r="N462" s="1223"/>
      <c r="O462" s="1223"/>
      <c r="P462" s="1223"/>
      <c r="Q462" s="1223"/>
      <c r="R462" s="1223"/>
      <c r="S462" s="1223"/>
      <c r="T462" s="1223"/>
      <c r="U462" s="1223"/>
    </row>
    <row r="463" spans="7:21" ht="15.6">
      <c r="G463" s="1224"/>
      <c r="H463" s="1223"/>
      <c r="I463" s="1223"/>
      <c r="J463" s="1223"/>
      <c r="K463" s="1223"/>
      <c r="L463" s="1223"/>
      <c r="M463" s="1223"/>
      <c r="N463" s="1223"/>
      <c r="O463" s="1223"/>
      <c r="P463" s="1223"/>
      <c r="Q463" s="1223"/>
      <c r="R463" s="1223"/>
      <c r="S463" s="1223"/>
      <c r="T463" s="1223"/>
      <c r="U463" s="1223"/>
    </row>
    <row r="464" spans="7:21" ht="15.6">
      <c r="G464" s="1224"/>
      <c r="H464" s="1223"/>
      <c r="I464" s="1223"/>
      <c r="J464" s="1223"/>
      <c r="K464" s="1223"/>
      <c r="L464" s="1223"/>
      <c r="M464" s="1223"/>
      <c r="N464" s="1223"/>
      <c r="O464" s="1223"/>
      <c r="P464" s="1223"/>
      <c r="Q464" s="1223"/>
      <c r="R464" s="1223"/>
      <c r="S464" s="1223"/>
      <c r="T464" s="1223"/>
      <c r="U464" s="1223"/>
    </row>
    <row r="465" spans="7:21" ht="15.6">
      <c r="G465" s="1224"/>
      <c r="H465" s="1223"/>
      <c r="I465" s="1223"/>
      <c r="J465" s="1223"/>
      <c r="K465" s="1223"/>
      <c r="L465" s="1223"/>
      <c r="M465" s="1223"/>
      <c r="N465" s="1223"/>
      <c r="O465" s="1223"/>
      <c r="P465" s="1223"/>
      <c r="Q465" s="1223"/>
      <c r="R465" s="1223"/>
      <c r="S465" s="1223"/>
      <c r="T465" s="1223"/>
      <c r="U465" s="1223"/>
    </row>
    <row r="466" spans="7:21" ht="15.6">
      <c r="G466" s="1224"/>
      <c r="H466" s="1223"/>
      <c r="I466" s="1223"/>
      <c r="J466" s="1223"/>
      <c r="K466" s="1223"/>
      <c r="L466" s="1223"/>
      <c r="M466" s="1223"/>
      <c r="N466" s="1223"/>
      <c r="O466" s="1223"/>
      <c r="P466" s="1223"/>
      <c r="Q466" s="1223"/>
      <c r="R466" s="1223"/>
      <c r="S466" s="1223"/>
      <c r="T466" s="1223"/>
      <c r="U466" s="1223"/>
    </row>
    <row r="467" spans="7:21" ht="15.6">
      <c r="G467" s="1224"/>
      <c r="H467" s="1223"/>
      <c r="I467" s="1223"/>
      <c r="J467" s="1223"/>
      <c r="K467" s="1223"/>
      <c r="L467" s="1223"/>
      <c r="M467" s="1223"/>
      <c r="N467" s="1223"/>
      <c r="O467" s="1223"/>
      <c r="P467" s="1223"/>
      <c r="Q467" s="1223"/>
      <c r="R467" s="1223"/>
      <c r="S467" s="1223"/>
      <c r="T467" s="1223"/>
      <c r="U467" s="1223"/>
    </row>
    <row r="468" spans="7:21" ht="15.6">
      <c r="G468" s="1224"/>
      <c r="H468" s="1223"/>
      <c r="I468" s="1223"/>
      <c r="J468" s="1223"/>
      <c r="K468" s="1223"/>
      <c r="L468" s="1223"/>
      <c r="M468" s="1223"/>
      <c r="N468" s="1223"/>
      <c r="O468" s="1223"/>
      <c r="P468" s="1223"/>
      <c r="Q468" s="1223"/>
      <c r="R468" s="1223"/>
      <c r="S468" s="1223"/>
      <c r="T468" s="1223"/>
      <c r="U468" s="1223"/>
    </row>
    <row r="469" spans="7:21" ht="15.6">
      <c r="G469" s="1224"/>
      <c r="H469" s="1223"/>
      <c r="I469" s="1223"/>
      <c r="J469" s="1223"/>
      <c r="K469" s="1223"/>
      <c r="L469" s="1223"/>
      <c r="M469" s="1223"/>
      <c r="N469" s="1223"/>
      <c r="O469" s="1223"/>
      <c r="P469" s="1223"/>
      <c r="Q469" s="1223"/>
      <c r="R469" s="1223"/>
      <c r="S469" s="1223"/>
      <c r="T469" s="1223"/>
      <c r="U469" s="1223"/>
    </row>
    <row r="470" spans="7:21" ht="15.6">
      <c r="G470" s="1224"/>
      <c r="H470" s="1223"/>
      <c r="I470" s="1223"/>
      <c r="J470" s="1223"/>
      <c r="K470" s="1223"/>
      <c r="L470" s="1223"/>
      <c r="M470" s="1223"/>
      <c r="N470" s="1223"/>
      <c r="O470" s="1223"/>
      <c r="P470" s="1223"/>
      <c r="Q470" s="1223"/>
      <c r="R470" s="1223"/>
      <c r="S470" s="1223"/>
      <c r="T470" s="1223"/>
      <c r="U470" s="1223"/>
    </row>
    <row r="471" spans="7:21" ht="15.6">
      <c r="G471" s="1224"/>
      <c r="H471" s="1223"/>
      <c r="I471" s="1223"/>
      <c r="J471" s="1223"/>
      <c r="K471" s="1223"/>
      <c r="L471" s="1223"/>
      <c r="M471" s="1223"/>
      <c r="N471" s="1223"/>
      <c r="O471" s="1223"/>
      <c r="P471" s="1223"/>
      <c r="Q471" s="1223"/>
      <c r="R471" s="1223"/>
      <c r="S471" s="1223"/>
      <c r="T471" s="1223"/>
      <c r="U471" s="1223"/>
    </row>
    <row r="472" spans="7:21" ht="15.6">
      <c r="G472" s="1224"/>
      <c r="H472" s="1223"/>
      <c r="I472" s="1223"/>
      <c r="J472" s="1223"/>
      <c r="K472" s="1223"/>
      <c r="L472" s="1223"/>
      <c r="M472" s="1223"/>
      <c r="N472" s="1223"/>
      <c r="O472" s="1223"/>
      <c r="P472" s="1223"/>
      <c r="Q472" s="1223"/>
      <c r="R472" s="1223"/>
      <c r="S472" s="1223"/>
      <c r="T472" s="1223"/>
      <c r="U472" s="1223"/>
    </row>
    <row r="473" spans="7:21" ht="15.6">
      <c r="G473" s="1224"/>
      <c r="H473" s="1223"/>
      <c r="I473" s="1223"/>
      <c r="J473" s="1223"/>
      <c r="K473" s="1223"/>
      <c r="L473" s="1223"/>
      <c r="M473" s="1223"/>
      <c r="N473" s="1223"/>
      <c r="O473" s="1223"/>
      <c r="P473" s="1223"/>
      <c r="Q473" s="1223"/>
      <c r="R473" s="1223"/>
      <c r="S473" s="1223"/>
      <c r="T473" s="1223"/>
      <c r="U473" s="1223"/>
    </row>
    <row r="474" spans="7:21" ht="15.6">
      <c r="G474" s="1224"/>
      <c r="H474" s="1223"/>
      <c r="I474" s="1223"/>
      <c r="J474" s="1223"/>
      <c r="K474" s="1223"/>
      <c r="L474" s="1223"/>
      <c r="M474" s="1223"/>
      <c r="N474" s="1223"/>
      <c r="O474" s="1223"/>
      <c r="P474" s="1223"/>
      <c r="Q474" s="1223"/>
      <c r="R474" s="1223"/>
      <c r="S474" s="1223"/>
      <c r="T474" s="1223"/>
      <c r="U474" s="1223"/>
    </row>
    <row r="475" spans="7:21" ht="15.6">
      <c r="G475" s="1224"/>
      <c r="H475" s="1223"/>
      <c r="I475" s="1223"/>
      <c r="J475" s="1223"/>
      <c r="K475" s="1223"/>
      <c r="L475" s="1223"/>
      <c r="M475" s="1223"/>
      <c r="N475" s="1223"/>
      <c r="O475" s="1223"/>
      <c r="P475" s="1223"/>
      <c r="Q475" s="1223"/>
      <c r="R475" s="1223"/>
      <c r="S475" s="1223"/>
      <c r="T475" s="1223"/>
      <c r="U475" s="1223"/>
    </row>
    <row r="476" spans="7:21" ht="15.6">
      <c r="G476" s="1224"/>
      <c r="H476" s="1223"/>
      <c r="I476" s="1223"/>
      <c r="J476" s="1223"/>
      <c r="K476" s="1223"/>
      <c r="L476" s="1223"/>
      <c r="M476" s="1223"/>
      <c r="N476" s="1223"/>
      <c r="O476" s="1223"/>
      <c r="P476" s="1223"/>
      <c r="Q476" s="1223"/>
      <c r="R476" s="1223"/>
      <c r="S476" s="1223"/>
      <c r="T476" s="1223"/>
      <c r="U476" s="1223"/>
    </row>
    <row r="477" spans="7:21" ht="15.6">
      <c r="G477" s="1224"/>
      <c r="H477" s="1223"/>
      <c r="I477" s="1223"/>
      <c r="J477" s="1223"/>
      <c r="K477" s="1223"/>
      <c r="L477" s="1223"/>
      <c r="M477" s="1223"/>
      <c r="N477" s="1223"/>
      <c r="O477" s="1223"/>
      <c r="P477" s="1223"/>
      <c r="Q477" s="1223"/>
      <c r="R477" s="1223"/>
      <c r="S477" s="1223"/>
      <c r="T477" s="1223"/>
      <c r="U477" s="1223"/>
    </row>
    <row r="478" spans="7:21" ht="15.6">
      <c r="G478" s="1224"/>
      <c r="H478" s="1223"/>
      <c r="I478" s="1223"/>
      <c r="J478" s="1223"/>
      <c r="K478" s="1223"/>
      <c r="L478" s="1223"/>
      <c r="M478" s="1223"/>
      <c r="N478" s="1223"/>
      <c r="O478" s="1223"/>
      <c r="P478" s="1223"/>
      <c r="Q478" s="1223"/>
      <c r="R478" s="1223"/>
      <c r="S478" s="1223"/>
      <c r="T478" s="1223"/>
      <c r="U478" s="1223"/>
    </row>
    <row r="479" spans="7:21" ht="15.6">
      <c r="G479" s="1224"/>
      <c r="H479" s="1223"/>
      <c r="I479" s="1223"/>
      <c r="J479" s="1223"/>
      <c r="K479" s="1223"/>
      <c r="L479" s="1223"/>
      <c r="M479" s="1223"/>
      <c r="N479" s="1223"/>
      <c r="O479" s="1223"/>
      <c r="P479" s="1223"/>
      <c r="Q479" s="1223"/>
      <c r="R479" s="1223"/>
      <c r="S479" s="1223"/>
      <c r="T479" s="1223"/>
      <c r="U479" s="1223"/>
    </row>
    <row r="480" spans="7:21" ht="15.6">
      <c r="G480" s="1224"/>
      <c r="H480" s="1223"/>
      <c r="I480" s="1223"/>
      <c r="J480" s="1223"/>
      <c r="K480" s="1223"/>
      <c r="L480" s="1223"/>
      <c r="M480" s="1223"/>
      <c r="N480" s="1223"/>
      <c r="O480" s="1223"/>
      <c r="P480" s="1223"/>
      <c r="Q480" s="1223"/>
      <c r="R480" s="1223"/>
      <c r="S480" s="1223"/>
      <c r="T480" s="1223"/>
      <c r="U480" s="1223"/>
    </row>
    <row r="481" spans="7:21" ht="15.6">
      <c r="G481" s="1224"/>
      <c r="H481" s="1223"/>
      <c r="I481" s="1223"/>
      <c r="J481" s="1223"/>
      <c r="K481" s="1223"/>
      <c r="L481" s="1223"/>
      <c r="M481" s="1223"/>
      <c r="N481" s="1223"/>
      <c r="O481" s="1223"/>
      <c r="P481" s="1223"/>
      <c r="Q481" s="1223"/>
      <c r="R481" s="1223"/>
      <c r="S481" s="1223"/>
      <c r="T481" s="1223"/>
      <c r="U481" s="1223"/>
    </row>
    <row r="482" spans="7:21" ht="15.6">
      <c r="G482" s="1224"/>
      <c r="H482" s="1223"/>
      <c r="I482" s="1223"/>
      <c r="J482" s="1223"/>
      <c r="K482" s="1223"/>
      <c r="L482" s="1223"/>
      <c r="M482" s="1223"/>
      <c r="N482" s="1223"/>
      <c r="O482" s="1223"/>
      <c r="P482" s="1223"/>
      <c r="Q482" s="1223"/>
      <c r="R482" s="1223"/>
      <c r="S482" s="1223"/>
      <c r="T482" s="1223"/>
      <c r="U482" s="1223"/>
    </row>
    <row r="483" spans="7:21" ht="15.6">
      <c r="G483" s="1224"/>
      <c r="H483" s="1223"/>
      <c r="I483" s="1223"/>
      <c r="J483" s="1223"/>
      <c r="K483" s="1223"/>
      <c r="L483" s="1223"/>
      <c r="M483" s="1223"/>
      <c r="N483" s="1223"/>
      <c r="O483" s="1223"/>
      <c r="P483" s="1223"/>
      <c r="Q483" s="1223"/>
      <c r="R483" s="1223"/>
      <c r="S483" s="1223"/>
      <c r="T483" s="1223"/>
      <c r="U483" s="1223"/>
    </row>
    <row r="484" spans="7:21" ht="15.6">
      <c r="G484" s="1224"/>
      <c r="H484" s="1223"/>
      <c r="I484" s="1223"/>
      <c r="J484" s="1223"/>
      <c r="K484" s="1223"/>
      <c r="L484" s="1223"/>
      <c r="M484" s="1223"/>
      <c r="N484" s="1223"/>
      <c r="O484" s="1223"/>
      <c r="P484" s="1223"/>
      <c r="Q484" s="1223"/>
      <c r="R484" s="1223"/>
      <c r="S484" s="1223"/>
      <c r="T484" s="1223"/>
      <c r="U484" s="1223"/>
    </row>
    <row r="485" spans="7:21" ht="15.6">
      <c r="G485" s="1224"/>
      <c r="H485" s="1223"/>
      <c r="I485" s="1223"/>
      <c r="J485" s="1223"/>
      <c r="K485" s="1223"/>
      <c r="L485" s="1223"/>
      <c r="M485" s="1223"/>
      <c r="N485" s="1223"/>
      <c r="O485" s="1223"/>
      <c r="P485" s="1223"/>
      <c r="Q485" s="1223"/>
      <c r="R485" s="1223"/>
      <c r="S485" s="1223"/>
      <c r="T485" s="1223"/>
      <c r="U485" s="1223"/>
    </row>
    <row r="486" spans="7:21" ht="15.6">
      <c r="G486" s="1224"/>
      <c r="H486" s="1223"/>
      <c r="I486" s="1223"/>
      <c r="J486" s="1223"/>
      <c r="K486" s="1223"/>
      <c r="L486" s="1223"/>
      <c r="M486" s="1223"/>
      <c r="N486" s="1223"/>
      <c r="O486" s="1223"/>
      <c r="P486" s="1223"/>
      <c r="Q486" s="1223"/>
      <c r="R486" s="1223"/>
      <c r="S486" s="1223"/>
      <c r="T486" s="1223"/>
      <c r="U486" s="1223"/>
    </row>
    <row r="487" spans="7:21" ht="15.6">
      <c r="G487" s="1224"/>
      <c r="H487" s="1223"/>
      <c r="I487" s="1223"/>
      <c r="J487" s="1223"/>
      <c r="K487" s="1223"/>
      <c r="L487" s="1223"/>
      <c r="M487" s="1223"/>
      <c r="N487" s="1223"/>
      <c r="O487" s="1223"/>
      <c r="P487" s="1223"/>
      <c r="Q487" s="1223"/>
      <c r="R487" s="1223"/>
      <c r="S487" s="1223"/>
      <c r="T487" s="1223"/>
      <c r="U487" s="1223"/>
    </row>
    <row r="488" spans="7:21" ht="15.6">
      <c r="G488" s="1224"/>
      <c r="H488" s="1223"/>
      <c r="I488" s="1223"/>
      <c r="J488" s="1223"/>
      <c r="K488" s="1223"/>
      <c r="L488" s="1223"/>
      <c r="M488" s="1223"/>
      <c r="N488" s="1223"/>
      <c r="O488" s="1223"/>
      <c r="P488" s="1223"/>
      <c r="Q488" s="1223"/>
      <c r="R488" s="1223"/>
      <c r="S488" s="1223"/>
      <c r="T488" s="1223"/>
      <c r="U488" s="1223"/>
    </row>
    <row r="489" spans="7:21" ht="15.6">
      <c r="G489" s="1224"/>
      <c r="H489" s="1223"/>
      <c r="I489" s="1223"/>
      <c r="J489" s="1223"/>
      <c r="K489" s="1223"/>
      <c r="L489" s="1223"/>
      <c r="M489" s="1223"/>
      <c r="N489" s="1223"/>
      <c r="O489" s="1223"/>
      <c r="P489" s="1223"/>
      <c r="Q489" s="1223"/>
      <c r="R489" s="1223"/>
      <c r="S489" s="1223"/>
      <c r="T489" s="1223"/>
      <c r="U489" s="1223"/>
    </row>
    <row r="490" spans="7:21" ht="15.6">
      <c r="G490" s="1224"/>
      <c r="H490" s="1223"/>
      <c r="I490" s="1223"/>
      <c r="J490" s="1223"/>
      <c r="K490" s="1223"/>
      <c r="L490" s="1223"/>
      <c r="M490" s="1223"/>
      <c r="N490" s="1223"/>
      <c r="O490" s="1223"/>
      <c r="P490" s="1223"/>
      <c r="Q490" s="1223"/>
      <c r="R490" s="1223"/>
      <c r="S490" s="1223"/>
      <c r="T490" s="1223"/>
      <c r="U490" s="1223"/>
    </row>
    <row r="491" spans="7:21" ht="15.6">
      <c r="G491" s="1224"/>
      <c r="H491" s="1223"/>
      <c r="I491" s="1223"/>
      <c r="J491" s="1223"/>
      <c r="K491" s="1223"/>
      <c r="L491" s="1223"/>
      <c r="M491" s="1223"/>
      <c r="N491" s="1223"/>
      <c r="O491" s="1223"/>
      <c r="P491" s="1223"/>
      <c r="Q491" s="1223"/>
      <c r="R491" s="1223"/>
      <c r="S491" s="1223"/>
      <c r="T491" s="1223"/>
      <c r="U491" s="1223"/>
    </row>
    <row r="492" spans="7:21" ht="15.6">
      <c r="G492" s="1224"/>
      <c r="H492" s="1223"/>
      <c r="I492" s="1223"/>
      <c r="J492" s="1223"/>
      <c r="K492" s="1223"/>
      <c r="L492" s="1223"/>
      <c r="M492" s="1223"/>
      <c r="N492" s="1223"/>
      <c r="O492" s="1223"/>
      <c r="P492" s="1223"/>
      <c r="Q492" s="1223"/>
      <c r="R492" s="1223"/>
      <c r="S492" s="1223"/>
      <c r="T492" s="1223"/>
      <c r="U492" s="1223"/>
    </row>
    <row r="493" spans="7:21" ht="15.6">
      <c r="G493" s="1224"/>
      <c r="H493" s="1223"/>
      <c r="I493" s="1223"/>
      <c r="J493" s="1223"/>
      <c r="K493" s="1223"/>
      <c r="L493" s="1223"/>
      <c r="M493" s="1223"/>
      <c r="N493" s="1223"/>
      <c r="O493" s="1223"/>
      <c r="P493" s="1223"/>
      <c r="Q493" s="1223"/>
      <c r="R493" s="1223"/>
      <c r="S493" s="1223"/>
      <c r="T493" s="1223"/>
      <c r="U493" s="1223"/>
    </row>
    <row r="494" spans="7:21" ht="15.6">
      <c r="G494" s="1224"/>
      <c r="H494" s="1223"/>
      <c r="I494" s="1223"/>
      <c r="J494" s="1223"/>
      <c r="K494" s="1223"/>
      <c r="L494" s="1223"/>
      <c r="M494" s="1223"/>
      <c r="N494" s="1223"/>
      <c r="O494" s="1223"/>
      <c r="P494" s="1223"/>
      <c r="Q494" s="1223"/>
      <c r="R494" s="1223"/>
      <c r="S494" s="1223"/>
      <c r="T494" s="1223"/>
      <c r="U494" s="1223"/>
    </row>
    <row r="495" spans="7:21" ht="15.6">
      <c r="G495" s="1224"/>
      <c r="H495" s="1223"/>
      <c r="I495" s="1223"/>
      <c r="J495" s="1223"/>
      <c r="K495" s="1223"/>
      <c r="L495" s="1223"/>
      <c r="M495" s="1223"/>
      <c r="N495" s="1223"/>
      <c r="O495" s="1223"/>
      <c r="P495" s="1223"/>
      <c r="Q495" s="1223"/>
      <c r="R495" s="1223"/>
      <c r="S495" s="1223"/>
      <c r="T495" s="1223"/>
      <c r="U495" s="1223"/>
    </row>
    <row r="496" spans="7:21" ht="15.6">
      <c r="G496" s="1224"/>
      <c r="H496" s="1223"/>
      <c r="I496" s="1223"/>
      <c r="J496" s="1223"/>
      <c r="K496" s="1223"/>
      <c r="L496" s="1223"/>
      <c r="M496" s="1223"/>
      <c r="N496" s="1223"/>
      <c r="O496" s="1223"/>
      <c r="P496" s="1223"/>
      <c r="Q496" s="1223"/>
      <c r="R496" s="1223"/>
      <c r="S496" s="1223"/>
      <c r="T496" s="1223"/>
      <c r="U496" s="1223"/>
    </row>
    <row r="497" spans="7:21" ht="15.6">
      <c r="G497" s="1224"/>
      <c r="H497" s="1223"/>
      <c r="I497" s="1223"/>
      <c r="J497" s="1223"/>
      <c r="K497" s="1223"/>
      <c r="L497" s="1223"/>
      <c r="M497" s="1223"/>
      <c r="N497" s="1223"/>
      <c r="O497" s="1223"/>
      <c r="P497" s="1223"/>
      <c r="Q497" s="1223"/>
      <c r="R497" s="1223"/>
      <c r="S497" s="1223"/>
      <c r="T497" s="1223"/>
      <c r="U497" s="1223"/>
    </row>
    <row r="498" spans="7:21" ht="15.6">
      <c r="G498" s="1224"/>
      <c r="H498" s="1223"/>
      <c r="I498" s="1223"/>
      <c r="J498" s="1223"/>
      <c r="K498" s="1223"/>
      <c r="L498" s="1223"/>
      <c r="M498" s="1223"/>
      <c r="N498" s="1223"/>
      <c r="O498" s="1223"/>
      <c r="P498" s="1223"/>
      <c r="Q498" s="1223"/>
      <c r="R498" s="1223"/>
      <c r="S498" s="1223"/>
      <c r="T498" s="1223"/>
      <c r="U498" s="1223"/>
    </row>
    <row r="499" spans="7:21" ht="15.6">
      <c r="G499" s="1224"/>
      <c r="H499" s="1223"/>
      <c r="I499" s="1223"/>
      <c r="J499" s="1223"/>
      <c r="K499" s="1223"/>
      <c r="L499" s="1223"/>
      <c r="M499" s="1223"/>
      <c r="N499" s="1223"/>
      <c r="O499" s="1223"/>
      <c r="P499" s="1223"/>
      <c r="Q499" s="1223"/>
      <c r="R499" s="1223"/>
      <c r="S499" s="1223"/>
      <c r="T499" s="1223"/>
      <c r="U499" s="1223"/>
    </row>
    <row r="500" spans="7:21" ht="15.6">
      <c r="G500" s="1224"/>
      <c r="H500" s="1223"/>
      <c r="I500" s="1223"/>
      <c r="J500" s="1223"/>
      <c r="K500" s="1223"/>
      <c r="L500" s="1223"/>
      <c r="M500" s="1223"/>
      <c r="N500" s="1223"/>
      <c r="O500" s="1223"/>
      <c r="P500" s="1223"/>
      <c r="Q500" s="1223"/>
      <c r="R500" s="1223"/>
      <c r="S500" s="1223"/>
      <c r="T500" s="1223"/>
      <c r="U500" s="1223"/>
    </row>
    <row r="501" spans="7:21" ht="15.6">
      <c r="G501" s="1224"/>
      <c r="H501" s="1223"/>
      <c r="I501" s="1223"/>
      <c r="J501" s="1223"/>
      <c r="K501" s="1223"/>
      <c r="L501" s="1223"/>
      <c r="M501" s="1223"/>
      <c r="N501" s="1223"/>
      <c r="O501" s="1223"/>
      <c r="P501" s="1223"/>
      <c r="Q501" s="1223"/>
      <c r="R501" s="1223"/>
      <c r="S501" s="1223"/>
      <c r="T501" s="1223"/>
      <c r="U501" s="1223"/>
    </row>
    <row r="502" spans="7:21" ht="15.6">
      <c r="G502" s="1224"/>
      <c r="H502" s="1223"/>
      <c r="I502" s="1223"/>
      <c r="J502" s="1223"/>
      <c r="K502" s="1223"/>
      <c r="L502" s="1223"/>
      <c r="M502" s="1223"/>
      <c r="N502" s="1223"/>
      <c r="O502" s="1223"/>
      <c r="P502" s="1223"/>
      <c r="Q502" s="1223"/>
      <c r="R502" s="1223"/>
      <c r="S502" s="1223"/>
      <c r="T502" s="1223"/>
      <c r="U502" s="1223"/>
    </row>
    <row r="503" spans="7:21" ht="15.6">
      <c r="G503" s="1224"/>
      <c r="H503" s="1223"/>
      <c r="I503" s="1223"/>
      <c r="J503" s="1223"/>
      <c r="K503" s="1223"/>
      <c r="L503" s="1223"/>
      <c r="M503" s="1223"/>
      <c r="N503" s="1223"/>
      <c r="O503" s="1223"/>
      <c r="P503" s="1223"/>
      <c r="Q503" s="1223"/>
      <c r="R503" s="1223"/>
      <c r="S503" s="1223"/>
      <c r="T503" s="1223"/>
      <c r="U503" s="1223"/>
    </row>
    <row r="504" spans="7:21" ht="15.6">
      <c r="G504" s="1224"/>
      <c r="H504" s="1223"/>
      <c r="I504" s="1223"/>
      <c r="J504" s="1223"/>
      <c r="K504" s="1223"/>
      <c r="L504" s="1223"/>
      <c r="M504" s="1223"/>
      <c r="N504" s="1223"/>
      <c r="O504" s="1223"/>
      <c r="P504" s="1223"/>
      <c r="Q504" s="1223"/>
      <c r="R504" s="1223"/>
      <c r="S504" s="1223"/>
      <c r="T504" s="1223"/>
      <c r="U504" s="1223"/>
    </row>
    <row r="505" spans="7:21" ht="15.6">
      <c r="G505" s="1224"/>
      <c r="H505" s="1223"/>
      <c r="I505" s="1223"/>
      <c r="J505" s="1223"/>
      <c r="K505" s="1223"/>
      <c r="L505" s="1223"/>
      <c r="M505" s="1223"/>
      <c r="N505" s="1223"/>
      <c r="O505" s="1223"/>
      <c r="P505" s="1223"/>
      <c r="Q505" s="1223"/>
      <c r="R505" s="1223"/>
      <c r="S505" s="1223"/>
      <c r="T505" s="1223"/>
      <c r="U505" s="1223"/>
    </row>
    <row r="506" spans="7:21" ht="15.6">
      <c r="G506" s="1224"/>
      <c r="H506" s="1223"/>
      <c r="I506" s="1223"/>
      <c r="J506" s="1223"/>
      <c r="K506" s="1223"/>
      <c r="L506" s="1223"/>
      <c r="M506" s="1223"/>
      <c r="N506" s="1223"/>
      <c r="O506" s="1223"/>
      <c r="P506" s="1223"/>
      <c r="Q506" s="1223"/>
      <c r="R506" s="1223"/>
      <c r="S506" s="1223"/>
      <c r="T506" s="1223"/>
      <c r="U506" s="1223"/>
    </row>
    <row r="507" spans="7:21" ht="15.6">
      <c r="G507" s="1224"/>
      <c r="H507" s="1223"/>
      <c r="I507" s="1223"/>
      <c r="J507" s="1223"/>
      <c r="K507" s="1223"/>
      <c r="L507" s="1223"/>
      <c r="M507" s="1223"/>
      <c r="N507" s="1223"/>
      <c r="O507" s="1223"/>
      <c r="P507" s="1223"/>
      <c r="Q507" s="1223"/>
      <c r="R507" s="1223"/>
      <c r="S507" s="1223"/>
      <c r="T507" s="1223"/>
      <c r="U507" s="1223"/>
    </row>
    <row r="508" spans="7:21" ht="15.6">
      <c r="G508" s="1224"/>
      <c r="H508" s="1223"/>
      <c r="I508" s="1223"/>
      <c r="J508" s="1223"/>
      <c r="K508" s="1223"/>
      <c r="L508" s="1223"/>
      <c r="M508" s="1223"/>
      <c r="N508" s="1223"/>
      <c r="O508" s="1223"/>
      <c r="P508" s="1223"/>
      <c r="Q508" s="1223"/>
      <c r="R508" s="1223"/>
      <c r="S508" s="1223"/>
      <c r="T508" s="1223"/>
      <c r="U508" s="1223"/>
    </row>
    <row r="509" spans="7:21" ht="15.6">
      <c r="G509" s="1224"/>
      <c r="H509" s="1223"/>
      <c r="I509" s="1223"/>
      <c r="J509" s="1223"/>
      <c r="K509" s="1223"/>
      <c r="L509" s="1223"/>
      <c r="M509" s="1223"/>
      <c r="N509" s="1223"/>
      <c r="O509" s="1223"/>
      <c r="P509" s="1223"/>
      <c r="Q509" s="1223"/>
      <c r="R509" s="1223"/>
      <c r="S509" s="1223"/>
      <c r="T509" s="1223"/>
      <c r="U509" s="1223"/>
    </row>
    <row r="510" spans="7:21" ht="15.6">
      <c r="G510" s="1224"/>
      <c r="H510" s="1223"/>
      <c r="I510" s="1223"/>
      <c r="J510" s="1223"/>
      <c r="K510" s="1223"/>
      <c r="L510" s="1223"/>
      <c r="M510" s="1223"/>
      <c r="N510" s="1223"/>
      <c r="O510" s="1223"/>
      <c r="P510" s="1223"/>
      <c r="Q510" s="1223"/>
      <c r="R510" s="1223"/>
      <c r="S510" s="1223"/>
      <c r="T510" s="1223"/>
      <c r="U510" s="1223"/>
    </row>
    <row r="511" spans="7:21" ht="15.6">
      <c r="G511" s="1224"/>
      <c r="H511" s="1223"/>
      <c r="I511" s="1223"/>
      <c r="J511" s="1223"/>
      <c r="K511" s="1223"/>
      <c r="L511" s="1223"/>
      <c r="M511" s="1223"/>
      <c r="N511" s="1223"/>
      <c r="O511" s="1223"/>
      <c r="P511" s="1223"/>
      <c r="Q511" s="1223"/>
      <c r="R511" s="1223"/>
      <c r="S511" s="1223"/>
      <c r="T511" s="1223"/>
      <c r="U511" s="1223"/>
    </row>
    <row r="512" spans="7:21" ht="15.6">
      <c r="G512" s="1224"/>
      <c r="H512" s="1223"/>
      <c r="I512" s="1223"/>
      <c r="J512" s="1223"/>
      <c r="K512" s="1223"/>
      <c r="L512" s="1223"/>
      <c r="M512" s="1223"/>
      <c r="N512" s="1223"/>
      <c r="O512" s="1223"/>
      <c r="P512" s="1223"/>
      <c r="Q512" s="1223"/>
      <c r="R512" s="1223"/>
      <c r="S512" s="1223"/>
      <c r="T512" s="1223"/>
      <c r="U512" s="1223"/>
    </row>
    <row r="513" spans="7:21" ht="15.6">
      <c r="G513" s="1224"/>
      <c r="H513" s="1223"/>
      <c r="I513" s="1223"/>
      <c r="J513" s="1223"/>
      <c r="K513" s="1223"/>
      <c r="L513" s="1223"/>
      <c r="M513" s="1223"/>
      <c r="N513" s="1223"/>
      <c r="O513" s="1223"/>
      <c r="P513" s="1223"/>
      <c r="Q513" s="1223"/>
      <c r="R513" s="1223"/>
      <c r="S513" s="1223"/>
      <c r="T513" s="1223"/>
      <c r="U513" s="1223"/>
    </row>
    <row r="514" spans="7:21" ht="15.6">
      <c r="G514" s="1224"/>
      <c r="H514" s="1223"/>
      <c r="I514" s="1223"/>
      <c r="J514" s="1223"/>
      <c r="K514" s="1223"/>
      <c r="L514" s="1223"/>
      <c r="M514" s="1223"/>
      <c r="N514" s="1223"/>
      <c r="O514" s="1223"/>
      <c r="P514" s="1223"/>
      <c r="Q514" s="1223"/>
      <c r="R514" s="1223"/>
      <c r="S514" s="1223"/>
      <c r="T514" s="1223"/>
      <c r="U514" s="1223"/>
    </row>
    <row r="515" spans="7:21" ht="15.6">
      <c r="G515" s="1224"/>
      <c r="H515" s="1223"/>
      <c r="I515" s="1223"/>
      <c r="J515" s="1223"/>
      <c r="K515" s="1223"/>
      <c r="L515" s="1223"/>
      <c r="M515" s="1223"/>
      <c r="N515" s="1223"/>
      <c r="O515" s="1223"/>
      <c r="P515" s="1223"/>
      <c r="Q515" s="1223"/>
      <c r="R515" s="1223"/>
      <c r="S515" s="1223"/>
      <c r="T515" s="1223"/>
      <c r="U515" s="1223"/>
    </row>
    <row r="516" spans="7:21" ht="15.6">
      <c r="G516" s="1224"/>
      <c r="H516" s="1223"/>
      <c r="I516" s="1223"/>
      <c r="J516" s="1223"/>
      <c r="K516" s="1223"/>
      <c r="L516" s="1223"/>
      <c r="M516" s="1223"/>
      <c r="N516" s="1223"/>
      <c r="O516" s="1223"/>
      <c r="P516" s="1223"/>
      <c r="Q516" s="1223"/>
      <c r="R516" s="1223"/>
      <c r="S516" s="1223"/>
      <c r="T516" s="1223"/>
      <c r="U516" s="1223"/>
    </row>
    <row r="517" spans="7:21" ht="15.6">
      <c r="G517" s="1224"/>
      <c r="H517" s="1223"/>
      <c r="I517" s="1223"/>
      <c r="J517" s="1223"/>
      <c r="K517" s="1223"/>
      <c r="L517" s="1223"/>
      <c r="M517" s="1223"/>
      <c r="N517" s="1223"/>
      <c r="O517" s="1223"/>
      <c r="P517" s="1223"/>
      <c r="Q517" s="1223"/>
      <c r="R517" s="1223"/>
      <c r="S517" s="1223"/>
      <c r="T517" s="1223"/>
      <c r="U517" s="1223"/>
    </row>
    <row r="518" spans="7:21" ht="15.6">
      <c r="G518" s="1224"/>
      <c r="H518" s="1223"/>
      <c r="I518" s="1223"/>
      <c r="J518" s="1223"/>
      <c r="K518" s="1223"/>
      <c r="L518" s="1223"/>
      <c r="M518" s="1223"/>
      <c r="N518" s="1223"/>
      <c r="O518" s="1223"/>
      <c r="P518" s="1223"/>
      <c r="Q518" s="1223"/>
      <c r="R518" s="1223"/>
      <c r="S518" s="1223"/>
      <c r="T518" s="1223"/>
      <c r="U518" s="1223"/>
    </row>
    <row r="519" spans="7:21" ht="15.6">
      <c r="G519" s="1224"/>
      <c r="H519" s="1223"/>
      <c r="I519" s="1223"/>
      <c r="J519" s="1223"/>
      <c r="K519" s="1223"/>
      <c r="L519" s="1223"/>
      <c r="M519" s="1223"/>
      <c r="N519" s="1223"/>
      <c r="O519" s="1223"/>
      <c r="P519" s="1223"/>
      <c r="Q519" s="1223"/>
      <c r="R519" s="1223"/>
      <c r="S519" s="1223"/>
      <c r="T519" s="1223"/>
      <c r="U519" s="1223"/>
    </row>
    <row r="520" spans="7:21" ht="15.6">
      <c r="G520" s="1224"/>
      <c r="H520" s="1223"/>
      <c r="I520" s="1223"/>
      <c r="J520" s="1223"/>
      <c r="K520" s="1223"/>
      <c r="L520" s="1223"/>
      <c r="M520" s="1223"/>
      <c r="N520" s="1223"/>
      <c r="O520" s="1223"/>
      <c r="P520" s="1223"/>
      <c r="Q520" s="1223"/>
      <c r="R520" s="1223"/>
      <c r="S520" s="1223"/>
      <c r="T520" s="1223"/>
      <c r="U520" s="1223"/>
    </row>
    <row r="521" spans="7:21" ht="15.6">
      <c r="G521" s="1224"/>
      <c r="H521" s="1223"/>
      <c r="I521" s="1223"/>
      <c r="J521" s="1223"/>
      <c r="K521" s="1223"/>
      <c r="L521" s="1223"/>
      <c r="M521" s="1223"/>
      <c r="N521" s="1223"/>
      <c r="O521" s="1223"/>
      <c r="P521" s="1223"/>
      <c r="Q521" s="1223"/>
      <c r="R521" s="1223"/>
      <c r="S521" s="1223"/>
      <c r="T521" s="1223"/>
      <c r="U521" s="1223"/>
    </row>
    <row r="522" spans="7:21" ht="15.6">
      <c r="G522" s="1224"/>
      <c r="H522" s="1223"/>
      <c r="I522" s="1223"/>
      <c r="J522" s="1223"/>
      <c r="K522" s="1223"/>
      <c r="L522" s="1223"/>
      <c r="M522" s="1223"/>
      <c r="N522" s="1223"/>
      <c r="O522" s="1223"/>
      <c r="P522" s="1223"/>
      <c r="Q522" s="1223"/>
      <c r="R522" s="1223"/>
      <c r="S522" s="1223"/>
      <c r="T522" s="1223"/>
      <c r="U522" s="1223"/>
    </row>
    <row r="523" spans="7:21" ht="15.6">
      <c r="G523" s="1224"/>
      <c r="H523" s="1223"/>
      <c r="I523" s="1223"/>
      <c r="J523" s="1223"/>
      <c r="K523" s="1223"/>
      <c r="L523" s="1223"/>
      <c r="M523" s="1223"/>
      <c r="N523" s="1223"/>
      <c r="O523" s="1223"/>
      <c r="P523" s="1223"/>
      <c r="Q523" s="1223"/>
      <c r="R523" s="1223"/>
      <c r="S523" s="1223"/>
      <c r="T523" s="1223"/>
      <c r="U523" s="1223"/>
    </row>
    <row r="524" spans="7:21" ht="15.6">
      <c r="G524" s="1224"/>
      <c r="H524" s="1223"/>
      <c r="I524" s="1223"/>
      <c r="J524" s="1223"/>
      <c r="K524" s="1223"/>
      <c r="L524" s="1223"/>
      <c r="M524" s="1223"/>
      <c r="N524" s="1223"/>
      <c r="O524" s="1223"/>
      <c r="P524" s="1223"/>
      <c r="Q524" s="1223"/>
      <c r="R524" s="1223"/>
      <c r="S524" s="1223"/>
      <c r="T524" s="1223"/>
      <c r="U524" s="1223"/>
    </row>
    <row r="525" spans="7:21" ht="15.6">
      <c r="G525" s="1224"/>
      <c r="H525" s="1223"/>
      <c r="I525" s="1223"/>
      <c r="J525" s="1223"/>
      <c r="K525" s="1223"/>
      <c r="L525" s="1223"/>
      <c r="M525" s="1223"/>
      <c r="N525" s="1223"/>
      <c r="O525" s="1223"/>
      <c r="P525" s="1223"/>
      <c r="Q525" s="1223"/>
      <c r="R525" s="1223"/>
      <c r="S525" s="1223"/>
      <c r="T525" s="1223"/>
      <c r="U525" s="1223"/>
    </row>
    <row r="526" spans="7:21" ht="15.6">
      <c r="G526" s="1224"/>
      <c r="H526" s="1223"/>
      <c r="I526" s="1223"/>
      <c r="J526" s="1223"/>
      <c r="K526" s="1223"/>
      <c r="L526" s="1223"/>
      <c r="M526" s="1223"/>
      <c r="N526" s="1223"/>
      <c r="O526" s="1223"/>
      <c r="P526" s="1223"/>
      <c r="Q526" s="1223"/>
      <c r="R526" s="1223"/>
      <c r="S526" s="1223"/>
      <c r="T526" s="1223"/>
      <c r="U526" s="1223"/>
    </row>
    <row r="527" spans="7:21" ht="15.6">
      <c r="G527" s="1224"/>
      <c r="H527" s="1223"/>
      <c r="I527" s="1223"/>
      <c r="J527" s="1223"/>
      <c r="K527" s="1223"/>
      <c r="L527" s="1223"/>
      <c r="M527" s="1223"/>
      <c r="N527" s="1223"/>
      <c r="O527" s="1223"/>
      <c r="P527" s="1223"/>
      <c r="Q527" s="1223"/>
      <c r="R527" s="1223"/>
      <c r="S527" s="1223"/>
      <c r="T527" s="1223"/>
      <c r="U527" s="1223"/>
    </row>
    <row r="528" spans="7:21" ht="15.6">
      <c r="G528" s="1224"/>
      <c r="H528" s="1223"/>
      <c r="I528" s="1223"/>
      <c r="J528" s="1223"/>
      <c r="K528" s="1223"/>
      <c r="L528" s="1223"/>
      <c r="M528" s="1223"/>
      <c r="N528" s="1223"/>
      <c r="O528" s="1223"/>
      <c r="P528" s="1223"/>
      <c r="Q528" s="1223"/>
      <c r="R528" s="1223"/>
      <c r="S528" s="1223"/>
      <c r="T528" s="1223"/>
      <c r="U528" s="1223"/>
    </row>
    <row r="529" spans="7:21" ht="15.6">
      <c r="G529" s="1224"/>
      <c r="H529" s="1223"/>
      <c r="I529" s="1223"/>
      <c r="J529" s="1223"/>
      <c r="K529" s="1223"/>
      <c r="L529" s="1223"/>
      <c r="M529" s="1223"/>
      <c r="N529" s="1223"/>
      <c r="O529" s="1223"/>
      <c r="P529" s="1223"/>
      <c r="Q529" s="1223"/>
      <c r="R529" s="1223"/>
      <c r="S529" s="1223"/>
      <c r="T529" s="1223"/>
      <c r="U529" s="1223"/>
    </row>
    <row r="530" spans="7:21" ht="15.6">
      <c r="G530" s="1224"/>
      <c r="H530" s="1223"/>
      <c r="I530" s="1223"/>
      <c r="J530" s="1223"/>
      <c r="K530" s="1223"/>
      <c r="L530" s="1223"/>
      <c r="M530" s="1223"/>
      <c r="N530" s="1223"/>
      <c r="O530" s="1223"/>
      <c r="P530" s="1223"/>
      <c r="Q530" s="1223"/>
      <c r="R530" s="1223"/>
      <c r="S530" s="1223"/>
      <c r="T530" s="1223"/>
      <c r="U530" s="1223"/>
    </row>
    <row r="531" spans="7:21" ht="15.6">
      <c r="G531" s="1224"/>
      <c r="H531" s="1223"/>
      <c r="I531" s="1223"/>
      <c r="J531" s="1223"/>
      <c r="K531" s="1223"/>
      <c r="L531" s="1223"/>
      <c r="M531" s="1223"/>
      <c r="N531" s="1223"/>
      <c r="O531" s="1223"/>
      <c r="P531" s="1223"/>
      <c r="Q531" s="1223"/>
      <c r="R531" s="1223"/>
      <c r="S531" s="1223"/>
      <c r="T531" s="1223"/>
      <c r="U531" s="1223"/>
    </row>
    <row r="532" spans="7:21" ht="15.6">
      <c r="G532" s="1224"/>
      <c r="H532" s="1223"/>
      <c r="I532" s="1223"/>
      <c r="J532" s="1223"/>
      <c r="K532" s="1223"/>
      <c r="L532" s="1223"/>
      <c r="M532" s="1223"/>
      <c r="N532" s="1223"/>
      <c r="O532" s="1223"/>
      <c r="P532" s="1223"/>
      <c r="Q532" s="1223"/>
      <c r="R532" s="1223"/>
      <c r="S532" s="1223"/>
      <c r="T532" s="1223"/>
      <c r="U532" s="1223"/>
    </row>
    <row r="533" spans="7:21" ht="15.6">
      <c r="G533" s="1224"/>
      <c r="H533" s="1223"/>
      <c r="I533" s="1223"/>
      <c r="J533" s="1223"/>
      <c r="K533" s="1223"/>
      <c r="L533" s="1223"/>
      <c r="M533" s="1223"/>
      <c r="N533" s="1223"/>
      <c r="O533" s="1223"/>
      <c r="P533" s="1223"/>
      <c r="Q533" s="1223"/>
      <c r="R533" s="1223"/>
      <c r="S533" s="1223"/>
      <c r="T533" s="1223"/>
      <c r="U533" s="1223"/>
    </row>
    <row r="534" spans="7:21" ht="15.6">
      <c r="G534" s="1224"/>
      <c r="H534" s="1223"/>
      <c r="I534" s="1223"/>
      <c r="J534" s="1223"/>
      <c r="K534" s="1223"/>
      <c r="L534" s="1223"/>
      <c r="M534" s="1223"/>
      <c r="N534" s="1223"/>
      <c r="O534" s="1223"/>
      <c r="P534" s="1223"/>
      <c r="Q534" s="1223"/>
      <c r="R534" s="1223"/>
      <c r="S534" s="1223"/>
      <c r="T534" s="1223"/>
      <c r="U534" s="1223"/>
    </row>
    <row r="535" spans="7:21" ht="15.6">
      <c r="G535" s="1224"/>
      <c r="H535" s="1223"/>
      <c r="I535" s="1223"/>
      <c r="J535" s="1223"/>
      <c r="K535" s="1223"/>
      <c r="L535" s="1223"/>
      <c r="M535" s="1223"/>
      <c r="N535" s="1223"/>
      <c r="O535" s="1223"/>
      <c r="P535" s="1223"/>
      <c r="Q535" s="1223"/>
      <c r="R535" s="1223"/>
      <c r="S535" s="1223"/>
      <c r="T535" s="1223"/>
      <c r="U535" s="1223"/>
    </row>
    <row r="536" spans="7:21" ht="15.6">
      <c r="G536" s="1224"/>
      <c r="H536" s="1223"/>
      <c r="I536" s="1223"/>
      <c r="J536" s="1223"/>
      <c r="K536" s="1223"/>
      <c r="L536" s="1223"/>
      <c r="M536" s="1223"/>
      <c r="N536" s="1223"/>
      <c r="O536" s="1223"/>
      <c r="P536" s="1223"/>
      <c r="Q536" s="1223"/>
      <c r="R536" s="1223"/>
      <c r="S536" s="1223"/>
      <c r="T536" s="1223"/>
      <c r="U536" s="1223"/>
    </row>
    <row r="537" spans="7:21" ht="15.6">
      <c r="G537" s="1224"/>
      <c r="H537" s="1223"/>
      <c r="I537" s="1223"/>
      <c r="J537" s="1223"/>
      <c r="K537" s="1223"/>
      <c r="L537" s="1223"/>
      <c r="M537" s="1223"/>
      <c r="N537" s="1223"/>
      <c r="O537" s="1223"/>
      <c r="P537" s="1223"/>
      <c r="Q537" s="1223"/>
      <c r="R537" s="1223"/>
      <c r="S537" s="1223"/>
      <c r="T537" s="1223"/>
      <c r="U537" s="1223"/>
    </row>
    <row r="538" spans="7:21" ht="15.6">
      <c r="G538" s="1224"/>
      <c r="H538" s="1223"/>
      <c r="I538" s="1223"/>
      <c r="J538" s="1223"/>
      <c r="K538" s="1223"/>
      <c r="L538" s="1223"/>
      <c r="M538" s="1223"/>
      <c r="N538" s="1223"/>
      <c r="O538" s="1223"/>
      <c r="P538" s="1223"/>
      <c r="Q538" s="1223"/>
      <c r="R538" s="1223"/>
      <c r="S538" s="1223"/>
      <c r="T538" s="1223"/>
      <c r="U538" s="1223"/>
    </row>
    <row r="539" spans="7:21" ht="15.6">
      <c r="G539" s="1224"/>
      <c r="H539" s="1223"/>
      <c r="I539" s="1223"/>
      <c r="J539" s="1223"/>
      <c r="K539" s="1223"/>
      <c r="L539" s="1223"/>
      <c r="M539" s="1223"/>
      <c r="N539" s="1223"/>
      <c r="O539" s="1223"/>
      <c r="P539" s="1223"/>
      <c r="Q539" s="1223"/>
      <c r="R539" s="1223"/>
      <c r="S539" s="1223"/>
      <c r="T539" s="1223"/>
      <c r="U539" s="1223"/>
    </row>
    <row r="540" spans="7:21" ht="15.6">
      <c r="G540" s="1224"/>
      <c r="H540" s="1223"/>
      <c r="I540" s="1223"/>
      <c r="J540" s="1223"/>
      <c r="K540" s="1223"/>
      <c r="L540" s="1223"/>
      <c r="M540" s="1223"/>
      <c r="N540" s="1223"/>
      <c r="O540" s="1223"/>
      <c r="P540" s="1223"/>
      <c r="Q540" s="1223"/>
      <c r="R540" s="1223"/>
      <c r="S540" s="1223"/>
      <c r="T540" s="1223"/>
      <c r="U540" s="1223"/>
    </row>
    <row r="541" spans="7:21" ht="15.6">
      <c r="G541" s="1224"/>
      <c r="H541" s="1223"/>
      <c r="I541" s="1223"/>
      <c r="J541" s="1223"/>
      <c r="K541" s="1223"/>
      <c r="L541" s="1223"/>
      <c r="M541" s="1223"/>
      <c r="N541" s="1223"/>
      <c r="O541" s="1223"/>
      <c r="P541" s="1223"/>
      <c r="Q541" s="1223"/>
      <c r="R541" s="1223"/>
      <c r="S541" s="1223"/>
      <c r="T541" s="1223"/>
      <c r="U541" s="1223"/>
    </row>
    <row r="542" spans="7:21" ht="15.6">
      <c r="G542" s="1224"/>
      <c r="H542" s="1223"/>
      <c r="I542" s="1223"/>
      <c r="J542" s="1223"/>
      <c r="K542" s="1223"/>
      <c r="L542" s="1223"/>
      <c r="M542" s="1223"/>
      <c r="N542" s="1223"/>
      <c r="O542" s="1223"/>
      <c r="P542" s="1223"/>
      <c r="Q542" s="1223"/>
      <c r="R542" s="1223"/>
      <c r="S542" s="1223"/>
      <c r="T542" s="1223"/>
      <c r="U542" s="1223"/>
    </row>
    <row r="543" spans="7:21" ht="15.6">
      <c r="G543" s="1224"/>
      <c r="H543" s="1223"/>
      <c r="I543" s="1223"/>
      <c r="J543" s="1223"/>
      <c r="K543" s="1223"/>
      <c r="L543" s="1223"/>
      <c r="M543" s="1223"/>
      <c r="N543" s="1223"/>
      <c r="O543" s="1223"/>
      <c r="P543" s="1223"/>
      <c r="Q543" s="1223"/>
      <c r="R543" s="1223"/>
      <c r="S543" s="1223"/>
      <c r="T543" s="1223"/>
      <c r="U543" s="1223"/>
    </row>
    <row r="544" spans="7:21" ht="15.6">
      <c r="G544" s="1224"/>
      <c r="H544" s="1223"/>
      <c r="I544" s="1223"/>
      <c r="J544" s="1223"/>
      <c r="K544" s="1223"/>
      <c r="L544" s="1223"/>
      <c r="M544" s="1223"/>
      <c r="N544" s="1223"/>
      <c r="O544" s="1223"/>
      <c r="P544" s="1223"/>
      <c r="Q544" s="1223"/>
      <c r="R544" s="1223"/>
      <c r="S544" s="1223"/>
      <c r="T544" s="1223"/>
      <c r="U544" s="1223"/>
    </row>
    <row r="545" spans="7:21" ht="15.6">
      <c r="G545" s="1224"/>
      <c r="H545" s="1223"/>
      <c r="I545" s="1223"/>
      <c r="J545" s="1223"/>
      <c r="K545" s="1223"/>
      <c r="L545" s="1223"/>
      <c r="M545" s="1223"/>
      <c r="N545" s="1223"/>
      <c r="O545" s="1223"/>
      <c r="P545" s="1223"/>
      <c r="Q545" s="1223"/>
      <c r="R545" s="1223"/>
      <c r="S545" s="1223"/>
      <c r="T545" s="1223"/>
      <c r="U545" s="1223"/>
    </row>
    <row r="546" spans="7:21" ht="15.6">
      <c r="G546" s="1224"/>
      <c r="H546" s="1223"/>
      <c r="I546" s="1223"/>
      <c r="J546" s="1223"/>
      <c r="K546" s="1223"/>
      <c r="L546" s="1223"/>
      <c r="M546" s="1223"/>
      <c r="N546" s="1223"/>
      <c r="O546" s="1223"/>
      <c r="P546" s="1223"/>
      <c r="Q546" s="1223"/>
      <c r="R546" s="1223"/>
      <c r="S546" s="1223"/>
      <c r="T546" s="1223"/>
      <c r="U546" s="1223"/>
    </row>
    <row r="547" spans="7:21" ht="15.6">
      <c r="G547" s="1224"/>
      <c r="H547" s="1223"/>
      <c r="I547" s="1223"/>
      <c r="J547" s="1223"/>
      <c r="K547" s="1223"/>
      <c r="L547" s="1223"/>
      <c r="M547" s="1223"/>
      <c r="N547" s="1223"/>
      <c r="O547" s="1223"/>
      <c r="P547" s="1223"/>
      <c r="Q547" s="1223"/>
      <c r="R547" s="1223"/>
      <c r="S547" s="1223"/>
      <c r="T547" s="1223"/>
      <c r="U547" s="1223"/>
    </row>
    <row r="548" spans="7:21" ht="15.6">
      <c r="G548" s="1224"/>
      <c r="H548" s="1223"/>
      <c r="I548" s="1223"/>
      <c r="J548" s="1223"/>
      <c r="K548" s="1223"/>
      <c r="L548" s="1223"/>
      <c r="M548" s="1223"/>
      <c r="N548" s="1223"/>
      <c r="O548" s="1223"/>
      <c r="P548" s="1223"/>
      <c r="Q548" s="1223"/>
      <c r="R548" s="1223"/>
      <c r="S548" s="1223"/>
      <c r="T548" s="1223"/>
      <c r="U548" s="1223"/>
    </row>
    <row r="549" spans="7:21" ht="15.6">
      <c r="G549" s="1224"/>
      <c r="H549" s="1223"/>
      <c r="I549" s="1223"/>
      <c r="J549" s="1223"/>
      <c r="K549" s="1223"/>
      <c r="L549" s="1223"/>
      <c r="M549" s="1223"/>
      <c r="N549" s="1223"/>
      <c r="O549" s="1223"/>
      <c r="P549" s="1223"/>
      <c r="Q549" s="1223"/>
      <c r="R549" s="1223"/>
      <c r="S549" s="1223"/>
      <c r="T549" s="1223"/>
      <c r="U549" s="1223"/>
    </row>
    <row r="550" spans="7:21" ht="15.6">
      <c r="G550" s="1224"/>
      <c r="H550" s="1223"/>
      <c r="I550" s="1223"/>
      <c r="J550" s="1223"/>
      <c r="K550" s="1223"/>
      <c r="L550" s="1223"/>
      <c r="M550" s="1223"/>
      <c r="N550" s="1223"/>
      <c r="O550" s="1223"/>
      <c r="P550" s="1223"/>
      <c r="Q550" s="1223"/>
      <c r="R550" s="1223"/>
      <c r="S550" s="1223"/>
      <c r="T550" s="1223"/>
      <c r="U550" s="1223"/>
    </row>
    <row r="551" spans="7:21" ht="15.6">
      <c r="G551" s="1224"/>
      <c r="H551" s="1223"/>
      <c r="I551" s="1223"/>
      <c r="J551" s="1223"/>
      <c r="K551" s="1223"/>
      <c r="L551" s="1223"/>
      <c r="M551" s="1223"/>
      <c r="N551" s="1223"/>
      <c r="O551" s="1223"/>
      <c r="P551" s="1223"/>
      <c r="Q551" s="1223"/>
      <c r="R551" s="1223"/>
      <c r="S551" s="1223"/>
      <c r="T551" s="1223"/>
      <c r="U551" s="1223"/>
    </row>
    <row r="552" spans="7:21" ht="15.6">
      <c r="G552" s="1224"/>
      <c r="H552" s="1223"/>
      <c r="I552" s="1223"/>
      <c r="J552" s="1223"/>
      <c r="K552" s="1223"/>
      <c r="L552" s="1223"/>
      <c r="M552" s="1223"/>
      <c r="N552" s="1223"/>
      <c r="O552" s="1223"/>
      <c r="P552" s="1223"/>
      <c r="Q552" s="1223"/>
      <c r="R552" s="1223"/>
      <c r="S552" s="1223"/>
      <c r="T552" s="1223"/>
      <c r="U552" s="1223"/>
    </row>
    <row r="553" spans="7:21" ht="15.6">
      <c r="G553" s="1224"/>
      <c r="H553" s="1223"/>
      <c r="I553" s="1223"/>
      <c r="J553" s="1223"/>
      <c r="K553" s="1223"/>
      <c r="L553" s="1223"/>
      <c r="M553" s="1223"/>
      <c r="N553" s="1223"/>
      <c r="O553" s="1223"/>
      <c r="P553" s="1223"/>
      <c r="Q553" s="1223"/>
      <c r="R553" s="1223"/>
      <c r="S553" s="1223"/>
      <c r="T553" s="1223"/>
      <c r="U553" s="1223"/>
    </row>
    <row r="554" spans="7:21" ht="15.6">
      <c r="G554" s="1224"/>
      <c r="H554" s="1223"/>
      <c r="I554" s="1223"/>
      <c r="J554" s="1223"/>
      <c r="K554" s="1223"/>
      <c r="L554" s="1223"/>
      <c r="M554" s="1223"/>
      <c r="N554" s="1223"/>
      <c r="O554" s="1223"/>
      <c r="P554" s="1223"/>
      <c r="Q554" s="1223"/>
      <c r="R554" s="1223"/>
      <c r="S554" s="1223"/>
      <c r="T554" s="1223"/>
      <c r="U554" s="1223"/>
    </row>
    <row r="555" spans="7:21" ht="15.6">
      <c r="G555" s="1224"/>
      <c r="H555" s="1223"/>
      <c r="I555" s="1223"/>
      <c r="J555" s="1223"/>
      <c r="K555" s="1223"/>
      <c r="L555" s="1223"/>
      <c r="M555" s="1223"/>
      <c r="N555" s="1223"/>
      <c r="O555" s="1223"/>
      <c r="P555" s="1223"/>
      <c r="Q555" s="1223"/>
      <c r="R555" s="1223"/>
      <c r="S555" s="1223"/>
      <c r="T555" s="1223"/>
      <c r="U555" s="1223"/>
    </row>
    <row r="556" spans="7:21" ht="15.6">
      <c r="G556" s="1224"/>
      <c r="H556" s="1223"/>
      <c r="I556" s="1223"/>
      <c r="J556" s="1223"/>
      <c r="K556" s="1223"/>
      <c r="L556" s="1223"/>
      <c r="M556" s="1223"/>
      <c r="N556" s="1223"/>
      <c r="O556" s="1223"/>
      <c r="P556" s="1223"/>
      <c r="Q556" s="1223"/>
      <c r="R556" s="1223"/>
      <c r="S556" s="1223"/>
      <c r="T556" s="1223"/>
      <c r="U556" s="1223"/>
    </row>
    <row r="557" spans="7:21" ht="15.6">
      <c r="G557" s="1224"/>
      <c r="H557" s="1223"/>
      <c r="I557" s="1223"/>
      <c r="J557" s="1223"/>
      <c r="K557" s="1223"/>
      <c r="L557" s="1223"/>
      <c r="M557" s="1223"/>
      <c r="N557" s="1223"/>
      <c r="O557" s="1223"/>
      <c r="P557" s="1223"/>
      <c r="Q557" s="1223"/>
      <c r="R557" s="1223"/>
      <c r="S557" s="1223"/>
      <c r="T557" s="1223"/>
      <c r="U557" s="1223"/>
    </row>
    <row r="558" spans="7:21" ht="15.6">
      <c r="G558" s="1224"/>
      <c r="H558" s="1223"/>
      <c r="I558" s="1223"/>
      <c r="J558" s="1223"/>
      <c r="K558" s="1223"/>
      <c r="L558" s="1223"/>
      <c r="M558" s="1223"/>
      <c r="N558" s="1223"/>
      <c r="O558" s="1223"/>
      <c r="P558" s="1223"/>
      <c r="Q558" s="1223"/>
      <c r="R558" s="1223"/>
      <c r="S558" s="1223"/>
      <c r="T558" s="1223"/>
      <c r="U558" s="1223"/>
    </row>
    <row r="559" spans="7:21" ht="15.6">
      <c r="G559" s="1224"/>
      <c r="H559" s="1223"/>
      <c r="I559" s="1223"/>
      <c r="J559" s="1223"/>
      <c r="K559" s="1223"/>
      <c r="L559" s="1223"/>
      <c r="M559" s="1223"/>
      <c r="N559" s="1223"/>
      <c r="O559" s="1223"/>
      <c r="P559" s="1223"/>
      <c r="Q559" s="1223"/>
      <c r="R559" s="1223"/>
      <c r="S559" s="1223"/>
      <c r="T559" s="1223"/>
      <c r="U559" s="1223"/>
    </row>
    <row r="560" spans="7:21" ht="15.6">
      <c r="G560" s="1224"/>
      <c r="H560" s="1223"/>
      <c r="I560" s="1223"/>
      <c r="J560" s="1223"/>
      <c r="K560" s="1223"/>
      <c r="L560" s="1223"/>
      <c r="M560" s="1223"/>
      <c r="N560" s="1223"/>
      <c r="O560" s="1223"/>
      <c r="P560" s="1223"/>
      <c r="Q560" s="1223"/>
      <c r="R560" s="1223"/>
      <c r="S560" s="1223"/>
      <c r="T560" s="1223"/>
      <c r="U560" s="1223"/>
    </row>
    <row r="561" spans="7:21" ht="15.6">
      <c r="G561" s="1224"/>
      <c r="H561" s="1223"/>
      <c r="I561" s="1223"/>
      <c r="J561" s="1223"/>
      <c r="K561" s="1223"/>
      <c r="L561" s="1223"/>
      <c r="M561" s="1223"/>
      <c r="N561" s="1223"/>
      <c r="O561" s="1223"/>
      <c r="P561" s="1223"/>
      <c r="Q561" s="1223"/>
      <c r="R561" s="1223"/>
      <c r="S561" s="1223"/>
      <c r="T561" s="1223"/>
      <c r="U561" s="1223"/>
    </row>
    <row r="562" spans="7:21" ht="15.6">
      <c r="G562" s="1224"/>
      <c r="H562" s="1223"/>
      <c r="I562" s="1223"/>
      <c r="J562" s="1223"/>
      <c r="K562" s="1223"/>
      <c r="L562" s="1223"/>
      <c r="M562" s="1223"/>
      <c r="N562" s="1223"/>
      <c r="O562" s="1223"/>
      <c r="P562" s="1223"/>
      <c r="Q562" s="1223"/>
      <c r="R562" s="1223"/>
      <c r="S562" s="1223"/>
      <c r="T562" s="1223"/>
      <c r="U562" s="1223"/>
    </row>
    <row r="563" spans="7:21" ht="15.6">
      <c r="G563" s="1224"/>
      <c r="H563" s="1223"/>
      <c r="I563" s="1223"/>
      <c r="J563" s="1223"/>
      <c r="K563" s="1223"/>
      <c r="L563" s="1223"/>
      <c r="M563" s="1223"/>
      <c r="N563" s="1223"/>
      <c r="O563" s="1223"/>
      <c r="P563" s="1223"/>
      <c r="Q563" s="1223"/>
      <c r="R563" s="1223"/>
      <c r="S563" s="1223"/>
      <c r="T563" s="1223"/>
      <c r="U563" s="1223"/>
    </row>
    <row r="564" spans="7:21" ht="15.6">
      <c r="G564" s="1224"/>
      <c r="H564" s="1223"/>
      <c r="I564" s="1223"/>
      <c r="J564" s="1223"/>
      <c r="K564" s="1223"/>
      <c r="L564" s="1223"/>
      <c r="M564" s="1223"/>
      <c r="N564" s="1223"/>
      <c r="O564" s="1223"/>
      <c r="P564" s="1223"/>
      <c r="Q564" s="1223"/>
      <c r="R564" s="1223"/>
      <c r="S564" s="1223"/>
      <c r="T564" s="1223"/>
      <c r="U564" s="1223"/>
    </row>
    <row r="565" spans="7:21" ht="15.6">
      <c r="G565" s="1224"/>
      <c r="H565" s="1223"/>
      <c r="I565" s="1223"/>
      <c r="J565" s="1223"/>
      <c r="K565" s="1223"/>
      <c r="L565" s="1223"/>
      <c r="M565" s="1223"/>
      <c r="N565" s="1223"/>
      <c r="O565" s="1223"/>
      <c r="P565" s="1223"/>
      <c r="Q565" s="1223"/>
      <c r="R565" s="1223"/>
      <c r="S565" s="1223"/>
      <c r="T565" s="1223"/>
      <c r="U565" s="1223"/>
    </row>
    <row r="566" spans="7:21" ht="15.6">
      <c r="G566" s="1224"/>
      <c r="H566" s="1223"/>
      <c r="I566" s="1223"/>
      <c r="J566" s="1223"/>
      <c r="K566" s="1223"/>
      <c r="L566" s="1223"/>
      <c r="M566" s="1223"/>
      <c r="N566" s="1223"/>
      <c r="O566" s="1223"/>
      <c r="P566" s="1223"/>
      <c r="Q566" s="1223"/>
      <c r="R566" s="1223"/>
      <c r="S566" s="1223"/>
      <c r="T566" s="1223"/>
      <c r="U566" s="1223"/>
    </row>
    <row r="567" spans="7:21" ht="15.6">
      <c r="G567" s="1224"/>
      <c r="H567" s="1223"/>
      <c r="I567" s="1223"/>
      <c r="J567" s="1223"/>
      <c r="K567" s="1223"/>
      <c r="L567" s="1223"/>
      <c r="M567" s="1223"/>
      <c r="N567" s="1223"/>
      <c r="O567" s="1223"/>
      <c r="P567" s="1223"/>
      <c r="Q567" s="1223"/>
      <c r="R567" s="1223"/>
      <c r="S567" s="1223"/>
      <c r="T567" s="1223"/>
      <c r="U567" s="1223"/>
    </row>
    <row r="568" spans="7:21" ht="15.6">
      <c r="G568" s="1224"/>
      <c r="H568" s="1223"/>
      <c r="I568" s="1223"/>
      <c r="J568" s="1223"/>
      <c r="K568" s="1223"/>
      <c r="L568" s="1223"/>
      <c r="M568" s="1223"/>
      <c r="N568" s="1223"/>
      <c r="O568" s="1223"/>
      <c r="P568" s="1223"/>
      <c r="Q568" s="1223"/>
      <c r="R568" s="1223"/>
      <c r="S568" s="1223"/>
      <c r="T568" s="1223"/>
      <c r="U568" s="1223"/>
    </row>
    <row r="569" spans="7:21" ht="15.6">
      <c r="G569" s="1224"/>
      <c r="H569" s="1223"/>
      <c r="I569" s="1223"/>
      <c r="J569" s="1223"/>
      <c r="K569" s="1223"/>
      <c r="L569" s="1223"/>
      <c r="M569" s="1223"/>
      <c r="N569" s="1223"/>
      <c r="O569" s="1223"/>
      <c r="P569" s="1223"/>
      <c r="Q569" s="1223"/>
      <c r="R569" s="1223"/>
      <c r="S569" s="1223"/>
      <c r="T569" s="1223"/>
      <c r="U569" s="1223"/>
    </row>
    <row r="570" spans="7:21" ht="15.6">
      <c r="G570" s="1224"/>
      <c r="H570" s="1223"/>
      <c r="I570" s="1223"/>
      <c r="J570" s="1223"/>
      <c r="K570" s="1223"/>
      <c r="L570" s="1223"/>
      <c r="M570" s="1223"/>
      <c r="N570" s="1223"/>
      <c r="O570" s="1223"/>
      <c r="P570" s="1223"/>
      <c r="Q570" s="1223"/>
      <c r="R570" s="1223"/>
      <c r="S570" s="1223"/>
      <c r="T570" s="1223"/>
      <c r="U570" s="1223"/>
    </row>
    <row r="571" spans="7:21" ht="15.6">
      <c r="G571" s="1224"/>
      <c r="H571" s="1223"/>
      <c r="I571" s="1223"/>
      <c r="J571" s="1223"/>
      <c r="K571" s="1223"/>
      <c r="L571" s="1223"/>
      <c r="M571" s="1223"/>
      <c r="N571" s="1223"/>
      <c r="O571" s="1223"/>
      <c r="P571" s="1223"/>
      <c r="Q571" s="1223"/>
      <c r="R571" s="1223"/>
      <c r="S571" s="1223"/>
      <c r="T571" s="1223"/>
      <c r="U571" s="1223"/>
    </row>
    <row r="572" spans="7:21" ht="15.6">
      <c r="G572" s="1224"/>
      <c r="H572" s="1223"/>
      <c r="I572" s="1223"/>
      <c r="J572" s="1223"/>
      <c r="K572" s="1223"/>
      <c r="L572" s="1223"/>
      <c r="M572" s="1223"/>
      <c r="N572" s="1223"/>
      <c r="O572" s="1223"/>
      <c r="P572" s="1223"/>
      <c r="Q572" s="1223"/>
      <c r="R572" s="1223"/>
      <c r="S572" s="1223"/>
      <c r="T572" s="1223"/>
      <c r="U572" s="1223"/>
    </row>
    <row r="573" spans="7:21" ht="15.6">
      <c r="G573" s="1224"/>
      <c r="H573" s="1223"/>
      <c r="I573" s="1223"/>
      <c r="J573" s="1223"/>
      <c r="K573" s="1223"/>
      <c r="L573" s="1223"/>
      <c r="M573" s="1223"/>
      <c r="N573" s="1223"/>
      <c r="O573" s="1223"/>
      <c r="P573" s="1223"/>
      <c r="Q573" s="1223"/>
      <c r="R573" s="1223"/>
      <c r="S573" s="1223"/>
      <c r="T573" s="1223"/>
      <c r="U573" s="1223"/>
    </row>
    <row r="574" spans="7:21" ht="15.6">
      <c r="G574" s="1224"/>
      <c r="H574" s="1223"/>
      <c r="I574" s="1223"/>
      <c r="J574" s="1223"/>
      <c r="K574" s="1223"/>
      <c r="L574" s="1223"/>
      <c r="M574" s="1223"/>
      <c r="N574" s="1223"/>
      <c r="O574" s="1223"/>
      <c r="P574" s="1223"/>
      <c r="Q574" s="1223"/>
      <c r="R574" s="1223"/>
      <c r="S574" s="1223"/>
      <c r="T574" s="1223"/>
      <c r="U574" s="1223"/>
    </row>
    <row r="575" spans="7:21" ht="15.6">
      <c r="G575" s="1224"/>
      <c r="H575" s="1223"/>
      <c r="I575" s="1223"/>
      <c r="J575" s="1223"/>
      <c r="K575" s="1223"/>
      <c r="L575" s="1223"/>
      <c r="M575" s="1223"/>
      <c r="N575" s="1223"/>
      <c r="O575" s="1223"/>
      <c r="P575" s="1223"/>
      <c r="Q575" s="1223"/>
      <c r="R575" s="1223"/>
      <c r="S575" s="1223"/>
      <c r="T575" s="1223"/>
      <c r="U575" s="1223"/>
    </row>
    <row r="576" spans="7:21" ht="15.6">
      <c r="G576" s="1224"/>
      <c r="H576" s="1223"/>
      <c r="I576" s="1223"/>
      <c r="J576" s="1223"/>
      <c r="K576" s="1223"/>
      <c r="L576" s="1223"/>
      <c r="M576" s="1223"/>
      <c r="N576" s="1223"/>
      <c r="O576" s="1223"/>
      <c r="P576" s="1223"/>
      <c r="Q576" s="1223"/>
      <c r="R576" s="1223"/>
      <c r="S576" s="1223"/>
      <c r="T576" s="1223"/>
      <c r="U576" s="1223"/>
    </row>
    <row r="577" spans="7:21" ht="15.6">
      <c r="G577" s="1224"/>
      <c r="H577" s="1223"/>
      <c r="I577" s="1223"/>
      <c r="J577" s="1223"/>
      <c r="K577" s="1223"/>
      <c r="L577" s="1223"/>
      <c r="M577" s="1223"/>
      <c r="N577" s="1223"/>
      <c r="O577" s="1223"/>
      <c r="P577" s="1223"/>
      <c r="Q577" s="1223"/>
      <c r="R577" s="1223"/>
      <c r="S577" s="1223"/>
      <c r="T577" s="1223"/>
      <c r="U577" s="1223"/>
    </row>
    <row r="578" spans="7:21" ht="15.6">
      <c r="G578" s="1224"/>
      <c r="H578" s="1223"/>
      <c r="I578" s="1223"/>
      <c r="J578" s="1223"/>
      <c r="K578" s="1223"/>
      <c r="L578" s="1223"/>
      <c r="M578" s="1223"/>
      <c r="N578" s="1223"/>
      <c r="O578" s="1223"/>
      <c r="P578" s="1223"/>
      <c r="Q578" s="1223"/>
      <c r="R578" s="1223"/>
      <c r="S578" s="1223"/>
      <c r="T578" s="1223"/>
      <c r="U578" s="1223"/>
    </row>
    <row r="579" spans="7:21" ht="15.6">
      <c r="G579" s="1224"/>
      <c r="H579" s="1223"/>
      <c r="I579" s="1223"/>
      <c r="J579" s="1223"/>
      <c r="K579" s="1223"/>
      <c r="L579" s="1223"/>
      <c r="M579" s="1223"/>
      <c r="N579" s="1223"/>
      <c r="O579" s="1223"/>
      <c r="P579" s="1223"/>
      <c r="Q579" s="1223"/>
      <c r="R579" s="1223"/>
      <c r="S579" s="1223"/>
      <c r="T579" s="1223"/>
      <c r="U579" s="1223"/>
    </row>
    <row r="580" spans="7:21" ht="15.6">
      <c r="G580" s="1224"/>
      <c r="H580" s="1223"/>
      <c r="I580" s="1223"/>
      <c r="J580" s="1223"/>
      <c r="K580" s="1223"/>
      <c r="L580" s="1223"/>
      <c r="M580" s="1223"/>
      <c r="N580" s="1223"/>
      <c r="O580" s="1223"/>
      <c r="P580" s="1223"/>
      <c r="Q580" s="1223"/>
      <c r="R580" s="1223"/>
      <c r="S580" s="1223"/>
      <c r="T580" s="1223"/>
      <c r="U580" s="1223"/>
    </row>
    <row r="581" spans="7:21" ht="15.6">
      <c r="G581" s="1224"/>
      <c r="H581" s="1223"/>
      <c r="I581" s="1223"/>
      <c r="J581" s="1223"/>
      <c r="K581" s="1223"/>
      <c r="L581" s="1223"/>
      <c r="M581" s="1223"/>
      <c r="N581" s="1223"/>
      <c r="O581" s="1223"/>
      <c r="P581" s="1223"/>
      <c r="Q581" s="1223"/>
      <c r="R581" s="1223"/>
      <c r="S581" s="1223"/>
      <c r="T581" s="1223"/>
      <c r="U581" s="1223"/>
    </row>
    <row r="582" spans="7:21" ht="15.6">
      <c r="G582" s="1224"/>
      <c r="H582" s="1223"/>
      <c r="I582" s="1223"/>
      <c r="J582" s="1223"/>
      <c r="K582" s="1223"/>
      <c r="L582" s="1223"/>
      <c r="M582" s="1223"/>
      <c r="N582" s="1223"/>
      <c r="O582" s="1223"/>
      <c r="P582" s="1223"/>
      <c r="Q582" s="1223"/>
      <c r="R582" s="1223"/>
      <c r="S582" s="1223"/>
      <c r="T582" s="1223"/>
      <c r="U582" s="1223"/>
    </row>
    <row r="583" spans="7:21" ht="15.6">
      <c r="G583" s="1224"/>
      <c r="H583" s="1223"/>
      <c r="I583" s="1223"/>
      <c r="J583" s="1223"/>
      <c r="K583" s="1223"/>
      <c r="L583" s="1223"/>
      <c r="M583" s="1223"/>
      <c r="N583" s="1223"/>
      <c r="O583" s="1223"/>
      <c r="P583" s="1223"/>
      <c r="Q583" s="1223"/>
      <c r="R583" s="1223"/>
      <c r="S583" s="1223"/>
      <c r="T583" s="1223"/>
      <c r="U583" s="1223"/>
    </row>
    <row r="584" spans="7:21" ht="15.6">
      <c r="G584" s="1224"/>
      <c r="H584" s="1223"/>
      <c r="I584" s="1223"/>
      <c r="J584" s="1223"/>
      <c r="K584" s="1223"/>
      <c r="L584" s="1223"/>
      <c r="M584" s="1223"/>
      <c r="N584" s="1223"/>
      <c r="O584" s="1223"/>
      <c r="P584" s="1223"/>
      <c r="Q584" s="1223"/>
      <c r="R584" s="1223"/>
      <c r="S584" s="1223"/>
      <c r="T584" s="1223"/>
      <c r="U584" s="1223"/>
    </row>
    <row r="585" spans="7:21" ht="15.6">
      <c r="G585" s="1224"/>
      <c r="H585" s="1223"/>
      <c r="I585" s="1223"/>
      <c r="J585" s="1223"/>
      <c r="K585" s="1223"/>
      <c r="L585" s="1223"/>
      <c r="M585" s="1223"/>
      <c r="N585" s="1223"/>
      <c r="O585" s="1223"/>
      <c r="P585" s="1223"/>
      <c r="Q585" s="1223"/>
      <c r="R585" s="1223"/>
      <c r="S585" s="1223"/>
      <c r="T585" s="1223"/>
      <c r="U585" s="1223"/>
    </row>
    <row r="586" spans="7:21" ht="15.6">
      <c r="G586" s="1224"/>
      <c r="H586" s="1223"/>
      <c r="I586" s="1223"/>
      <c r="J586" s="1223"/>
      <c r="K586" s="1223"/>
      <c r="L586" s="1223"/>
      <c r="M586" s="1223"/>
      <c r="N586" s="1223"/>
      <c r="O586" s="1223"/>
      <c r="P586" s="1223"/>
      <c r="Q586" s="1223"/>
      <c r="R586" s="1223"/>
      <c r="S586" s="1223"/>
      <c r="T586" s="1223"/>
      <c r="U586" s="1223"/>
    </row>
    <row r="587" spans="7:21" ht="15.6">
      <c r="G587" s="1224"/>
      <c r="H587" s="1223"/>
      <c r="I587" s="1223"/>
      <c r="J587" s="1223"/>
      <c r="K587" s="1223"/>
      <c r="L587" s="1223"/>
      <c r="M587" s="1223"/>
      <c r="N587" s="1223"/>
      <c r="O587" s="1223"/>
      <c r="P587" s="1223"/>
      <c r="Q587" s="1223"/>
      <c r="R587" s="1223"/>
      <c r="S587" s="1223"/>
      <c r="T587" s="1223"/>
      <c r="U587" s="1223"/>
    </row>
    <row r="588" spans="7:21" ht="15.6">
      <c r="G588" s="1224"/>
      <c r="H588" s="1223"/>
      <c r="I588" s="1223"/>
      <c r="J588" s="1223"/>
      <c r="K588" s="1223"/>
      <c r="L588" s="1223"/>
      <c r="M588" s="1223"/>
      <c r="N588" s="1223"/>
      <c r="O588" s="1223"/>
      <c r="P588" s="1223"/>
      <c r="Q588" s="1223"/>
      <c r="R588" s="1223"/>
      <c r="S588" s="1223"/>
      <c r="T588" s="1223"/>
      <c r="U588" s="1223"/>
    </row>
    <row r="589" spans="7:21" ht="15.6">
      <c r="G589" s="1224"/>
      <c r="H589" s="1223"/>
      <c r="I589" s="1223"/>
      <c r="J589" s="1223"/>
      <c r="K589" s="1223"/>
      <c r="L589" s="1223"/>
      <c r="M589" s="1223"/>
      <c r="N589" s="1223"/>
      <c r="O589" s="1223"/>
      <c r="P589" s="1223"/>
      <c r="Q589" s="1223"/>
      <c r="R589" s="1223"/>
      <c r="S589" s="1223"/>
      <c r="T589" s="1223"/>
      <c r="U589" s="1223"/>
    </row>
    <row r="590" spans="7:21" ht="15.6">
      <c r="G590" s="1224"/>
      <c r="H590" s="1223"/>
      <c r="I590" s="1223"/>
      <c r="J590" s="1223"/>
      <c r="K590" s="1223"/>
      <c r="L590" s="1223"/>
      <c r="M590" s="1223"/>
      <c r="N590" s="1223"/>
      <c r="O590" s="1223"/>
      <c r="P590" s="1223"/>
      <c r="Q590" s="1223"/>
      <c r="R590" s="1223"/>
      <c r="S590" s="1223"/>
      <c r="T590" s="1223"/>
      <c r="U590" s="1223"/>
    </row>
    <row r="591" spans="7:21" ht="15.6">
      <c r="G591" s="1224"/>
      <c r="H591" s="1223"/>
      <c r="I591" s="1223"/>
      <c r="J591" s="1223"/>
      <c r="K591" s="1223"/>
      <c r="L591" s="1223"/>
      <c r="M591" s="1223"/>
      <c r="N591" s="1223"/>
      <c r="O591" s="1223"/>
      <c r="P591" s="1223"/>
      <c r="Q591" s="1223"/>
      <c r="R591" s="1223"/>
      <c r="S591" s="1223"/>
      <c r="T591" s="1223"/>
      <c r="U591" s="1223"/>
    </row>
    <row r="592" spans="7:21" ht="15.6">
      <c r="G592" s="1224"/>
      <c r="H592" s="1223"/>
      <c r="I592" s="1223"/>
      <c r="J592" s="1223"/>
      <c r="K592" s="1223"/>
      <c r="L592" s="1223"/>
      <c r="M592" s="1223"/>
      <c r="N592" s="1223"/>
      <c r="O592" s="1223"/>
      <c r="P592" s="1223"/>
      <c r="Q592" s="1223"/>
      <c r="R592" s="1223"/>
      <c r="S592" s="1223"/>
      <c r="T592" s="1223"/>
      <c r="U592" s="1223"/>
    </row>
    <row r="593" spans="7:21" ht="15.6">
      <c r="G593" s="1224"/>
      <c r="H593" s="1223"/>
      <c r="I593" s="1223"/>
      <c r="J593" s="1223"/>
      <c r="K593" s="1223"/>
      <c r="L593" s="1223"/>
      <c r="M593" s="1223"/>
      <c r="N593" s="1223"/>
      <c r="O593" s="1223"/>
      <c r="P593" s="1223"/>
      <c r="Q593" s="1223"/>
      <c r="R593" s="1223"/>
      <c r="S593" s="1223"/>
      <c r="T593" s="1223"/>
      <c r="U593" s="1223"/>
    </row>
    <row r="594" spans="7:21" ht="15.6">
      <c r="G594" s="1224"/>
      <c r="H594" s="1223"/>
      <c r="I594" s="1223"/>
      <c r="J594" s="1223"/>
      <c r="K594" s="1223"/>
      <c r="L594" s="1223"/>
      <c r="M594" s="1223"/>
      <c r="N594" s="1223"/>
      <c r="O594" s="1223"/>
      <c r="P594" s="1223"/>
      <c r="Q594" s="1223"/>
      <c r="R594" s="1223"/>
      <c r="S594" s="1223"/>
      <c r="T594" s="1223"/>
      <c r="U594" s="1223"/>
    </row>
    <row r="595" spans="7:21" ht="15.6">
      <c r="G595" s="1224"/>
      <c r="H595" s="1223"/>
      <c r="I595" s="1223"/>
      <c r="J595" s="1223"/>
      <c r="K595" s="1223"/>
      <c r="L595" s="1223"/>
      <c r="M595" s="1223"/>
      <c r="N595" s="1223"/>
      <c r="O595" s="1223"/>
      <c r="P595" s="1223"/>
      <c r="Q595" s="1223"/>
      <c r="R595" s="1223"/>
      <c r="S595" s="1223"/>
      <c r="T595" s="1223"/>
      <c r="U595" s="1223"/>
    </row>
    <row r="596" spans="7:21" ht="15.6">
      <c r="G596" s="1224"/>
      <c r="H596" s="1223"/>
      <c r="I596" s="1223"/>
      <c r="J596" s="1223"/>
      <c r="K596" s="1223"/>
      <c r="L596" s="1223"/>
      <c r="M596" s="1223"/>
      <c r="N596" s="1223"/>
      <c r="O596" s="1223"/>
      <c r="P596" s="1223"/>
      <c r="Q596" s="1223"/>
      <c r="R596" s="1223"/>
      <c r="S596" s="1223"/>
      <c r="T596" s="1223"/>
      <c r="U596" s="1223"/>
    </row>
    <row r="597" spans="7:21" ht="15.6">
      <c r="G597" s="1224"/>
      <c r="H597" s="1223"/>
      <c r="I597" s="1223"/>
      <c r="J597" s="1223"/>
      <c r="K597" s="1223"/>
      <c r="L597" s="1223"/>
      <c r="M597" s="1223"/>
      <c r="N597" s="1223"/>
      <c r="O597" s="1223"/>
      <c r="P597" s="1223"/>
      <c r="Q597" s="1223"/>
      <c r="R597" s="1223"/>
      <c r="S597" s="1223"/>
      <c r="T597" s="1223"/>
      <c r="U597" s="1223"/>
    </row>
    <row r="598" spans="7:21" ht="15.6">
      <c r="G598" s="1224"/>
      <c r="H598" s="1223"/>
      <c r="I598" s="1223"/>
      <c r="J598" s="1223"/>
      <c r="K598" s="1223"/>
      <c r="L598" s="1223"/>
      <c r="M598" s="1223"/>
      <c r="N598" s="1223"/>
      <c r="O598" s="1223"/>
      <c r="P598" s="1223"/>
      <c r="Q598" s="1223"/>
      <c r="R598" s="1223"/>
      <c r="S598" s="1223"/>
      <c r="T598" s="1223"/>
      <c r="U598" s="1223"/>
    </row>
    <row r="599" spans="7:21" ht="15.6">
      <c r="G599" s="1224"/>
      <c r="H599" s="1223"/>
      <c r="I599" s="1223"/>
      <c r="J599" s="1223"/>
      <c r="K599" s="1223"/>
      <c r="L599" s="1223"/>
      <c r="M599" s="1223"/>
      <c r="N599" s="1223"/>
      <c r="O599" s="1223"/>
      <c r="P599" s="1223"/>
      <c r="Q599" s="1223"/>
      <c r="R599" s="1223"/>
      <c r="S599" s="1223"/>
      <c r="T599" s="1223"/>
      <c r="U599" s="1223"/>
    </row>
    <row r="600" spans="7:21" ht="15.6">
      <c r="G600" s="1224"/>
      <c r="H600" s="1223"/>
      <c r="I600" s="1223"/>
      <c r="J600" s="1223"/>
      <c r="K600" s="1223"/>
      <c r="L600" s="1223"/>
      <c r="M600" s="1223"/>
      <c r="N600" s="1223"/>
      <c r="O600" s="1223"/>
      <c r="P600" s="1223"/>
      <c r="Q600" s="1223"/>
      <c r="R600" s="1223"/>
      <c r="S600" s="1223"/>
      <c r="T600" s="1223"/>
      <c r="U600" s="1223"/>
    </row>
    <row r="601" spans="7:21" ht="15.6">
      <c r="G601" s="1224"/>
      <c r="H601" s="1223"/>
      <c r="I601" s="1223"/>
      <c r="J601" s="1223"/>
      <c r="K601" s="1223"/>
      <c r="L601" s="1223"/>
      <c r="M601" s="1223"/>
      <c r="N601" s="1223"/>
      <c r="O601" s="1223"/>
      <c r="P601" s="1223"/>
      <c r="Q601" s="1223"/>
      <c r="R601" s="1223"/>
      <c r="S601" s="1223"/>
      <c r="T601" s="1223"/>
      <c r="U601" s="1223"/>
    </row>
    <row r="602" spans="7:21" ht="15.6">
      <c r="G602" s="1224"/>
      <c r="H602" s="1223"/>
      <c r="I602" s="1223"/>
      <c r="J602" s="1223"/>
      <c r="K602" s="1223"/>
      <c r="L602" s="1223"/>
      <c r="M602" s="1223"/>
      <c r="N602" s="1223"/>
      <c r="O602" s="1223"/>
      <c r="P602" s="1223"/>
      <c r="Q602" s="1223"/>
      <c r="R602" s="1223"/>
      <c r="S602" s="1223"/>
      <c r="T602" s="1223"/>
      <c r="U602" s="1223"/>
    </row>
    <row r="603" spans="7:21" ht="15.6">
      <c r="G603" s="1224"/>
      <c r="H603" s="1223"/>
      <c r="I603" s="1223"/>
      <c r="J603" s="1223"/>
      <c r="K603" s="1223"/>
      <c r="L603" s="1223"/>
      <c r="M603" s="1223"/>
      <c r="N603" s="1223"/>
      <c r="O603" s="1223"/>
      <c r="P603" s="1223"/>
      <c r="Q603" s="1223"/>
      <c r="R603" s="1223"/>
      <c r="S603" s="1223"/>
      <c r="T603" s="1223"/>
      <c r="U603" s="1223"/>
    </row>
    <row r="604" spans="7:21" ht="15.6">
      <c r="G604" s="1224"/>
      <c r="H604" s="1223"/>
      <c r="I604" s="1223"/>
      <c r="J604" s="1223"/>
      <c r="K604" s="1223"/>
      <c r="L604" s="1223"/>
      <c r="M604" s="1223"/>
      <c r="N604" s="1223"/>
      <c r="O604" s="1223"/>
      <c r="P604" s="1223"/>
      <c r="Q604" s="1223"/>
      <c r="R604" s="1223"/>
      <c r="S604" s="1223"/>
      <c r="T604" s="1223"/>
      <c r="U604" s="1223"/>
    </row>
    <row r="605" spans="7:21" ht="15.6">
      <c r="G605" s="1224"/>
      <c r="H605" s="1223"/>
      <c r="I605" s="1223"/>
      <c r="J605" s="1223"/>
      <c r="K605" s="1223"/>
      <c r="L605" s="1223"/>
      <c r="M605" s="1223"/>
      <c r="N605" s="1223"/>
      <c r="O605" s="1223"/>
      <c r="P605" s="1223"/>
      <c r="Q605" s="1223"/>
      <c r="R605" s="1223"/>
      <c r="S605" s="1223"/>
      <c r="T605" s="1223"/>
      <c r="U605" s="1223"/>
    </row>
    <row r="606" spans="7:21" ht="15.6">
      <c r="G606" s="1224"/>
      <c r="H606" s="1223"/>
      <c r="I606" s="1223"/>
      <c r="J606" s="1223"/>
      <c r="K606" s="1223"/>
      <c r="L606" s="1223"/>
      <c r="M606" s="1223"/>
      <c r="N606" s="1223"/>
      <c r="O606" s="1223"/>
      <c r="P606" s="1223"/>
      <c r="Q606" s="1223"/>
      <c r="R606" s="1223"/>
      <c r="S606" s="1223"/>
      <c r="T606" s="1223"/>
      <c r="U606" s="1223"/>
    </row>
    <row r="607" spans="7:21" ht="15.6">
      <c r="G607" s="1224"/>
      <c r="H607" s="1223"/>
      <c r="I607" s="1223"/>
      <c r="J607" s="1223"/>
      <c r="K607" s="1223"/>
      <c r="L607" s="1223"/>
      <c r="M607" s="1223"/>
      <c r="N607" s="1223"/>
      <c r="O607" s="1223"/>
      <c r="P607" s="1223"/>
      <c r="Q607" s="1223"/>
      <c r="R607" s="1223"/>
      <c r="S607" s="1223"/>
      <c r="T607" s="1223"/>
      <c r="U607" s="1223"/>
    </row>
    <row r="608" spans="7:21" ht="15.6">
      <c r="G608" s="1224"/>
      <c r="H608" s="1223"/>
      <c r="I608" s="1223"/>
      <c r="J608" s="1223"/>
      <c r="K608" s="1223"/>
      <c r="L608" s="1223"/>
      <c r="M608" s="1223"/>
      <c r="N608" s="1223"/>
      <c r="O608" s="1223"/>
      <c r="P608" s="1223"/>
      <c r="Q608" s="1223"/>
      <c r="R608" s="1223"/>
      <c r="S608" s="1223"/>
      <c r="T608" s="1223"/>
      <c r="U608" s="1223"/>
    </row>
    <row r="609" spans="7:21" ht="15.6">
      <c r="G609" s="1224"/>
      <c r="H609" s="1223"/>
      <c r="I609" s="1223"/>
      <c r="J609" s="1223"/>
      <c r="K609" s="1223"/>
      <c r="L609" s="1223"/>
      <c r="M609" s="1223"/>
      <c r="N609" s="1223"/>
      <c r="O609" s="1223"/>
      <c r="P609" s="1223"/>
      <c r="Q609" s="1223"/>
      <c r="R609" s="1223"/>
      <c r="S609" s="1223"/>
      <c r="T609" s="1223"/>
      <c r="U609" s="1223"/>
    </row>
    <row r="610" spans="7:21" ht="15.6">
      <c r="G610" s="1224"/>
      <c r="H610" s="1223"/>
      <c r="I610" s="1223"/>
      <c r="J610" s="1223"/>
      <c r="K610" s="1223"/>
      <c r="L610" s="1223"/>
      <c r="M610" s="1223"/>
      <c r="N610" s="1223"/>
      <c r="O610" s="1223"/>
      <c r="P610" s="1223"/>
      <c r="Q610" s="1223"/>
      <c r="R610" s="1223"/>
      <c r="S610" s="1223"/>
      <c r="T610" s="1223"/>
      <c r="U610" s="1223"/>
    </row>
    <row r="611" spans="7:21" ht="15.6">
      <c r="G611" s="1224"/>
      <c r="H611" s="1223"/>
      <c r="I611" s="1223"/>
      <c r="J611" s="1223"/>
      <c r="K611" s="1223"/>
      <c r="L611" s="1223"/>
      <c r="M611" s="1223"/>
      <c r="N611" s="1223"/>
      <c r="O611" s="1223"/>
      <c r="P611" s="1223"/>
      <c r="Q611" s="1223"/>
      <c r="R611" s="1223"/>
      <c r="S611" s="1223"/>
      <c r="T611" s="1223"/>
      <c r="U611" s="1223"/>
    </row>
    <row r="612" spans="7:21" ht="15.6">
      <c r="G612" s="1224"/>
      <c r="H612" s="1223"/>
      <c r="I612" s="1223"/>
      <c r="J612" s="1223"/>
      <c r="K612" s="1223"/>
      <c r="L612" s="1223"/>
      <c r="M612" s="1223"/>
      <c r="N612" s="1223"/>
      <c r="O612" s="1223"/>
      <c r="P612" s="1223"/>
      <c r="Q612" s="1223"/>
      <c r="R612" s="1223"/>
      <c r="S612" s="1223"/>
      <c r="T612" s="1223"/>
      <c r="U612" s="1223"/>
    </row>
    <row r="613" spans="7:21" ht="15.6">
      <c r="G613" s="1224"/>
      <c r="H613" s="1223"/>
      <c r="I613" s="1223"/>
      <c r="J613" s="1223"/>
      <c r="K613" s="1223"/>
      <c r="L613" s="1223"/>
      <c r="M613" s="1223"/>
      <c r="N613" s="1223"/>
      <c r="O613" s="1223"/>
      <c r="P613" s="1223"/>
      <c r="Q613" s="1223"/>
      <c r="R613" s="1223"/>
      <c r="S613" s="1223"/>
      <c r="T613" s="1223"/>
      <c r="U613" s="1223"/>
    </row>
    <row r="614" spans="7:21" ht="15.6">
      <c r="G614" s="1224"/>
      <c r="H614" s="1223"/>
      <c r="I614" s="1223"/>
      <c r="J614" s="1223"/>
      <c r="K614" s="1223"/>
      <c r="L614" s="1223"/>
      <c r="M614" s="1223"/>
      <c r="N614" s="1223"/>
      <c r="O614" s="1223"/>
      <c r="P614" s="1223"/>
      <c r="Q614" s="1223"/>
      <c r="R614" s="1223"/>
      <c r="S614" s="1223"/>
      <c r="T614" s="1223"/>
      <c r="U614" s="1223"/>
    </row>
    <row r="615" spans="7:21" ht="15.6">
      <c r="G615" s="1224"/>
      <c r="H615" s="1223"/>
      <c r="I615" s="1223"/>
      <c r="J615" s="1223"/>
      <c r="K615" s="1223"/>
      <c r="L615" s="1223"/>
      <c r="M615" s="1223"/>
      <c r="N615" s="1223"/>
      <c r="O615" s="1223"/>
      <c r="P615" s="1223"/>
      <c r="Q615" s="1223"/>
      <c r="R615" s="1223"/>
      <c r="S615" s="1223"/>
      <c r="T615" s="1223"/>
      <c r="U615" s="1223"/>
    </row>
    <row r="616" spans="7:21" ht="15.6">
      <c r="G616" s="1224"/>
      <c r="H616" s="1223"/>
      <c r="I616" s="1223"/>
      <c r="J616" s="1223"/>
      <c r="K616" s="1223"/>
      <c r="L616" s="1223"/>
      <c r="M616" s="1223"/>
      <c r="N616" s="1223"/>
      <c r="O616" s="1223"/>
      <c r="P616" s="1223"/>
      <c r="Q616" s="1223"/>
      <c r="R616" s="1223"/>
      <c r="S616" s="1223"/>
      <c r="T616" s="1223"/>
      <c r="U616" s="1223"/>
    </row>
    <row r="617" spans="7:21" ht="15.6">
      <c r="G617" s="1224"/>
      <c r="H617" s="1223"/>
      <c r="I617" s="1223"/>
      <c r="J617" s="1223"/>
      <c r="K617" s="1223"/>
      <c r="L617" s="1223"/>
      <c r="M617" s="1223"/>
      <c r="N617" s="1223"/>
      <c r="O617" s="1223"/>
      <c r="P617" s="1223"/>
      <c r="Q617" s="1223"/>
      <c r="R617" s="1223"/>
      <c r="S617" s="1223"/>
      <c r="T617" s="1223"/>
      <c r="U617" s="1223"/>
    </row>
    <row r="618" spans="7:21" ht="15.6">
      <c r="G618" s="1224"/>
      <c r="H618" s="1223"/>
      <c r="I618" s="1223"/>
      <c r="J618" s="1223"/>
      <c r="K618" s="1223"/>
      <c r="L618" s="1223"/>
      <c r="M618" s="1223"/>
      <c r="N618" s="1223"/>
      <c r="O618" s="1223"/>
      <c r="P618" s="1223"/>
      <c r="Q618" s="1223"/>
      <c r="R618" s="1223"/>
      <c r="S618" s="1223"/>
      <c r="T618" s="1223"/>
      <c r="U618" s="1223"/>
    </row>
    <row r="619" spans="7:21" ht="15.6">
      <c r="G619" s="1224"/>
      <c r="H619" s="1223"/>
      <c r="I619" s="1223"/>
      <c r="J619" s="1223"/>
      <c r="K619" s="1223"/>
      <c r="L619" s="1223"/>
      <c r="M619" s="1223"/>
      <c r="N619" s="1223"/>
      <c r="O619" s="1223"/>
      <c r="P619" s="1223"/>
      <c r="Q619" s="1223"/>
      <c r="R619" s="1223"/>
      <c r="S619" s="1223"/>
      <c r="T619" s="1223"/>
      <c r="U619" s="1223"/>
    </row>
    <row r="620" spans="7:21" ht="15.6">
      <c r="G620" s="1224"/>
      <c r="H620" s="1223"/>
      <c r="I620" s="1223"/>
      <c r="J620" s="1223"/>
      <c r="K620" s="1223"/>
      <c r="L620" s="1223"/>
      <c r="M620" s="1223"/>
      <c r="N620" s="1223"/>
      <c r="O620" s="1223"/>
      <c r="P620" s="1223"/>
      <c r="Q620" s="1223"/>
      <c r="R620" s="1223"/>
      <c r="S620" s="1223"/>
      <c r="T620" s="1223"/>
      <c r="U620" s="1223"/>
    </row>
    <row r="621" spans="7:21" ht="15.6">
      <c r="G621" s="1224"/>
      <c r="H621" s="1223"/>
      <c r="I621" s="1223"/>
      <c r="J621" s="1223"/>
      <c r="K621" s="1223"/>
      <c r="L621" s="1223"/>
      <c r="M621" s="1223"/>
      <c r="N621" s="1223"/>
      <c r="O621" s="1223"/>
      <c r="P621" s="1223"/>
      <c r="Q621" s="1223"/>
      <c r="R621" s="1223"/>
      <c r="S621" s="1223"/>
      <c r="T621" s="1223"/>
      <c r="U621" s="1223"/>
    </row>
    <row r="622" spans="7:21" ht="15.6">
      <c r="G622" s="1224"/>
      <c r="H622" s="1223"/>
      <c r="I622" s="1223"/>
      <c r="J622" s="1223"/>
      <c r="K622" s="1223"/>
      <c r="L622" s="1223"/>
      <c r="M622" s="1223"/>
      <c r="N622" s="1223"/>
      <c r="O622" s="1223"/>
      <c r="P622" s="1223"/>
      <c r="Q622" s="1223"/>
      <c r="R622" s="1223"/>
      <c r="S622" s="1223"/>
      <c r="T622" s="1223"/>
      <c r="U622" s="1223"/>
    </row>
    <row r="623" spans="7:21" ht="15.6">
      <c r="G623" s="1224"/>
      <c r="H623" s="1223"/>
      <c r="I623" s="1223"/>
      <c r="J623" s="1223"/>
      <c r="K623" s="1223"/>
      <c r="L623" s="1223"/>
      <c r="M623" s="1223"/>
      <c r="N623" s="1223"/>
      <c r="O623" s="1223"/>
      <c r="P623" s="1223"/>
      <c r="Q623" s="1223"/>
      <c r="R623" s="1223"/>
      <c r="S623" s="1223"/>
      <c r="T623" s="1223"/>
      <c r="U623" s="1223"/>
    </row>
    <row r="624" spans="7:21" ht="15.6">
      <c r="G624" s="1224"/>
      <c r="H624" s="1223"/>
      <c r="I624" s="1223"/>
      <c r="J624" s="1223"/>
      <c r="K624" s="1223"/>
      <c r="L624" s="1223"/>
      <c r="M624" s="1223"/>
      <c r="N624" s="1223"/>
      <c r="O624" s="1223"/>
      <c r="P624" s="1223"/>
      <c r="Q624" s="1223"/>
      <c r="R624" s="1223"/>
      <c r="S624" s="1223"/>
      <c r="T624" s="1223"/>
      <c r="U624" s="1223"/>
    </row>
    <row r="625" spans="7:21" ht="15.6">
      <c r="G625" s="1224"/>
      <c r="H625" s="1223"/>
      <c r="I625" s="1223"/>
      <c r="J625" s="1223"/>
      <c r="K625" s="1223"/>
      <c r="L625" s="1223"/>
      <c r="M625" s="1223"/>
      <c r="N625" s="1223"/>
      <c r="O625" s="1223"/>
      <c r="P625" s="1223"/>
      <c r="Q625" s="1223"/>
      <c r="R625" s="1223"/>
      <c r="S625" s="1223"/>
      <c r="T625" s="1223"/>
      <c r="U625" s="1223"/>
    </row>
    <row r="626" spans="7:21" ht="15.6">
      <c r="G626" s="1224"/>
      <c r="H626" s="1223"/>
      <c r="I626" s="1223"/>
      <c r="J626" s="1223"/>
      <c r="K626" s="1223"/>
      <c r="L626" s="1223"/>
      <c r="M626" s="1223"/>
      <c r="N626" s="1223"/>
      <c r="O626" s="1223"/>
      <c r="P626" s="1223"/>
      <c r="Q626" s="1223"/>
      <c r="R626" s="1223"/>
      <c r="S626" s="1223"/>
      <c r="T626" s="1223"/>
      <c r="U626" s="1223"/>
    </row>
    <row r="627" spans="7:21" ht="15.6">
      <c r="G627" s="1224"/>
      <c r="H627" s="1223"/>
      <c r="I627" s="1223"/>
      <c r="J627" s="1223"/>
      <c r="K627" s="1223"/>
      <c r="L627" s="1223"/>
      <c r="M627" s="1223"/>
      <c r="N627" s="1223"/>
      <c r="O627" s="1223"/>
      <c r="P627" s="1223"/>
      <c r="Q627" s="1223"/>
      <c r="R627" s="1223"/>
      <c r="S627" s="1223"/>
      <c r="T627" s="1223"/>
      <c r="U627" s="1223"/>
    </row>
    <row r="628" spans="7:21" ht="15.6">
      <c r="G628" s="1224"/>
      <c r="H628" s="1223"/>
      <c r="I628" s="1223"/>
      <c r="J628" s="1223"/>
      <c r="K628" s="1223"/>
      <c r="L628" s="1223"/>
      <c r="M628" s="1223"/>
      <c r="N628" s="1223"/>
      <c r="O628" s="1223"/>
      <c r="P628" s="1223"/>
      <c r="Q628" s="1223"/>
      <c r="R628" s="1223"/>
      <c r="S628" s="1223"/>
      <c r="T628" s="1223"/>
      <c r="U628" s="1223"/>
    </row>
    <row r="629" spans="7:21" ht="15.6">
      <c r="G629" s="1224"/>
      <c r="H629" s="1223"/>
      <c r="I629" s="1223"/>
      <c r="J629" s="1223"/>
      <c r="K629" s="1223"/>
      <c r="L629" s="1223"/>
      <c r="M629" s="1223"/>
      <c r="N629" s="1223"/>
      <c r="O629" s="1223"/>
      <c r="P629" s="1223"/>
      <c r="Q629" s="1223"/>
      <c r="R629" s="1223"/>
      <c r="S629" s="1223"/>
      <c r="T629" s="1223"/>
      <c r="U629" s="1223"/>
    </row>
    <row r="630" spans="7:21" ht="15.6">
      <c r="G630" s="1224"/>
      <c r="H630" s="1223"/>
      <c r="I630" s="1223"/>
      <c r="J630" s="1223"/>
      <c r="K630" s="1223"/>
      <c r="L630" s="1223"/>
      <c r="M630" s="1223"/>
      <c r="N630" s="1223"/>
      <c r="O630" s="1223"/>
      <c r="P630" s="1223"/>
      <c r="Q630" s="1223"/>
      <c r="R630" s="1223"/>
      <c r="S630" s="1223"/>
      <c r="T630" s="1223"/>
      <c r="U630" s="1223"/>
    </row>
    <row r="631" spans="7:21" ht="15.6">
      <c r="G631" s="1224"/>
      <c r="H631" s="1223"/>
      <c r="I631" s="1223"/>
      <c r="J631" s="1223"/>
      <c r="K631" s="1223"/>
      <c r="L631" s="1223"/>
      <c r="M631" s="1223"/>
      <c r="N631" s="1223"/>
      <c r="O631" s="1223"/>
      <c r="P631" s="1223"/>
      <c r="Q631" s="1223"/>
      <c r="R631" s="1223"/>
      <c r="S631" s="1223"/>
      <c r="T631" s="1223"/>
      <c r="U631" s="1223"/>
    </row>
    <row r="632" spans="7:21" ht="15.6">
      <c r="G632" s="1224"/>
      <c r="H632" s="1223"/>
      <c r="I632" s="1223"/>
      <c r="J632" s="1223"/>
      <c r="K632" s="1223"/>
      <c r="L632" s="1223"/>
      <c r="M632" s="1223"/>
      <c r="N632" s="1223"/>
      <c r="O632" s="1223"/>
      <c r="P632" s="1223"/>
      <c r="Q632" s="1223"/>
      <c r="R632" s="1223"/>
      <c r="S632" s="1223"/>
      <c r="T632" s="1223"/>
      <c r="U632" s="1223"/>
    </row>
    <row r="633" spans="7:21" ht="15.6">
      <c r="G633" s="1224"/>
      <c r="H633" s="1223"/>
      <c r="I633" s="1223"/>
      <c r="J633" s="1223"/>
      <c r="K633" s="1223"/>
      <c r="L633" s="1223"/>
      <c r="M633" s="1223"/>
      <c r="N633" s="1223"/>
      <c r="O633" s="1223"/>
      <c r="P633" s="1223"/>
      <c r="Q633" s="1223"/>
      <c r="R633" s="1223"/>
      <c r="S633" s="1223"/>
      <c r="T633" s="1223"/>
      <c r="U633" s="1223"/>
    </row>
    <row r="634" spans="7:21" ht="15.6">
      <c r="G634" s="1224"/>
      <c r="H634" s="1223"/>
      <c r="I634" s="1223"/>
      <c r="J634" s="1223"/>
      <c r="K634" s="1223"/>
      <c r="L634" s="1223"/>
      <c r="M634" s="1223"/>
      <c r="N634" s="1223"/>
      <c r="O634" s="1223"/>
      <c r="P634" s="1223"/>
      <c r="Q634" s="1223"/>
      <c r="R634" s="1223"/>
      <c r="S634" s="1223"/>
      <c r="T634" s="1223"/>
      <c r="U634" s="1223"/>
    </row>
    <row r="635" spans="7:21" ht="15.6">
      <c r="G635" s="1224"/>
      <c r="H635" s="1223"/>
      <c r="I635" s="1223"/>
      <c r="J635" s="1223"/>
      <c r="K635" s="1223"/>
      <c r="L635" s="1223"/>
      <c r="M635" s="1223"/>
      <c r="N635" s="1223"/>
      <c r="O635" s="1223"/>
      <c r="P635" s="1223"/>
      <c r="Q635" s="1223"/>
      <c r="R635" s="1223"/>
      <c r="S635" s="1223"/>
      <c r="T635" s="1223"/>
      <c r="U635" s="1223"/>
    </row>
    <row r="636" spans="7:21" ht="15.6">
      <c r="G636" s="1224"/>
      <c r="H636" s="1223"/>
      <c r="I636" s="1223"/>
      <c r="J636" s="1223"/>
      <c r="K636" s="1223"/>
      <c r="L636" s="1223"/>
      <c r="M636" s="1223"/>
      <c r="N636" s="1223"/>
      <c r="O636" s="1223"/>
      <c r="P636" s="1223"/>
      <c r="Q636" s="1223"/>
      <c r="R636" s="1223"/>
      <c r="S636" s="1223"/>
      <c r="T636" s="1223"/>
      <c r="U636" s="1223"/>
    </row>
    <row r="637" spans="7:21" ht="15.6">
      <c r="G637" s="1224"/>
      <c r="H637" s="1223"/>
      <c r="I637" s="1223"/>
      <c r="J637" s="1223"/>
      <c r="K637" s="1223"/>
      <c r="L637" s="1223"/>
      <c r="M637" s="1223"/>
      <c r="N637" s="1223"/>
      <c r="O637" s="1223"/>
      <c r="P637" s="1223"/>
      <c r="Q637" s="1223"/>
      <c r="R637" s="1223"/>
      <c r="S637" s="1223"/>
      <c r="T637" s="1223"/>
      <c r="U637" s="1223"/>
    </row>
    <row r="638" spans="7:21" ht="15.6">
      <c r="G638" s="1224"/>
      <c r="H638" s="1223"/>
      <c r="I638" s="1223"/>
      <c r="J638" s="1223"/>
      <c r="K638" s="1223"/>
      <c r="L638" s="1223"/>
      <c r="M638" s="1223"/>
      <c r="N638" s="1223"/>
      <c r="O638" s="1223"/>
      <c r="P638" s="1223"/>
      <c r="Q638" s="1223"/>
      <c r="R638" s="1223"/>
      <c r="S638" s="1223"/>
      <c r="T638" s="1223"/>
      <c r="U638" s="1223"/>
    </row>
    <row r="639" spans="7:21" ht="15.6">
      <c r="G639" s="1224"/>
      <c r="H639" s="1223"/>
      <c r="I639" s="1223"/>
      <c r="J639" s="1223"/>
      <c r="K639" s="1223"/>
      <c r="L639" s="1223"/>
      <c r="M639" s="1223"/>
      <c r="N639" s="1223"/>
      <c r="O639" s="1223"/>
      <c r="P639" s="1223"/>
      <c r="Q639" s="1223"/>
      <c r="R639" s="1223"/>
      <c r="S639" s="1223"/>
      <c r="T639" s="1223"/>
      <c r="U639" s="1223"/>
    </row>
    <row r="640" spans="7:21" ht="15.6">
      <c r="G640" s="1224"/>
      <c r="H640" s="1223"/>
      <c r="I640" s="1223"/>
      <c r="J640" s="1223"/>
      <c r="K640" s="1223"/>
      <c r="L640" s="1223"/>
      <c r="M640" s="1223"/>
      <c r="N640" s="1223"/>
      <c r="O640" s="1223"/>
      <c r="P640" s="1223"/>
      <c r="Q640" s="1223"/>
      <c r="R640" s="1223"/>
      <c r="S640" s="1223"/>
      <c r="T640" s="1223"/>
      <c r="U640" s="1223"/>
    </row>
    <row r="641" spans="7:21" ht="15.6">
      <c r="G641" s="1224"/>
      <c r="H641" s="1223"/>
      <c r="I641" s="1223"/>
      <c r="J641" s="1223"/>
      <c r="K641" s="1223"/>
      <c r="L641" s="1223"/>
      <c r="M641" s="1223"/>
      <c r="N641" s="1223"/>
      <c r="O641" s="1223"/>
      <c r="P641" s="1223"/>
      <c r="Q641" s="1223"/>
      <c r="R641" s="1223"/>
      <c r="S641" s="1223"/>
      <c r="T641" s="1223"/>
      <c r="U641" s="1223"/>
    </row>
    <row r="642" spans="7:21" ht="15.6">
      <c r="G642" s="1224"/>
      <c r="H642" s="1223"/>
      <c r="I642" s="1223"/>
      <c r="J642" s="1223"/>
      <c r="K642" s="1223"/>
      <c r="L642" s="1223"/>
      <c r="M642" s="1223"/>
      <c r="N642" s="1223"/>
      <c r="O642" s="1223"/>
      <c r="P642" s="1223"/>
      <c r="Q642" s="1223"/>
      <c r="R642" s="1223"/>
      <c r="S642" s="1223"/>
      <c r="T642" s="1223"/>
      <c r="U642" s="1223"/>
    </row>
    <row r="643" spans="7:21" ht="15.6">
      <c r="G643" s="1224"/>
      <c r="H643" s="1223"/>
      <c r="I643" s="1223"/>
      <c r="J643" s="1223"/>
      <c r="K643" s="1223"/>
      <c r="L643" s="1223"/>
      <c r="M643" s="1223"/>
      <c r="N643" s="1223"/>
      <c r="O643" s="1223"/>
      <c r="P643" s="1223"/>
      <c r="Q643" s="1223"/>
      <c r="R643" s="1223"/>
      <c r="S643" s="1223"/>
      <c r="T643" s="1223"/>
      <c r="U643" s="1223"/>
    </row>
    <row r="644" spans="7:21" ht="15.6">
      <c r="G644" s="1224"/>
      <c r="H644" s="1223"/>
      <c r="I644" s="1223"/>
      <c r="J644" s="1223"/>
      <c r="K644" s="1223"/>
      <c r="L644" s="1223"/>
      <c r="M644" s="1223"/>
      <c r="N644" s="1223"/>
      <c r="O644" s="1223"/>
      <c r="P644" s="1223"/>
      <c r="Q644" s="1223"/>
      <c r="R644" s="1223"/>
      <c r="S644" s="1223"/>
      <c r="T644" s="1223"/>
      <c r="U644" s="1223"/>
    </row>
    <row r="645" spans="7:21" ht="15.6">
      <c r="G645" s="1224"/>
      <c r="H645" s="1223"/>
      <c r="I645" s="1223"/>
      <c r="J645" s="1223"/>
      <c r="K645" s="1223"/>
      <c r="L645" s="1223"/>
      <c r="M645" s="1223"/>
      <c r="N645" s="1223"/>
      <c r="O645" s="1223"/>
      <c r="P645" s="1223"/>
      <c r="Q645" s="1223"/>
      <c r="R645" s="1223"/>
      <c r="S645" s="1223"/>
      <c r="T645" s="1223"/>
      <c r="U645" s="1223"/>
    </row>
    <row r="646" spans="7:21" ht="15.6">
      <c r="G646" s="1224"/>
      <c r="H646" s="1223"/>
      <c r="I646" s="1223"/>
      <c r="J646" s="1223"/>
      <c r="K646" s="1223"/>
      <c r="L646" s="1223"/>
      <c r="M646" s="1223"/>
      <c r="N646" s="1223"/>
      <c r="O646" s="1223"/>
      <c r="P646" s="1223"/>
      <c r="Q646" s="1223"/>
      <c r="R646" s="1223"/>
      <c r="S646" s="1223"/>
      <c r="T646" s="1223"/>
      <c r="U646" s="1223"/>
    </row>
    <row r="647" spans="7:21" ht="15.6">
      <c r="G647" s="1224"/>
      <c r="H647" s="1223"/>
      <c r="I647" s="1223"/>
      <c r="J647" s="1223"/>
      <c r="K647" s="1223"/>
      <c r="L647" s="1223"/>
      <c r="M647" s="1223"/>
      <c r="N647" s="1223"/>
      <c r="O647" s="1223"/>
      <c r="P647" s="1223"/>
      <c r="Q647" s="1223"/>
      <c r="R647" s="1223"/>
      <c r="S647" s="1223"/>
      <c r="T647" s="1223"/>
      <c r="U647" s="1223"/>
    </row>
    <row r="648" spans="7:21" ht="15.6">
      <c r="G648" s="1224"/>
      <c r="H648" s="1223"/>
      <c r="I648" s="1223"/>
      <c r="J648" s="1223"/>
      <c r="K648" s="1223"/>
      <c r="L648" s="1223"/>
      <c r="M648" s="1223"/>
      <c r="N648" s="1223"/>
      <c r="O648" s="1223"/>
      <c r="P648" s="1223"/>
      <c r="Q648" s="1223"/>
      <c r="R648" s="1223"/>
      <c r="S648" s="1223"/>
      <c r="T648" s="1223"/>
      <c r="U648" s="1223"/>
    </row>
    <row r="649" spans="7:21" ht="15.6">
      <c r="G649" s="1224"/>
      <c r="H649" s="1223"/>
      <c r="I649" s="1223"/>
      <c r="J649" s="1223"/>
      <c r="K649" s="1223"/>
      <c r="L649" s="1223"/>
      <c r="M649" s="1223"/>
      <c r="N649" s="1223"/>
      <c r="O649" s="1223"/>
      <c r="P649" s="1223"/>
      <c r="Q649" s="1223"/>
      <c r="R649" s="1223"/>
      <c r="S649" s="1223"/>
      <c r="T649" s="1223"/>
      <c r="U649" s="1223"/>
    </row>
    <row r="650" spans="7:21" ht="15.6">
      <c r="G650" s="1224"/>
      <c r="H650" s="1223"/>
      <c r="I650" s="1223"/>
      <c r="J650" s="1223"/>
      <c r="K650" s="1223"/>
      <c r="L650" s="1223"/>
      <c r="M650" s="1223"/>
      <c r="N650" s="1223"/>
      <c r="O650" s="1223"/>
      <c r="P650" s="1223"/>
      <c r="Q650" s="1223"/>
      <c r="R650" s="1223"/>
      <c r="S650" s="1223"/>
      <c r="T650" s="1223"/>
      <c r="U650" s="1223"/>
    </row>
    <row r="651" spans="7:21" ht="15.6">
      <c r="G651" s="1224"/>
      <c r="H651" s="1223"/>
      <c r="I651" s="1223"/>
      <c r="J651" s="1223"/>
      <c r="K651" s="1223"/>
      <c r="L651" s="1223"/>
      <c r="M651" s="1223"/>
      <c r="N651" s="1223"/>
      <c r="O651" s="1223"/>
      <c r="P651" s="1223"/>
      <c r="Q651" s="1223"/>
      <c r="R651" s="1223"/>
      <c r="S651" s="1223"/>
      <c r="T651" s="1223"/>
      <c r="U651" s="1223"/>
    </row>
    <row r="652" spans="7:21" ht="15.6">
      <c r="G652" s="1224"/>
      <c r="H652" s="1223"/>
      <c r="I652" s="1223"/>
      <c r="J652" s="1223"/>
      <c r="K652" s="1223"/>
      <c r="L652" s="1223"/>
      <c r="M652" s="1223"/>
      <c r="N652" s="1223"/>
      <c r="O652" s="1223"/>
      <c r="P652" s="1223"/>
      <c r="Q652" s="1223"/>
      <c r="R652" s="1223"/>
      <c r="S652" s="1223"/>
      <c r="T652" s="1223"/>
      <c r="U652" s="1223"/>
    </row>
    <row r="653" spans="7:21" ht="15.6">
      <c r="G653" s="1224"/>
      <c r="H653" s="1223"/>
      <c r="I653" s="1223"/>
      <c r="J653" s="1223"/>
      <c r="K653" s="1223"/>
      <c r="L653" s="1223"/>
      <c r="M653" s="1223"/>
      <c r="N653" s="1223"/>
      <c r="O653" s="1223"/>
      <c r="P653" s="1223"/>
      <c r="Q653" s="1223"/>
      <c r="R653" s="1223"/>
      <c r="S653" s="1223"/>
      <c r="T653" s="1223"/>
      <c r="U653" s="1223"/>
    </row>
    <row r="654" spans="7:21" ht="15.6">
      <c r="G654" s="1224"/>
      <c r="H654" s="1223"/>
      <c r="I654" s="1223"/>
      <c r="J654" s="1223"/>
      <c r="K654" s="1223"/>
      <c r="L654" s="1223"/>
      <c r="M654" s="1223"/>
      <c r="N654" s="1223"/>
      <c r="O654" s="1223"/>
      <c r="P654" s="1223"/>
      <c r="Q654" s="1223"/>
      <c r="R654" s="1223"/>
      <c r="S654" s="1223"/>
      <c r="T654" s="1223"/>
      <c r="U654" s="1223"/>
    </row>
    <row r="655" spans="7:21" ht="15.6">
      <c r="G655" s="1224"/>
      <c r="H655" s="1223"/>
      <c r="I655" s="1223"/>
      <c r="J655" s="1223"/>
      <c r="K655" s="1223"/>
      <c r="L655" s="1223"/>
      <c r="M655" s="1223"/>
      <c r="N655" s="1223"/>
      <c r="O655" s="1223"/>
      <c r="P655" s="1223"/>
      <c r="Q655" s="1223"/>
      <c r="R655" s="1223"/>
      <c r="S655" s="1223"/>
      <c r="T655" s="1223"/>
      <c r="U655" s="1223"/>
    </row>
    <row r="656" spans="7:21" ht="15.6">
      <c r="G656" s="1224"/>
      <c r="H656" s="1223"/>
      <c r="I656" s="1223"/>
      <c r="J656" s="1223"/>
      <c r="K656" s="1223"/>
      <c r="L656" s="1223"/>
      <c r="M656" s="1223"/>
      <c r="N656" s="1223"/>
      <c r="O656" s="1223"/>
      <c r="P656" s="1223"/>
      <c r="Q656" s="1223"/>
      <c r="R656" s="1223"/>
      <c r="S656" s="1223"/>
      <c r="T656" s="1223"/>
      <c r="U656" s="1223"/>
    </row>
    <row r="657" spans="7:21" ht="15.6">
      <c r="G657" s="1224"/>
      <c r="H657" s="1223"/>
      <c r="I657" s="1223"/>
      <c r="J657" s="1223"/>
      <c r="K657" s="1223"/>
      <c r="L657" s="1223"/>
      <c r="M657" s="1223"/>
      <c r="N657" s="1223"/>
      <c r="O657" s="1223"/>
      <c r="P657" s="1223"/>
      <c r="Q657" s="1223"/>
      <c r="R657" s="1223"/>
      <c r="S657" s="1223"/>
      <c r="T657" s="1223"/>
      <c r="U657" s="1223"/>
    </row>
    <row r="658" spans="7:21" ht="15.6">
      <c r="G658" s="1224"/>
      <c r="H658" s="1223"/>
      <c r="I658" s="1223"/>
      <c r="J658" s="1223"/>
      <c r="K658" s="1223"/>
      <c r="L658" s="1223"/>
      <c r="M658" s="1223"/>
      <c r="N658" s="1223"/>
      <c r="O658" s="1223"/>
      <c r="P658" s="1223"/>
      <c r="Q658" s="1223"/>
      <c r="R658" s="1223"/>
      <c r="S658" s="1223"/>
      <c r="T658" s="1223"/>
      <c r="U658" s="1223"/>
    </row>
    <row r="659" spans="7:21" ht="15.6">
      <c r="G659" s="1224"/>
      <c r="H659" s="1223"/>
      <c r="I659" s="1223"/>
      <c r="J659" s="1223"/>
      <c r="K659" s="1223"/>
      <c r="L659" s="1223"/>
      <c r="M659" s="1223"/>
      <c r="N659" s="1223"/>
      <c r="O659" s="1223"/>
      <c r="P659" s="1223"/>
      <c r="Q659" s="1223"/>
      <c r="R659" s="1223"/>
      <c r="S659" s="1223"/>
      <c r="T659" s="1223"/>
      <c r="U659" s="1223"/>
    </row>
    <row r="660" spans="7:21" ht="15.6">
      <c r="G660" s="1224"/>
      <c r="H660" s="1223"/>
      <c r="I660" s="1223"/>
      <c r="J660" s="1223"/>
      <c r="K660" s="1223"/>
      <c r="L660" s="1223"/>
      <c r="M660" s="1223"/>
      <c r="N660" s="1223"/>
      <c r="O660" s="1223"/>
      <c r="P660" s="1223"/>
      <c r="Q660" s="1223"/>
      <c r="R660" s="1223"/>
      <c r="S660" s="1223"/>
      <c r="T660" s="1223"/>
      <c r="U660" s="1223"/>
    </row>
    <row r="661" spans="7:21" ht="15.6">
      <c r="G661" s="1224"/>
      <c r="H661" s="1223"/>
      <c r="I661" s="1223"/>
      <c r="J661" s="1223"/>
      <c r="K661" s="1223"/>
      <c r="L661" s="1223"/>
      <c r="M661" s="1223"/>
      <c r="N661" s="1223"/>
      <c r="O661" s="1223"/>
      <c r="P661" s="1223"/>
      <c r="Q661" s="1223"/>
      <c r="R661" s="1223"/>
      <c r="S661" s="1223"/>
      <c r="T661" s="1223"/>
      <c r="U661" s="1223"/>
    </row>
    <row r="662" spans="7:21" ht="15.6">
      <c r="G662" s="1224"/>
      <c r="H662" s="1223"/>
      <c r="I662" s="1223"/>
      <c r="J662" s="1223"/>
      <c r="K662" s="1223"/>
      <c r="L662" s="1223"/>
      <c r="M662" s="1223"/>
      <c r="N662" s="1223"/>
      <c r="O662" s="1223"/>
      <c r="P662" s="1223"/>
      <c r="Q662" s="1223"/>
      <c r="R662" s="1223"/>
      <c r="S662" s="1223"/>
      <c r="T662" s="1223"/>
      <c r="U662" s="1223"/>
    </row>
    <row r="663" spans="7:21" ht="15.6">
      <c r="G663" s="1224"/>
      <c r="H663" s="1223"/>
      <c r="I663" s="1223"/>
      <c r="J663" s="1223"/>
      <c r="K663" s="1223"/>
      <c r="L663" s="1223"/>
      <c r="M663" s="1223"/>
      <c r="N663" s="1223"/>
      <c r="O663" s="1223"/>
      <c r="P663" s="1223"/>
      <c r="Q663" s="1223"/>
      <c r="R663" s="1223"/>
      <c r="S663" s="1223"/>
      <c r="T663" s="1223"/>
      <c r="U663" s="1223"/>
    </row>
    <row r="664" spans="7:21" ht="15.6">
      <c r="G664" s="1224"/>
      <c r="H664" s="1223"/>
      <c r="I664" s="1223"/>
      <c r="J664" s="1223"/>
      <c r="K664" s="1223"/>
      <c r="L664" s="1223"/>
      <c r="M664" s="1223"/>
      <c r="N664" s="1223"/>
      <c r="O664" s="1223"/>
      <c r="P664" s="1223"/>
      <c r="Q664" s="1223"/>
      <c r="R664" s="1223"/>
      <c r="S664" s="1223"/>
      <c r="T664" s="1223"/>
      <c r="U664" s="1223"/>
    </row>
    <row r="665" spans="7:21" ht="15.6">
      <c r="G665" s="1224"/>
      <c r="H665" s="1223"/>
      <c r="I665" s="1223"/>
      <c r="J665" s="1223"/>
      <c r="K665" s="1223"/>
      <c r="L665" s="1223"/>
      <c r="M665" s="1223"/>
      <c r="N665" s="1223"/>
      <c r="O665" s="1223"/>
      <c r="P665" s="1223"/>
      <c r="Q665" s="1223"/>
      <c r="R665" s="1223"/>
      <c r="S665" s="1223"/>
      <c r="T665" s="1223"/>
      <c r="U665" s="1223"/>
    </row>
    <row r="666" spans="7:21" ht="15.6">
      <c r="G666" s="1224"/>
      <c r="H666" s="1223"/>
      <c r="I666" s="1223"/>
      <c r="J666" s="1223"/>
      <c r="K666" s="1223"/>
      <c r="L666" s="1223"/>
      <c r="M666" s="1223"/>
      <c r="N666" s="1223"/>
      <c r="O666" s="1223"/>
      <c r="P666" s="1223"/>
      <c r="Q666" s="1223"/>
      <c r="R666" s="1223"/>
      <c r="S666" s="1223"/>
      <c r="T666" s="1223"/>
      <c r="U666" s="1223"/>
    </row>
    <row r="667" spans="7:21" ht="15.6">
      <c r="G667" s="1224"/>
      <c r="H667" s="1223"/>
      <c r="I667" s="1223"/>
      <c r="J667" s="1223"/>
      <c r="K667" s="1223"/>
      <c r="L667" s="1223"/>
      <c r="M667" s="1223"/>
      <c r="N667" s="1223"/>
      <c r="O667" s="1223"/>
      <c r="P667" s="1223"/>
      <c r="Q667" s="1223"/>
      <c r="R667" s="1223"/>
      <c r="S667" s="1223"/>
      <c r="T667" s="1223"/>
      <c r="U667" s="1223"/>
    </row>
    <row r="668" spans="7:21" ht="15.6">
      <c r="G668" s="1224"/>
      <c r="H668" s="1223"/>
      <c r="I668" s="1223"/>
      <c r="J668" s="1223"/>
      <c r="K668" s="1223"/>
      <c r="L668" s="1223"/>
      <c r="M668" s="1223"/>
      <c r="N668" s="1223"/>
      <c r="O668" s="1223"/>
      <c r="P668" s="1223"/>
      <c r="Q668" s="1223"/>
      <c r="R668" s="1223"/>
      <c r="S668" s="1223"/>
      <c r="T668" s="1223"/>
      <c r="U668" s="1223"/>
    </row>
    <row r="669" spans="7:21" ht="15.6">
      <c r="G669" s="1224"/>
      <c r="H669" s="1223"/>
      <c r="I669" s="1223"/>
      <c r="J669" s="1223"/>
      <c r="K669" s="1223"/>
      <c r="L669" s="1223"/>
      <c r="M669" s="1223"/>
      <c r="N669" s="1223"/>
      <c r="O669" s="1223"/>
      <c r="P669" s="1223"/>
      <c r="Q669" s="1223"/>
      <c r="R669" s="1223"/>
      <c r="S669" s="1223"/>
      <c r="T669" s="1223"/>
      <c r="U669" s="1223"/>
    </row>
    <row r="670" spans="7:21" ht="15.6">
      <c r="G670" s="1224"/>
      <c r="H670" s="1223"/>
      <c r="I670" s="1223"/>
      <c r="J670" s="1223"/>
      <c r="K670" s="1223"/>
      <c r="L670" s="1223"/>
      <c r="M670" s="1223"/>
      <c r="N670" s="1223"/>
      <c r="O670" s="1223"/>
      <c r="P670" s="1223"/>
      <c r="Q670" s="1223"/>
      <c r="R670" s="1223"/>
      <c r="S670" s="1223"/>
      <c r="T670" s="1223"/>
      <c r="U670" s="1223"/>
    </row>
    <row r="671" spans="7:21" ht="15.6">
      <c r="G671" s="1224"/>
      <c r="H671" s="1223"/>
      <c r="I671" s="1223"/>
      <c r="J671" s="1223"/>
      <c r="K671" s="1223"/>
      <c r="L671" s="1223"/>
      <c r="M671" s="1223"/>
      <c r="N671" s="1223"/>
      <c r="O671" s="1223"/>
      <c r="P671" s="1223"/>
      <c r="Q671" s="1223"/>
      <c r="R671" s="1223"/>
      <c r="S671" s="1223"/>
      <c r="T671" s="1223"/>
      <c r="U671" s="1223"/>
    </row>
    <row r="672" spans="7:21" ht="15.6">
      <c r="G672" s="1224"/>
      <c r="H672" s="1223"/>
      <c r="I672" s="1223"/>
      <c r="J672" s="1223"/>
      <c r="K672" s="1223"/>
      <c r="L672" s="1223"/>
      <c r="M672" s="1223"/>
      <c r="N672" s="1223"/>
      <c r="O672" s="1223"/>
      <c r="P672" s="1223"/>
      <c r="Q672" s="1223"/>
      <c r="R672" s="1223"/>
      <c r="S672" s="1223"/>
      <c r="T672" s="1223"/>
      <c r="U672" s="1223"/>
    </row>
    <row r="673" spans="7:21" ht="15.6">
      <c r="G673" s="1224"/>
      <c r="H673" s="1223"/>
      <c r="I673" s="1223"/>
      <c r="J673" s="1223"/>
      <c r="K673" s="1223"/>
      <c r="L673" s="1223"/>
      <c r="M673" s="1223"/>
      <c r="N673" s="1223"/>
      <c r="O673" s="1223"/>
      <c r="P673" s="1223"/>
      <c r="Q673" s="1223"/>
      <c r="R673" s="1223"/>
      <c r="S673" s="1223"/>
      <c r="T673" s="1223"/>
      <c r="U673" s="1223"/>
    </row>
    <row r="674" spans="7:21" ht="15.6">
      <c r="G674" s="1224"/>
      <c r="H674" s="1223"/>
      <c r="I674" s="1223"/>
      <c r="J674" s="1223"/>
      <c r="K674" s="1223"/>
      <c r="L674" s="1223"/>
      <c r="M674" s="1223"/>
      <c r="N674" s="1223"/>
      <c r="O674" s="1223"/>
      <c r="P674" s="1223"/>
      <c r="Q674" s="1223"/>
      <c r="R674" s="1223"/>
      <c r="S674" s="1223"/>
      <c r="T674" s="1223"/>
      <c r="U674" s="1223"/>
    </row>
    <row r="675" spans="7:21" ht="15.6">
      <c r="G675" s="1224"/>
      <c r="H675" s="1223"/>
      <c r="I675" s="1223"/>
      <c r="J675" s="1223"/>
      <c r="K675" s="1223"/>
      <c r="L675" s="1223"/>
      <c r="M675" s="1223"/>
      <c r="N675" s="1223"/>
      <c r="O675" s="1223"/>
      <c r="P675" s="1223"/>
      <c r="Q675" s="1223"/>
      <c r="R675" s="1223"/>
      <c r="S675" s="1223"/>
      <c r="T675" s="1223"/>
      <c r="U675" s="1223"/>
    </row>
    <row r="676" spans="7:21" ht="15.6">
      <c r="G676" s="1224"/>
      <c r="H676" s="1223"/>
      <c r="I676" s="1223"/>
      <c r="J676" s="1223"/>
      <c r="K676" s="1223"/>
      <c r="L676" s="1223"/>
      <c r="M676" s="1223"/>
      <c r="N676" s="1223"/>
      <c r="O676" s="1223"/>
      <c r="P676" s="1223"/>
      <c r="Q676" s="1223"/>
      <c r="R676" s="1223"/>
      <c r="S676" s="1223"/>
      <c r="T676" s="1223"/>
      <c r="U676" s="1223"/>
    </row>
    <row r="677" spans="7:21" ht="15.6">
      <c r="G677" s="1224"/>
      <c r="H677" s="1223"/>
      <c r="I677" s="1223"/>
      <c r="J677" s="1223"/>
      <c r="K677" s="1223"/>
      <c r="L677" s="1223"/>
      <c r="M677" s="1223"/>
      <c r="N677" s="1223"/>
      <c r="O677" s="1223"/>
      <c r="P677" s="1223"/>
      <c r="Q677" s="1223"/>
      <c r="R677" s="1223"/>
      <c r="S677" s="1223"/>
      <c r="T677" s="1223"/>
      <c r="U677" s="1223"/>
    </row>
    <row r="678" spans="7:21" ht="15.6">
      <c r="G678" s="1224"/>
      <c r="H678" s="1223"/>
      <c r="I678" s="1223"/>
      <c r="J678" s="1223"/>
      <c r="K678" s="1223"/>
      <c r="L678" s="1223"/>
      <c r="M678" s="1223"/>
      <c r="N678" s="1223"/>
      <c r="O678" s="1223"/>
      <c r="P678" s="1223"/>
      <c r="Q678" s="1223"/>
      <c r="R678" s="1223"/>
      <c r="S678" s="1223"/>
      <c r="T678" s="1223"/>
      <c r="U678" s="1223"/>
    </row>
    <row r="679" spans="7:21" ht="15.6">
      <c r="G679" s="1224"/>
      <c r="H679" s="1223"/>
      <c r="I679" s="1223"/>
      <c r="J679" s="1223"/>
      <c r="K679" s="1223"/>
      <c r="L679" s="1223"/>
      <c r="M679" s="1223"/>
      <c r="N679" s="1223"/>
      <c r="O679" s="1223"/>
      <c r="P679" s="1223"/>
      <c r="Q679" s="1223"/>
      <c r="R679" s="1223"/>
      <c r="S679" s="1223"/>
      <c r="T679" s="1223"/>
      <c r="U679" s="1223"/>
    </row>
    <row r="680" spans="7:21" ht="15.6">
      <c r="G680" s="1224"/>
      <c r="H680" s="1223"/>
      <c r="I680" s="1223"/>
      <c r="J680" s="1223"/>
      <c r="K680" s="1223"/>
      <c r="L680" s="1223"/>
      <c r="M680" s="1223"/>
      <c r="N680" s="1223"/>
      <c r="O680" s="1223"/>
      <c r="P680" s="1223"/>
      <c r="Q680" s="1223"/>
      <c r="R680" s="1223"/>
      <c r="S680" s="1223"/>
      <c r="T680" s="1223"/>
      <c r="U680" s="1223"/>
    </row>
    <row r="681" spans="7:21" ht="15.6">
      <c r="G681" s="1224"/>
      <c r="H681" s="1223"/>
      <c r="I681" s="1223"/>
      <c r="J681" s="1223"/>
      <c r="K681" s="1223"/>
      <c r="L681" s="1223"/>
      <c r="M681" s="1223"/>
      <c r="N681" s="1223"/>
      <c r="O681" s="1223"/>
      <c r="P681" s="1223"/>
      <c r="Q681" s="1223"/>
      <c r="R681" s="1223"/>
      <c r="S681" s="1223"/>
      <c r="T681" s="1223"/>
      <c r="U681" s="1223"/>
    </row>
    <row r="682" spans="7:21" ht="15.6">
      <c r="G682" s="1224"/>
      <c r="H682" s="1223"/>
      <c r="I682" s="1223"/>
      <c r="J682" s="1223"/>
      <c r="K682" s="1223"/>
      <c r="L682" s="1223"/>
      <c r="M682" s="1223"/>
      <c r="N682" s="1223"/>
      <c r="O682" s="1223"/>
      <c r="P682" s="1223"/>
      <c r="Q682" s="1223"/>
      <c r="R682" s="1223"/>
      <c r="S682" s="1223"/>
      <c r="T682" s="1223"/>
      <c r="U682" s="1223"/>
    </row>
    <row r="683" spans="7:21" ht="15.6">
      <c r="G683" s="1224"/>
      <c r="H683" s="1223"/>
      <c r="I683" s="1223"/>
      <c r="J683" s="1223"/>
      <c r="K683" s="1223"/>
      <c r="L683" s="1223"/>
      <c r="M683" s="1223"/>
      <c r="N683" s="1223"/>
      <c r="O683" s="1223"/>
      <c r="P683" s="1223"/>
      <c r="Q683" s="1223"/>
      <c r="R683" s="1223"/>
      <c r="S683" s="1223"/>
      <c r="T683" s="1223"/>
      <c r="U683" s="1223"/>
    </row>
    <row r="684" spans="7:21" ht="15.6">
      <c r="G684" s="1224"/>
      <c r="H684" s="1223"/>
      <c r="I684" s="1223"/>
      <c r="J684" s="1223"/>
      <c r="K684" s="1223"/>
      <c r="L684" s="1223"/>
      <c r="M684" s="1223"/>
      <c r="N684" s="1223"/>
      <c r="O684" s="1223"/>
      <c r="P684" s="1223"/>
      <c r="Q684" s="1223"/>
      <c r="R684" s="1223"/>
      <c r="S684" s="1223"/>
      <c r="T684" s="1223"/>
      <c r="U684" s="1223"/>
    </row>
    <row r="685" spans="7:21" ht="15.6">
      <c r="G685" s="1224"/>
      <c r="H685" s="1223"/>
      <c r="I685" s="1223"/>
      <c r="J685" s="1223"/>
      <c r="K685" s="1223"/>
      <c r="L685" s="1223"/>
      <c r="M685" s="1223"/>
      <c r="N685" s="1223"/>
      <c r="O685" s="1223"/>
      <c r="P685" s="1223"/>
      <c r="Q685" s="1223"/>
      <c r="R685" s="1223"/>
      <c r="S685" s="1223"/>
      <c r="T685" s="1223"/>
      <c r="U685" s="1223"/>
    </row>
    <row r="686" spans="7:21" ht="15.6">
      <c r="G686" s="1224"/>
      <c r="H686" s="1223"/>
      <c r="I686" s="1223"/>
      <c r="J686" s="1223"/>
      <c r="K686" s="1223"/>
      <c r="L686" s="1223"/>
      <c r="M686" s="1223"/>
      <c r="N686" s="1223"/>
      <c r="O686" s="1223"/>
      <c r="P686" s="1223"/>
      <c r="Q686" s="1223"/>
      <c r="R686" s="1223"/>
      <c r="S686" s="1223"/>
      <c r="T686" s="1223"/>
      <c r="U686" s="1223"/>
    </row>
    <row r="687" spans="7:21" ht="15.6">
      <c r="G687" s="1224"/>
      <c r="H687" s="1223"/>
      <c r="I687" s="1223"/>
      <c r="J687" s="1223"/>
      <c r="K687" s="1223"/>
      <c r="L687" s="1223"/>
      <c r="M687" s="1223"/>
      <c r="N687" s="1223"/>
      <c r="O687" s="1223"/>
      <c r="P687" s="1223"/>
      <c r="Q687" s="1223"/>
      <c r="R687" s="1223"/>
      <c r="S687" s="1223"/>
      <c r="T687" s="1223"/>
      <c r="U687" s="1223"/>
    </row>
    <row r="688" spans="7:21" ht="15.6">
      <c r="G688" s="1224"/>
      <c r="H688" s="1223"/>
      <c r="I688" s="1223"/>
      <c r="J688" s="1223"/>
      <c r="K688" s="1223"/>
      <c r="L688" s="1223"/>
      <c r="M688" s="1223"/>
      <c r="N688" s="1223"/>
      <c r="O688" s="1223"/>
      <c r="P688" s="1223"/>
      <c r="Q688" s="1223"/>
      <c r="R688" s="1223"/>
      <c r="S688" s="1223"/>
      <c r="T688" s="1223"/>
      <c r="U688" s="1223"/>
    </row>
    <row r="689" spans="7:21" ht="15.6">
      <c r="G689" s="1224"/>
      <c r="H689" s="1223"/>
      <c r="I689" s="1223"/>
      <c r="J689" s="1223"/>
      <c r="K689" s="1223"/>
      <c r="L689" s="1223"/>
      <c r="M689" s="1223"/>
      <c r="N689" s="1223"/>
      <c r="O689" s="1223"/>
      <c r="P689" s="1223"/>
      <c r="Q689" s="1223"/>
      <c r="R689" s="1223"/>
      <c r="S689" s="1223"/>
      <c r="T689" s="1223"/>
      <c r="U689" s="1223"/>
    </row>
    <row r="690" spans="7:21" ht="15.6">
      <c r="G690" s="1224"/>
      <c r="H690" s="1223"/>
      <c r="I690" s="1223"/>
      <c r="J690" s="1223"/>
      <c r="K690" s="1223"/>
      <c r="L690" s="1223"/>
      <c r="M690" s="1223"/>
      <c r="N690" s="1223"/>
      <c r="O690" s="1223"/>
      <c r="P690" s="1223"/>
      <c r="Q690" s="1223"/>
      <c r="R690" s="1223"/>
      <c r="S690" s="1223"/>
      <c r="T690" s="1223"/>
      <c r="U690" s="1223"/>
    </row>
    <row r="691" spans="7:21" ht="15.6">
      <c r="G691" s="1224"/>
      <c r="H691" s="1223"/>
      <c r="I691" s="1223"/>
      <c r="J691" s="1223"/>
      <c r="K691" s="1223"/>
      <c r="L691" s="1223"/>
      <c r="M691" s="1223"/>
      <c r="N691" s="1223"/>
      <c r="O691" s="1223"/>
      <c r="P691" s="1223"/>
      <c r="Q691" s="1223"/>
      <c r="R691" s="1223"/>
      <c r="S691" s="1223"/>
      <c r="T691" s="1223"/>
      <c r="U691" s="1223"/>
    </row>
    <row r="692" spans="7:21" ht="15.6">
      <c r="G692" s="1224"/>
      <c r="H692" s="1223"/>
      <c r="I692" s="1223"/>
      <c r="J692" s="1223"/>
      <c r="K692" s="1223"/>
      <c r="L692" s="1223"/>
      <c r="M692" s="1223"/>
      <c r="N692" s="1223"/>
      <c r="O692" s="1223"/>
      <c r="P692" s="1223"/>
      <c r="Q692" s="1223"/>
      <c r="R692" s="1223"/>
      <c r="S692" s="1223"/>
      <c r="T692" s="1223"/>
      <c r="U692" s="1223"/>
    </row>
    <row r="693" spans="7:21" ht="15.6">
      <c r="G693" s="1224"/>
      <c r="H693" s="1223"/>
      <c r="I693" s="1223"/>
      <c r="J693" s="1223"/>
      <c r="K693" s="1223"/>
      <c r="L693" s="1223"/>
      <c r="M693" s="1223"/>
      <c r="N693" s="1223"/>
      <c r="O693" s="1223"/>
      <c r="P693" s="1223"/>
      <c r="Q693" s="1223"/>
      <c r="R693" s="1223"/>
      <c r="S693" s="1223"/>
      <c r="T693" s="1223"/>
      <c r="U693" s="1223"/>
    </row>
    <row r="694" spans="7:21" ht="15.6">
      <c r="G694" s="1224"/>
      <c r="H694" s="1223"/>
      <c r="I694" s="1223"/>
      <c r="J694" s="1223"/>
      <c r="K694" s="1223"/>
      <c r="L694" s="1223"/>
      <c r="M694" s="1223"/>
      <c r="N694" s="1223"/>
      <c r="O694" s="1223"/>
      <c r="P694" s="1223"/>
      <c r="Q694" s="1223"/>
      <c r="R694" s="1223"/>
      <c r="S694" s="1223"/>
      <c r="T694" s="1223"/>
      <c r="U694" s="1223"/>
    </row>
    <row r="695" spans="7:21" ht="15.6">
      <c r="G695" s="1224"/>
      <c r="H695" s="1223"/>
      <c r="I695" s="1223"/>
      <c r="J695" s="1223"/>
      <c r="K695" s="1223"/>
      <c r="L695" s="1223"/>
      <c r="M695" s="1223"/>
      <c r="N695" s="1223"/>
      <c r="O695" s="1223"/>
      <c r="P695" s="1223"/>
      <c r="Q695" s="1223"/>
      <c r="R695" s="1223"/>
      <c r="S695" s="1223"/>
      <c r="T695" s="1223"/>
      <c r="U695" s="1223"/>
    </row>
    <row r="696" spans="7:21" ht="15.6">
      <c r="G696" s="1224"/>
      <c r="H696" s="1223"/>
      <c r="I696" s="1223"/>
      <c r="J696" s="1223"/>
      <c r="K696" s="1223"/>
      <c r="L696" s="1223"/>
      <c r="M696" s="1223"/>
      <c r="N696" s="1223"/>
      <c r="O696" s="1223"/>
      <c r="P696" s="1223"/>
      <c r="Q696" s="1223"/>
      <c r="R696" s="1223"/>
      <c r="S696" s="1223"/>
      <c r="T696" s="1223"/>
      <c r="U696" s="1223"/>
    </row>
    <row r="697" spans="7:21" ht="15.6">
      <c r="G697" s="1224"/>
      <c r="H697" s="1223"/>
      <c r="I697" s="1223"/>
      <c r="J697" s="1223"/>
      <c r="K697" s="1223"/>
      <c r="L697" s="1223"/>
      <c r="M697" s="1223"/>
      <c r="N697" s="1223"/>
      <c r="O697" s="1223"/>
      <c r="P697" s="1223"/>
      <c r="Q697" s="1223"/>
      <c r="R697" s="1223"/>
      <c r="S697" s="1223"/>
      <c r="T697" s="1223"/>
      <c r="U697" s="1223"/>
    </row>
    <row r="698" spans="7:21" ht="15.6">
      <c r="G698" s="1224"/>
      <c r="H698" s="1223"/>
      <c r="I698" s="1223"/>
      <c r="J698" s="1223"/>
      <c r="K698" s="1223"/>
      <c r="L698" s="1223"/>
      <c r="M698" s="1223"/>
      <c r="N698" s="1223"/>
      <c r="O698" s="1223"/>
      <c r="P698" s="1223"/>
      <c r="Q698" s="1223"/>
      <c r="R698" s="1223"/>
      <c r="S698" s="1223"/>
      <c r="T698" s="1223"/>
      <c r="U698" s="1223"/>
    </row>
    <row r="699" spans="7:21" ht="15.6">
      <c r="G699" s="1224"/>
      <c r="H699" s="1223"/>
      <c r="I699" s="1223"/>
      <c r="J699" s="1223"/>
      <c r="K699" s="1223"/>
      <c r="L699" s="1223"/>
      <c r="M699" s="1223"/>
      <c r="N699" s="1223"/>
      <c r="O699" s="1223"/>
      <c r="P699" s="1223"/>
      <c r="Q699" s="1223"/>
      <c r="R699" s="1223"/>
      <c r="S699" s="1223"/>
      <c r="T699" s="1223"/>
      <c r="U699" s="1223"/>
    </row>
    <row r="700" spans="7:21" ht="15.6">
      <c r="G700" s="1224"/>
      <c r="H700" s="1223"/>
      <c r="I700" s="1223"/>
      <c r="J700" s="1223"/>
      <c r="K700" s="1223"/>
      <c r="L700" s="1223"/>
      <c r="M700" s="1223"/>
      <c r="N700" s="1223"/>
      <c r="O700" s="1223"/>
      <c r="P700" s="1223"/>
      <c r="Q700" s="1223"/>
      <c r="R700" s="1223"/>
      <c r="S700" s="1223"/>
      <c r="T700" s="1223"/>
      <c r="U700" s="1223"/>
    </row>
    <row r="701" spans="7:21" ht="15.6">
      <c r="G701" s="1224"/>
      <c r="H701" s="1223"/>
      <c r="I701" s="1223"/>
      <c r="J701" s="1223"/>
      <c r="K701" s="1223"/>
      <c r="L701" s="1223"/>
      <c r="M701" s="1223"/>
      <c r="N701" s="1223"/>
      <c r="O701" s="1223"/>
      <c r="P701" s="1223"/>
      <c r="Q701" s="1223"/>
      <c r="R701" s="1223"/>
      <c r="S701" s="1223"/>
      <c r="T701" s="1223"/>
      <c r="U701" s="1223"/>
    </row>
    <row r="702" spans="7:21" ht="15.6">
      <c r="G702" s="1224"/>
      <c r="H702" s="1223"/>
      <c r="I702" s="1223"/>
      <c r="J702" s="1223"/>
      <c r="K702" s="1223"/>
      <c r="L702" s="1223"/>
      <c r="M702" s="1223"/>
      <c r="N702" s="1223"/>
      <c r="O702" s="1223"/>
      <c r="P702" s="1223"/>
      <c r="Q702" s="1223"/>
      <c r="R702" s="1223"/>
      <c r="S702" s="1223"/>
      <c r="T702" s="1223"/>
      <c r="U702" s="1223"/>
    </row>
    <row r="703" spans="7:21" ht="15.6">
      <c r="G703" s="1224"/>
      <c r="H703" s="1223"/>
      <c r="I703" s="1223"/>
      <c r="J703" s="1223"/>
      <c r="K703" s="1223"/>
      <c r="L703" s="1223"/>
      <c r="M703" s="1223"/>
      <c r="N703" s="1223"/>
      <c r="O703" s="1223"/>
      <c r="P703" s="1223"/>
      <c r="Q703" s="1223"/>
      <c r="R703" s="1223"/>
      <c r="S703" s="1223"/>
      <c r="T703" s="1223"/>
      <c r="U703" s="1223"/>
    </row>
    <row r="704" spans="7:21" ht="15.6">
      <c r="G704" s="1224"/>
      <c r="H704" s="1223"/>
      <c r="I704" s="1223"/>
      <c r="J704" s="1223"/>
      <c r="K704" s="1223"/>
      <c r="L704" s="1223"/>
      <c r="M704" s="1223"/>
      <c r="N704" s="1223"/>
      <c r="O704" s="1223"/>
      <c r="P704" s="1223"/>
      <c r="Q704" s="1223"/>
      <c r="R704" s="1223"/>
      <c r="S704" s="1223"/>
      <c r="T704" s="1223"/>
      <c r="U704" s="1223"/>
    </row>
    <row r="705" spans="7:21" ht="15.6">
      <c r="G705" s="1224"/>
      <c r="H705" s="1223"/>
      <c r="I705" s="1223"/>
      <c r="J705" s="1223"/>
      <c r="K705" s="1223"/>
      <c r="L705" s="1223"/>
      <c r="M705" s="1223"/>
      <c r="N705" s="1223"/>
      <c r="O705" s="1223"/>
      <c r="P705" s="1223"/>
      <c r="Q705" s="1223"/>
      <c r="R705" s="1223"/>
      <c r="S705" s="1223"/>
      <c r="T705" s="1223"/>
      <c r="U705" s="1223"/>
    </row>
    <row r="706" spans="7:21" ht="15.6">
      <c r="G706" s="1224"/>
      <c r="H706" s="1223"/>
      <c r="I706" s="1223"/>
      <c r="J706" s="1223"/>
      <c r="K706" s="1223"/>
      <c r="L706" s="1223"/>
      <c r="M706" s="1223"/>
      <c r="N706" s="1223"/>
      <c r="O706" s="1223"/>
      <c r="P706" s="1223"/>
      <c r="Q706" s="1223"/>
      <c r="R706" s="1223"/>
      <c r="S706" s="1223"/>
      <c r="T706" s="1223"/>
      <c r="U706" s="1223"/>
    </row>
    <row r="707" spans="7:21" ht="15.6">
      <c r="G707" s="1224"/>
      <c r="H707" s="1223"/>
      <c r="I707" s="1223"/>
      <c r="J707" s="1223"/>
      <c r="K707" s="1223"/>
      <c r="L707" s="1223"/>
      <c r="M707" s="1223"/>
      <c r="N707" s="1223"/>
      <c r="O707" s="1223"/>
      <c r="P707" s="1223"/>
      <c r="Q707" s="1223"/>
      <c r="R707" s="1223"/>
      <c r="S707" s="1223"/>
      <c r="T707" s="1223"/>
      <c r="U707" s="1223"/>
    </row>
    <row r="708" spans="7:21" ht="15.6">
      <c r="G708" s="1224"/>
      <c r="H708" s="1223"/>
      <c r="I708" s="1223"/>
      <c r="J708" s="1223"/>
      <c r="K708" s="1223"/>
      <c r="L708" s="1223"/>
      <c r="M708" s="1223"/>
      <c r="N708" s="1223"/>
      <c r="O708" s="1223"/>
      <c r="P708" s="1223"/>
      <c r="Q708" s="1223"/>
      <c r="R708" s="1223"/>
      <c r="S708" s="1223"/>
      <c r="T708" s="1223"/>
      <c r="U708" s="1223"/>
    </row>
    <row r="709" spans="7:21" ht="15.6">
      <c r="G709" s="1224"/>
      <c r="H709" s="1223"/>
      <c r="I709" s="1223"/>
      <c r="J709" s="1223"/>
      <c r="K709" s="1223"/>
      <c r="L709" s="1223"/>
      <c r="M709" s="1223"/>
      <c r="N709" s="1223"/>
      <c r="O709" s="1223"/>
      <c r="P709" s="1223"/>
      <c r="Q709" s="1223"/>
      <c r="R709" s="1223"/>
      <c r="S709" s="1223"/>
      <c r="T709" s="1223"/>
      <c r="U709" s="1223"/>
    </row>
    <row r="710" spans="7:21" ht="15.6">
      <c r="G710" s="1224"/>
      <c r="H710" s="1223"/>
      <c r="I710" s="1223"/>
      <c r="J710" s="1223"/>
      <c r="K710" s="1223"/>
      <c r="L710" s="1223"/>
      <c r="M710" s="1223"/>
      <c r="N710" s="1223"/>
      <c r="O710" s="1223"/>
      <c r="P710" s="1223"/>
      <c r="Q710" s="1223"/>
      <c r="R710" s="1223"/>
      <c r="S710" s="1223"/>
      <c r="T710" s="1223"/>
      <c r="U710" s="1223"/>
    </row>
    <row r="711" spans="7:21" ht="15.6">
      <c r="G711" s="1224"/>
      <c r="H711" s="1223"/>
      <c r="I711" s="1223"/>
      <c r="J711" s="1223"/>
      <c r="K711" s="1223"/>
      <c r="L711" s="1223"/>
      <c r="M711" s="1223"/>
      <c r="N711" s="1223"/>
      <c r="O711" s="1223"/>
      <c r="P711" s="1223"/>
      <c r="Q711" s="1223"/>
      <c r="R711" s="1223"/>
      <c r="S711" s="1223"/>
      <c r="T711" s="1223"/>
      <c r="U711" s="1223"/>
    </row>
    <row r="712" spans="7:21" ht="15.6">
      <c r="G712" s="1224"/>
      <c r="H712" s="1223"/>
      <c r="I712" s="1223"/>
      <c r="J712" s="1223"/>
      <c r="K712" s="1223"/>
      <c r="L712" s="1223"/>
      <c r="M712" s="1223"/>
      <c r="N712" s="1223"/>
      <c r="O712" s="1223"/>
      <c r="P712" s="1223"/>
      <c r="Q712" s="1223"/>
      <c r="R712" s="1223"/>
      <c r="S712" s="1223"/>
      <c r="T712" s="1223"/>
      <c r="U712" s="1223"/>
    </row>
    <row r="713" spans="7:21" ht="15.6">
      <c r="G713" s="1224"/>
      <c r="H713" s="1223"/>
      <c r="I713" s="1223"/>
      <c r="J713" s="1223"/>
      <c r="K713" s="1223"/>
      <c r="L713" s="1223"/>
      <c r="M713" s="1223"/>
      <c r="N713" s="1223"/>
      <c r="O713" s="1223"/>
      <c r="P713" s="1223"/>
      <c r="Q713" s="1223"/>
      <c r="R713" s="1223"/>
      <c r="S713" s="1223"/>
      <c r="T713" s="1223"/>
      <c r="U713" s="1223"/>
    </row>
    <row r="714" spans="7:21" ht="15.6">
      <c r="G714" s="1224"/>
      <c r="H714" s="1223"/>
      <c r="I714" s="1223"/>
      <c r="J714" s="1223"/>
      <c r="K714" s="1223"/>
      <c r="L714" s="1223"/>
      <c r="M714" s="1223"/>
      <c r="N714" s="1223"/>
      <c r="O714" s="1223"/>
      <c r="P714" s="1223"/>
      <c r="Q714" s="1223"/>
      <c r="R714" s="1223"/>
      <c r="S714" s="1223"/>
      <c r="T714" s="1223"/>
      <c r="U714" s="1223"/>
    </row>
    <row r="715" spans="7:21" ht="15.6">
      <c r="G715" s="1224"/>
      <c r="H715" s="1223"/>
      <c r="I715" s="1223"/>
      <c r="J715" s="1223"/>
      <c r="K715" s="1223"/>
      <c r="L715" s="1223"/>
      <c r="M715" s="1223"/>
      <c r="N715" s="1223"/>
      <c r="O715" s="1223"/>
      <c r="P715" s="1223"/>
      <c r="Q715" s="1223"/>
      <c r="R715" s="1223"/>
      <c r="S715" s="1223"/>
      <c r="T715" s="1223"/>
      <c r="U715" s="1223"/>
    </row>
    <row r="716" spans="7:21" ht="15.6">
      <c r="G716" s="1224"/>
      <c r="H716" s="1223"/>
      <c r="I716" s="1223"/>
      <c r="J716" s="1223"/>
      <c r="K716" s="1223"/>
      <c r="L716" s="1223"/>
      <c r="M716" s="1223"/>
      <c r="N716" s="1223"/>
      <c r="O716" s="1223"/>
      <c r="P716" s="1223"/>
      <c r="Q716" s="1223"/>
      <c r="R716" s="1223"/>
      <c r="S716" s="1223"/>
      <c r="T716" s="1223"/>
      <c r="U716" s="1223"/>
    </row>
    <row r="717" spans="7:21" ht="15.6">
      <c r="G717" s="1224"/>
      <c r="H717" s="1223"/>
      <c r="I717" s="1223"/>
      <c r="J717" s="1223"/>
      <c r="K717" s="1223"/>
      <c r="L717" s="1223"/>
      <c r="M717" s="1223"/>
      <c r="N717" s="1223"/>
      <c r="O717" s="1223"/>
      <c r="P717" s="1223"/>
      <c r="Q717" s="1223"/>
      <c r="R717" s="1223"/>
      <c r="S717" s="1223"/>
      <c r="T717" s="1223"/>
      <c r="U717" s="1223"/>
    </row>
    <row r="718" spans="7:21" ht="15.6">
      <c r="G718" s="1224"/>
      <c r="H718" s="1223"/>
      <c r="I718" s="1223"/>
      <c r="J718" s="1223"/>
      <c r="K718" s="1223"/>
      <c r="L718" s="1223"/>
      <c r="M718" s="1223"/>
      <c r="N718" s="1223"/>
      <c r="O718" s="1223"/>
      <c r="P718" s="1223"/>
      <c r="Q718" s="1223"/>
      <c r="R718" s="1223"/>
      <c r="S718" s="1223"/>
      <c r="T718" s="1223"/>
      <c r="U718" s="1223"/>
    </row>
    <row r="719" spans="7:21" ht="15.6">
      <c r="G719" s="1224"/>
      <c r="H719" s="1223"/>
      <c r="I719" s="1223"/>
      <c r="J719" s="1223"/>
      <c r="K719" s="1223"/>
      <c r="L719" s="1223"/>
      <c r="M719" s="1223"/>
      <c r="N719" s="1223"/>
      <c r="O719" s="1223"/>
      <c r="P719" s="1223"/>
      <c r="Q719" s="1223"/>
      <c r="R719" s="1223"/>
      <c r="S719" s="1223"/>
      <c r="T719" s="1223"/>
      <c r="U719" s="1223"/>
    </row>
    <row r="720" spans="7:21" ht="15.6">
      <c r="G720" s="1224"/>
      <c r="H720" s="1223"/>
      <c r="I720" s="1223"/>
      <c r="J720" s="1223"/>
      <c r="K720" s="1223"/>
      <c r="L720" s="1223"/>
      <c r="M720" s="1223"/>
      <c r="N720" s="1223"/>
      <c r="O720" s="1223"/>
      <c r="P720" s="1223"/>
      <c r="Q720" s="1223"/>
      <c r="R720" s="1223"/>
      <c r="S720" s="1223"/>
      <c r="T720" s="1223"/>
      <c r="U720" s="1223"/>
    </row>
    <row r="721" spans="7:21" ht="15.6">
      <c r="G721" s="1224"/>
      <c r="H721" s="1223"/>
      <c r="I721" s="1223"/>
      <c r="J721" s="1223"/>
      <c r="K721" s="1223"/>
      <c r="L721" s="1223"/>
      <c r="M721" s="1223"/>
      <c r="N721" s="1223"/>
      <c r="O721" s="1223"/>
      <c r="P721" s="1223"/>
      <c r="Q721" s="1223"/>
      <c r="R721" s="1223"/>
      <c r="S721" s="1223"/>
      <c r="T721" s="1223"/>
      <c r="U721" s="1223"/>
    </row>
    <row r="722" spans="7:21" ht="15.6">
      <c r="G722" s="1224"/>
      <c r="H722" s="1223"/>
      <c r="I722" s="1223"/>
      <c r="J722" s="1223"/>
      <c r="K722" s="1223"/>
      <c r="L722" s="1223"/>
      <c r="M722" s="1223"/>
      <c r="N722" s="1223"/>
      <c r="O722" s="1223"/>
      <c r="P722" s="1223"/>
      <c r="Q722" s="1223"/>
      <c r="R722" s="1223"/>
      <c r="S722" s="1223"/>
      <c r="T722" s="1223"/>
      <c r="U722" s="1223"/>
    </row>
    <row r="723" spans="7:21" ht="15.6">
      <c r="G723" s="1224"/>
      <c r="H723" s="1223"/>
      <c r="I723" s="1223"/>
      <c r="J723" s="1223"/>
      <c r="K723" s="1223"/>
      <c r="L723" s="1223"/>
      <c r="M723" s="1223"/>
      <c r="N723" s="1223"/>
      <c r="O723" s="1223"/>
      <c r="P723" s="1223"/>
      <c r="Q723" s="1223"/>
      <c r="R723" s="1223"/>
      <c r="S723" s="1223"/>
      <c r="T723" s="1223"/>
      <c r="U723" s="1223"/>
    </row>
    <row r="724" spans="7:21" ht="15.6">
      <c r="G724" s="1224"/>
      <c r="H724" s="1223"/>
      <c r="I724" s="1223"/>
      <c r="J724" s="1223"/>
      <c r="K724" s="1223"/>
      <c r="L724" s="1223"/>
      <c r="M724" s="1223"/>
      <c r="N724" s="1223"/>
      <c r="O724" s="1223"/>
      <c r="P724" s="1223"/>
      <c r="Q724" s="1223"/>
      <c r="R724" s="1223"/>
      <c r="S724" s="1223"/>
      <c r="T724" s="1223"/>
      <c r="U724" s="1223"/>
    </row>
    <row r="725" spans="7:21" ht="15.6">
      <c r="G725" s="1224"/>
      <c r="H725" s="1223"/>
      <c r="I725" s="1223"/>
      <c r="J725" s="1223"/>
      <c r="K725" s="1223"/>
      <c r="L725" s="1223"/>
      <c r="M725" s="1223"/>
      <c r="N725" s="1223"/>
      <c r="O725" s="1223"/>
      <c r="P725" s="1223"/>
      <c r="Q725" s="1223"/>
      <c r="R725" s="1223"/>
      <c r="S725" s="1223"/>
      <c r="T725" s="1223"/>
      <c r="U725" s="1223"/>
    </row>
    <row r="726" spans="7:21" ht="15.6">
      <c r="G726" s="1224"/>
      <c r="H726" s="1223"/>
      <c r="I726" s="1223"/>
      <c r="J726" s="1223"/>
      <c r="K726" s="1223"/>
      <c r="L726" s="1223"/>
      <c r="M726" s="1223"/>
      <c r="N726" s="1223"/>
      <c r="O726" s="1223"/>
      <c r="P726" s="1223"/>
      <c r="Q726" s="1223"/>
      <c r="R726" s="1223"/>
      <c r="S726" s="1223"/>
      <c r="T726" s="1223"/>
      <c r="U726" s="1223"/>
    </row>
    <row r="727" spans="7:21" ht="15.6">
      <c r="G727" s="1224"/>
      <c r="H727" s="1223"/>
      <c r="I727" s="1223"/>
      <c r="J727" s="1223"/>
      <c r="K727" s="1223"/>
      <c r="L727" s="1223"/>
      <c r="M727" s="1223"/>
      <c r="N727" s="1223"/>
      <c r="O727" s="1223"/>
      <c r="P727" s="1223"/>
      <c r="Q727" s="1223"/>
      <c r="R727" s="1223"/>
      <c r="S727" s="1223"/>
      <c r="T727" s="1223"/>
      <c r="U727" s="1223"/>
    </row>
    <row r="728" spans="7:21" ht="15.6">
      <c r="G728" s="1224"/>
      <c r="H728" s="1223"/>
      <c r="I728" s="1223"/>
      <c r="J728" s="1223"/>
      <c r="K728" s="1223"/>
      <c r="L728" s="1223"/>
      <c r="M728" s="1223"/>
      <c r="N728" s="1223"/>
      <c r="O728" s="1223"/>
      <c r="P728" s="1223"/>
      <c r="Q728" s="1223"/>
      <c r="R728" s="1223"/>
      <c r="S728" s="1223"/>
      <c r="T728" s="1223"/>
      <c r="U728" s="1223"/>
    </row>
    <row r="729" spans="7:21" ht="15.6">
      <c r="G729" s="1224"/>
      <c r="H729" s="1223"/>
      <c r="I729" s="1223"/>
      <c r="J729" s="1223"/>
      <c r="K729" s="1223"/>
      <c r="L729" s="1223"/>
      <c r="M729" s="1223"/>
      <c r="N729" s="1223"/>
      <c r="O729" s="1223"/>
      <c r="P729" s="1223"/>
      <c r="Q729" s="1223"/>
      <c r="R729" s="1223"/>
      <c r="S729" s="1223"/>
      <c r="T729" s="1223"/>
      <c r="U729" s="1223"/>
    </row>
    <row r="730" spans="7:21" ht="15.6">
      <c r="G730" s="1224"/>
      <c r="H730" s="1223"/>
      <c r="I730" s="1223"/>
      <c r="J730" s="1223"/>
      <c r="K730" s="1223"/>
      <c r="L730" s="1223"/>
      <c r="M730" s="1223"/>
      <c r="N730" s="1223"/>
      <c r="O730" s="1223"/>
      <c r="P730" s="1223"/>
      <c r="Q730" s="1223"/>
      <c r="R730" s="1223"/>
      <c r="S730" s="1223"/>
      <c r="T730" s="1223"/>
      <c r="U730" s="1223"/>
    </row>
    <row r="731" spans="7:21" ht="15.6">
      <c r="G731" s="1224"/>
      <c r="H731" s="1223"/>
      <c r="I731" s="1223"/>
      <c r="J731" s="1223"/>
      <c r="K731" s="1223"/>
      <c r="L731" s="1223"/>
      <c r="M731" s="1223"/>
      <c r="N731" s="1223"/>
      <c r="O731" s="1223"/>
      <c r="P731" s="1223"/>
      <c r="Q731" s="1223"/>
      <c r="R731" s="1223"/>
      <c r="S731" s="1223"/>
      <c r="T731" s="1223"/>
      <c r="U731" s="1223"/>
    </row>
    <row r="732" spans="7:21" ht="15.6">
      <c r="G732" s="1224"/>
      <c r="H732" s="1223"/>
      <c r="I732" s="1223"/>
      <c r="J732" s="1223"/>
      <c r="K732" s="1223"/>
      <c r="L732" s="1223"/>
      <c r="M732" s="1223"/>
      <c r="N732" s="1223"/>
      <c r="O732" s="1223"/>
      <c r="P732" s="1223"/>
      <c r="Q732" s="1223"/>
      <c r="R732" s="1223"/>
      <c r="S732" s="1223"/>
      <c r="T732" s="1223"/>
      <c r="U732" s="1223"/>
    </row>
    <row r="733" spans="7:21" ht="15.6">
      <c r="G733" s="1224"/>
      <c r="H733" s="1223"/>
      <c r="I733" s="1223"/>
      <c r="J733" s="1223"/>
      <c r="K733" s="1223"/>
      <c r="L733" s="1223"/>
      <c r="M733" s="1223"/>
      <c r="N733" s="1223"/>
      <c r="O733" s="1223"/>
      <c r="P733" s="1223"/>
      <c r="Q733" s="1223"/>
      <c r="R733" s="1223"/>
      <c r="S733" s="1223"/>
      <c r="T733" s="1223"/>
      <c r="U733" s="1223"/>
    </row>
    <row r="734" spans="7:21" ht="15.6">
      <c r="G734" s="1224"/>
      <c r="H734" s="1223"/>
      <c r="I734" s="1223"/>
      <c r="J734" s="1223"/>
      <c r="K734" s="1223"/>
      <c r="L734" s="1223"/>
      <c r="M734" s="1223"/>
      <c r="N734" s="1223"/>
      <c r="O734" s="1223"/>
      <c r="P734" s="1223"/>
      <c r="Q734" s="1223"/>
      <c r="R734" s="1223"/>
      <c r="S734" s="1223"/>
      <c r="T734" s="1223"/>
      <c r="U734" s="1223"/>
    </row>
    <row r="735" spans="7:21" ht="15.6">
      <c r="G735" s="1224"/>
      <c r="H735" s="1223"/>
      <c r="I735" s="1223"/>
      <c r="J735" s="1223"/>
      <c r="K735" s="1223"/>
      <c r="L735" s="1223"/>
      <c r="M735" s="1223"/>
      <c r="N735" s="1223"/>
      <c r="O735" s="1223"/>
      <c r="P735" s="1223"/>
      <c r="Q735" s="1223"/>
      <c r="R735" s="1223"/>
      <c r="S735" s="1223"/>
      <c r="T735" s="1223"/>
      <c r="U735" s="1223"/>
    </row>
    <row r="736" spans="7:21" ht="15.6">
      <c r="G736" s="1224"/>
      <c r="H736" s="1223"/>
      <c r="I736" s="1223"/>
      <c r="J736" s="1223"/>
      <c r="K736" s="1223"/>
      <c r="L736" s="1223"/>
      <c r="M736" s="1223"/>
      <c r="N736" s="1223"/>
      <c r="O736" s="1223"/>
      <c r="P736" s="1223"/>
      <c r="Q736" s="1223"/>
      <c r="R736" s="1223"/>
      <c r="S736" s="1223"/>
      <c r="T736" s="1223"/>
      <c r="U736" s="1223"/>
    </row>
    <row r="737" spans="7:21" ht="15.6">
      <c r="G737" s="1224"/>
      <c r="H737" s="1223"/>
      <c r="I737" s="1223"/>
      <c r="J737" s="1223"/>
      <c r="K737" s="1223"/>
      <c r="L737" s="1223"/>
      <c r="M737" s="1223"/>
      <c r="N737" s="1223"/>
      <c r="O737" s="1223"/>
      <c r="P737" s="1223"/>
      <c r="Q737" s="1223"/>
      <c r="R737" s="1223"/>
      <c r="S737" s="1223"/>
      <c r="T737" s="1223"/>
      <c r="U737" s="1223"/>
    </row>
    <row r="738" spans="7:21" ht="15.6">
      <c r="G738" s="1224"/>
      <c r="H738" s="1223"/>
      <c r="I738" s="1223"/>
      <c r="J738" s="1223"/>
      <c r="K738" s="1223"/>
      <c r="L738" s="1223"/>
      <c r="M738" s="1223"/>
      <c r="N738" s="1223"/>
      <c r="O738" s="1223"/>
      <c r="P738" s="1223"/>
      <c r="Q738" s="1223"/>
      <c r="R738" s="1223"/>
      <c r="S738" s="1223"/>
      <c r="T738" s="1223"/>
      <c r="U738" s="1223"/>
    </row>
    <row r="739" spans="7:21" ht="15.6">
      <c r="G739" s="1224"/>
      <c r="H739" s="1223"/>
      <c r="I739" s="1223"/>
      <c r="J739" s="1223"/>
      <c r="K739" s="1223"/>
      <c r="L739" s="1223"/>
      <c r="M739" s="1223"/>
      <c r="N739" s="1223"/>
      <c r="O739" s="1223"/>
      <c r="P739" s="1223"/>
      <c r="Q739" s="1223"/>
      <c r="R739" s="1223"/>
      <c r="S739" s="1223"/>
      <c r="T739" s="1223"/>
      <c r="U739" s="1223"/>
    </row>
    <row r="740" spans="7:21" ht="15.6">
      <c r="G740" s="1224"/>
      <c r="H740" s="1223"/>
      <c r="I740" s="1223"/>
      <c r="J740" s="1223"/>
      <c r="K740" s="1223"/>
      <c r="L740" s="1223"/>
      <c r="M740" s="1223"/>
      <c r="N740" s="1223"/>
      <c r="O740" s="1223"/>
      <c r="P740" s="1223"/>
      <c r="Q740" s="1223"/>
      <c r="R740" s="1223"/>
      <c r="S740" s="1223"/>
      <c r="T740" s="1223"/>
      <c r="U740" s="1223"/>
    </row>
    <row r="741" spans="7:21" ht="15.6">
      <c r="G741" s="1224"/>
      <c r="H741" s="1223"/>
      <c r="I741" s="1223"/>
      <c r="J741" s="1223"/>
      <c r="K741" s="1223"/>
      <c r="L741" s="1223"/>
      <c r="M741" s="1223"/>
      <c r="N741" s="1223"/>
      <c r="O741" s="1223"/>
      <c r="P741" s="1223"/>
      <c r="Q741" s="1223"/>
      <c r="R741" s="1223"/>
      <c r="S741" s="1223"/>
      <c r="T741" s="1223"/>
      <c r="U741" s="1223"/>
    </row>
    <row r="742" spans="7:21" ht="15.6">
      <c r="G742" s="1224"/>
      <c r="H742" s="1223"/>
      <c r="I742" s="1223"/>
      <c r="J742" s="1223"/>
      <c r="K742" s="1223"/>
      <c r="L742" s="1223"/>
      <c r="M742" s="1223"/>
      <c r="N742" s="1223"/>
      <c r="O742" s="1223"/>
      <c r="P742" s="1223"/>
      <c r="Q742" s="1223"/>
      <c r="R742" s="1223"/>
      <c r="S742" s="1223"/>
      <c r="T742" s="1223"/>
      <c r="U742" s="1223"/>
    </row>
    <row r="743" spans="7:21" ht="15.6">
      <c r="G743" s="1224"/>
      <c r="H743" s="1223"/>
      <c r="I743" s="1223"/>
      <c r="J743" s="1223"/>
      <c r="K743" s="1223"/>
      <c r="L743" s="1223"/>
      <c r="M743" s="1223"/>
      <c r="N743" s="1223"/>
      <c r="O743" s="1223"/>
      <c r="P743" s="1223"/>
      <c r="Q743" s="1223"/>
      <c r="R743" s="1223"/>
      <c r="S743" s="1223"/>
      <c r="T743" s="1223"/>
      <c r="U743" s="1223"/>
    </row>
    <row r="744" spans="7:21" ht="15.6">
      <c r="G744" s="1224"/>
      <c r="H744" s="1223"/>
      <c r="I744" s="1223"/>
      <c r="J744" s="1223"/>
      <c r="K744" s="1223"/>
      <c r="L744" s="1223"/>
      <c r="M744" s="1223"/>
      <c r="N744" s="1223"/>
      <c r="O744" s="1223"/>
      <c r="P744" s="1223"/>
      <c r="Q744" s="1223"/>
      <c r="R744" s="1223"/>
      <c r="S744" s="1223"/>
      <c r="T744" s="1223"/>
      <c r="U744" s="1223"/>
    </row>
    <row r="745" spans="7:21" ht="15.6">
      <c r="G745" s="1224"/>
      <c r="H745" s="1223"/>
      <c r="I745" s="1223"/>
      <c r="J745" s="1223"/>
      <c r="K745" s="1223"/>
      <c r="L745" s="1223"/>
      <c r="M745" s="1223"/>
      <c r="N745" s="1223"/>
      <c r="O745" s="1223"/>
      <c r="P745" s="1223"/>
      <c r="Q745" s="1223"/>
      <c r="R745" s="1223"/>
      <c r="S745" s="1223"/>
      <c r="T745" s="1223"/>
      <c r="U745" s="1223"/>
    </row>
    <row r="746" spans="7:21" ht="15.6">
      <c r="G746" s="1224"/>
      <c r="H746" s="1223"/>
      <c r="I746" s="1223"/>
      <c r="J746" s="1223"/>
      <c r="K746" s="1223"/>
      <c r="L746" s="1223"/>
      <c r="M746" s="1223"/>
      <c r="N746" s="1223"/>
      <c r="O746" s="1223"/>
      <c r="P746" s="1223"/>
      <c r="Q746" s="1223"/>
      <c r="R746" s="1223"/>
      <c r="S746" s="1223"/>
      <c r="T746" s="1223"/>
      <c r="U746" s="1223"/>
    </row>
    <row r="747" spans="7:21" ht="15.6">
      <c r="G747" s="1224"/>
      <c r="H747" s="1223"/>
      <c r="I747" s="1223"/>
      <c r="J747" s="1223"/>
      <c r="K747" s="1223"/>
      <c r="L747" s="1223"/>
      <c r="M747" s="1223"/>
      <c r="N747" s="1223"/>
      <c r="O747" s="1223"/>
      <c r="P747" s="1223"/>
      <c r="Q747" s="1223"/>
      <c r="R747" s="1223"/>
      <c r="S747" s="1223"/>
      <c r="T747" s="1223"/>
      <c r="U747" s="1223"/>
    </row>
    <row r="748" spans="7:21" ht="15.6">
      <c r="G748" s="1224"/>
      <c r="H748" s="1223"/>
      <c r="I748" s="1223"/>
      <c r="J748" s="1223"/>
      <c r="K748" s="1223"/>
      <c r="L748" s="1223"/>
      <c r="M748" s="1223"/>
      <c r="N748" s="1223"/>
      <c r="O748" s="1223"/>
      <c r="P748" s="1223"/>
      <c r="Q748" s="1223"/>
      <c r="R748" s="1223"/>
      <c r="S748" s="1223"/>
      <c r="T748" s="1223"/>
      <c r="U748" s="1223"/>
    </row>
    <row r="749" spans="7:21" ht="15.6">
      <c r="G749" s="1224"/>
      <c r="H749" s="1223"/>
      <c r="I749" s="1223"/>
      <c r="J749" s="1223"/>
      <c r="K749" s="1223"/>
      <c r="L749" s="1223"/>
      <c r="M749" s="1223"/>
      <c r="N749" s="1223"/>
      <c r="O749" s="1223"/>
      <c r="P749" s="1223"/>
      <c r="Q749" s="1223"/>
      <c r="R749" s="1223"/>
      <c r="S749" s="1223"/>
      <c r="T749" s="1223"/>
      <c r="U749" s="1223"/>
    </row>
    <row r="750" spans="7:21" ht="15.6">
      <c r="G750" s="1224"/>
      <c r="H750" s="1223"/>
      <c r="I750" s="1223"/>
      <c r="J750" s="1223"/>
      <c r="K750" s="1223"/>
      <c r="L750" s="1223"/>
      <c r="M750" s="1223"/>
      <c r="N750" s="1223"/>
      <c r="O750" s="1223"/>
      <c r="P750" s="1223"/>
      <c r="Q750" s="1223"/>
      <c r="R750" s="1223"/>
      <c r="S750" s="1223"/>
      <c r="T750" s="1223"/>
      <c r="U750" s="1223"/>
    </row>
    <row r="751" spans="7:21" ht="15.6">
      <c r="G751" s="1224"/>
      <c r="H751" s="1223"/>
      <c r="I751" s="1223"/>
      <c r="J751" s="1223"/>
      <c r="K751" s="1223"/>
      <c r="L751" s="1223"/>
      <c r="M751" s="1223"/>
      <c r="N751" s="1223"/>
      <c r="O751" s="1223"/>
      <c r="P751" s="1223"/>
      <c r="Q751" s="1223"/>
      <c r="R751" s="1223"/>
      <c r="S751" s="1223"/>
      <c r="T751" s="1223"/>
      <c r="U751" s="1223"/>
    </row>
    <row r="752" spans="7:21" ht="15.6">
      <c r="G752" s="1224"/>
      <c r="H752" s="1223"/>
      <c r="I752" s="1223"/>
      <c r="J752" s="1223"/>
      <c r="K752" s="1223"/>
      <c r="L752" s="1223"/>
      <c r="M752" s="1223"/>
      <c r="N752" s="1223"/>
      <c r="O752" s="1223"/>
      <c r="P752" s="1223"/>
      <c r="Q752" s="1223"/>
      <c r="R752" s="1223"/>
      <c r="S752" s="1223"/>
      <c r="T752" s="1223"/>
      <c r="U752" s="1223"/>
    </row>
    <row r="753" spans="7:21" ht="15.6">
      <c r="G753" s="1224"/>
      <c r="H753" s="1223"/>
      <c r="I753" s="1223"/>
      <c r="J753" s="1223"/>
      <c r="K753" s="1223"/>
      <c r="L753" s="1223"/>
      <c r="M753" s="1223"/>
      <c r="N753" s="1223"/>
      <c r="O753" s="1223"/>
      <c r="P753" s="1223"/>
      <c r="Q753" s="1223"/>
      <c r="R753" s="1223"/>
      <c r="S753" s="1223"/>
      <c r="T753" s="1223"/>
      <c r="U753" s="1223"/>
    </row>
    <row r="754" spans="7:21" ht="15.6">
      <c r="G754" s="1224"/>
      <c r="H754" s="1223"/>
      <c r="I754" s="1223"/>
      <c r="J754" s="1223"/>
      <c r="K754" s="1223"/>
      <c r="L754" s="1223"/>
      <c r="M754" s="1223"/>
      <c r="N754" s="1223"/>
      <c r="O754" s="1223"/>
      <c r="P754" s="1223"/>
      <c r="Q754" s="1223"/>
      <c r="R754" s="1223"/>
      <c r="S754" s="1223"/>
      <c r="T754" s="1223"/>
      <c r="U754" s="1223"/>
    </row>
    <row r="755" spans="7:21" ht="15.6">
      <c r="G755" s="1224"/>
      <c r="H755" s="1223"/>
      <c r="I755" s="1223"/>
      <c r="J755" s="1223"/>
      <c r="K755" s="1223"/>
      <c r="L755" s="1223"/>
      <c r="M755" s="1223"/>
      <c r="N755" s="1223"/>
      <c r="O755" s="1223"/>
      <c r="P755" s="1223"/>
      <c r="Q755" s="1223"/>
      <c r="R755" s="1223"/>
      <c r="S755" s="1223"/>
      <c r="T755" s="1223"/>
      <c r="U755" s="1223"/>
    </row>
    <row r="756" spans="7:21" ht="15.6">
      <c r="G756" s="1224"/>
      <c r="H756" s="1223"/>
      <c r="I756" s="1223"/>
      <c r="J756" s="1223"/>
      <c r="K756" s="1223"/>
      <c r="L756" s="1223"/>
      <c r="M756" s="1223"/>
      <c r="N756" s="1223"/>
      <c r="O756" s="1223"/>
      <c r="P756" s="1223"/>
      <c r="Q756" s="1223"/>
      <c r="R756" s="1223"/>
      <c r="S756" s="1223"/>
      <c r="T756" s="1223"/>
      <c r="U756" s="1223"/>
    </row>
    <row r="757" spans="7:21" ht="15.6">
      <c r="G757" s="1224"/>
      <c r="H757" s="1223"/>
      <c r="I757" s="1223"/>
      <c r="J757" s="1223"/>
      <c r="K757" s="1223"/>
      <c r="L757" s="1223"/>
      <c r="M757" s="1223"/>
      <c r="N757" s="1223"/>
      <c r="O757" s="1223"/>
      <c r="P757" s="1223"/>
      <c r="Q757" s="1223"/>
      <c r="R757" s="1223"/>
      <c r="S757" s="1223"/>
      <c r="T757" s="1223"/>
      <c r="U757" s="1223"/>
    </row>
    <row r="758" spans="7:21" ht="15.6">
      <c r="G758" s="1224"/>
      <c r="H758" s="1223"/>
      <c r="I758" s="1223"/>
      <c r="J758" s="1223"/>
      <c r="K758" s="1223"/>
      <c r="L758" s="1223"/>
      <c r="M758" s="1223"/>
      <c r="N758" s="1223"/>
      <c r="O758" s="1223"/>
      <c r="P758" s="1223"/>
      <c r="Q758" s="1223"/>
      <c r="R758" s="1223"/>
      <c r="S758" s="1223"/>
      <c r="T758" s="1223"/>
      <c r="U758" s="1223"/>
    </row>
    <row r="759" spans="7:21" ht="15.6">
      <c r="G759" s="1224"/>
      <c r="H759" s="1223"/>
      <c r="I759" s="1223"/>
      <c r="J759" s="1223"/>
      <c r="K759" s="1223"/>
      <c r="L759" s="1223"/>
      <c r="M759" s="1223"/>
      <c r="N759" s="1223"/>
      <c r="O759" s="1223"/>
      <c r="P759" s="1223"/>
      <c r="Q759" s="1223"/>
      <c r="R759" s="1223"/>
      <c r="S759" s="1223"/>
      <c r="T759" s="1223"/>
      <c r="U759" s="1223"/>
    </row>
    <row r="760" spans="7:21" ht="15.6">
      <c r="G760" s="1224"/>
      <c r="H760" s="1223"/>
      <c r="I760" s="1223"/>
      <c r="J760" s="1223"/>
      <c r="K760" s="1223"/>
      <c r="L760" s="1223"/>
      <c r="M760" s="1223"/>
      <c r="N760" s="1223"/>
      <c r="O760" s="1223"/>
      <c r="P760" s="1223"/>
      <c r="Q760" s="1223"/>
      <c r="R760" s="1223"/>
      <c r="S760" s="1223"/>
      <c r="T760" s="1223"/>
      <c r="U760" s="1223"/>
    </row>
    <row r="761" spans="7:21" ht="15.6">
      <c r="G761" s="1224"/>
      <c r="H761" s="1223"/>
      <c r="I761" s="1223"/>
      <c r="J761" s="1223"/>
      <c r="K761" s="1223"/>
      <c r="L761" s="1223"/>
      <c r="M761" s="1223"/>
      <c r="N761" s="1223"/>
      <c r="O761" s="1223"/>
      <c r="P761" s="1223"/>
      <c r="Q761" s="1223"/>
      <c r="R761" s="1223"/>
      <c r="S761" s="1223"/>
      <c r="T761" s="1223"/>
      <c r="U761" s="1223"/>
    </row>
    <row r="762" spans="7:21" ht="15.6">
      <c r="G762" s="1224"/>
      <c r="H762" s="1223"/>
      <c r="I762" s="1223"/>
      <c r="J762" s="1223"/>
      <c r="K762" s="1223"/>
      <c r="L762" s="1223"/>
      <c r="M762" s="1223"/>
      <c r="N762" s="1223"/>
      <c r="O762" s="1223"/>
      <c r="P762" s="1223"/>
      <c r="Q762" s="1223"/>
      <c r="R762" s="1223"/>
      <c r="S762" s="1223"/>
      <c r="T762" s="1223"/>
      <c r="U762" s="1223"/>
    </row>
    <row r="763" spans="7:21" ht="15.6">
      <c r="G763" s="1224"/>
      <c r="H763" s="1223"/>
      <c r="I763" s="1223"/>
      <c r="J763" s="1223"/>
      <c r="K763" s="1223"/>
      <c r="L763" s="1223"/>
      <c r="M763" s="1223"/>
      <c r="N763" s="1223"/>
      <c r="O763" s="1223"/>
      <c r="P763" s="1223"/>
      <c r="Q763" s="1223"/>
      <c r="R763" s="1223"/>
      <c r="S763" s="1223"/>
      <c r="T763" s="1223"/>
      <c r="U763" s="1223"/>
    </row>
    <row r="764" spans="7:21" ht="15.6">
      <c r="G764" s="1224"/>
      <c r="H764" s="1223"/>
      <c r="I764" s="1223"/>
      <c r="J764" s="1223"/>
      <c r="K764" s="1223"/>
      <c r="L764" s="1223"/>
      <c r="M764" s="1223"/>
      <c r="N764" s="1223"/>
      <c r="O764" s="1223"/>
      <c r="P764" s="1223"/>
      <c r="Q764" s="1223"/>
      <c r="R764" s="1223"/>
      <c r="S764" s="1223"/>
      <c r="T764" s="1223"/>
      <c r="U764" s="1223"/>
    </row>
    <row r="765" spans="7:21" ht="15.6">
      <c r="G765" s="1224"/>
      <c r="H765" s="1223"/>
      <c r="I765" s="1223"/>
      <c r="J765" s="1223"/>
      <c r="K765" s="1223"/>
      <c r="L765" s="1223"/>
      <c r="M765" s="1223"/>
      <c r="N765" s="1223"/>
      <c r="O765" s="1223"/>
      <c r="P765" s="1223"/>
      <c r="Q765" s="1223"/>
      <c r="R765" s="1223"/>
      <c r="S765" s="1223"/>
      <c r="T765" s="1223"/>
      <c r="U765" s="1223"/>
    </row>
    <row r="766" spans="7:21" ht="15.6">
      <c r="G766" s="1224"/>
      <c r="H766" s="1223"/>
      <c r="I766" s="1223"/>
      <c r="J766" s="1223"/>
      <c r="K766" s="1223"/>
      <c r="L766" s="1223"/>
      <c r="M766" s="1223"/>
      <c r="N766" s="1223"/>
      <c r="O766" s="1223"/>
      <c r="P766" s="1223"/>
      <c r="Q766" s="1223"/>
      <c r="R766" s="1223"/>
      <c r="S766" s="1223"/>
      <c r="T766" s="1223"/>
      <c r="U766" s="1223"/>
    </row>
    <row r="767" spans="7:21" ht="15.6">
      <c r="G767" s="1224"/>
      <c r="H767" s="1223"/>
      <c r="I767" s="1223"/>
      <c r="J767" s="1223"/>
      <c r="K767" s="1223"/>
      <c r="L767" s="1223"/>
      <c r="M767" s="1223"/>
      <c r="N767" s="1223"/>
      <c r="O767" s="1223"/>
      <c r="P767" s="1223"/>
      <c r="Q767" s="1223"/>
      <c r="R767" s="1223"/>
      <c r="S767" s="1223"/>
      <c r="T767" s="1223"/>
      <c r="U767" s="1223"/>
    </row>
    <row r="768" spans="7:21" ht="15.6">
      <c r="G768" s="1224"/>
      <c r="H768" s="1223"/>
      <c r="I768" s="1223"/>
      <c r="J768" s="1223"/>
      <c r="K768" s="1223"/>
      <c r="L768" s="1223"/>
      <c r="M768" s="1223"/>
      <c r="N768" s="1223"/>
      <c r="O768" s="1223"/>
      <c r="P768" s="1223"/>
      <c r="Q768" s="1223"/>
      <c r="R768" s="1223"/>
      <c r="S768" s="1223"/>
      <c r="T768" s="1223"/>
      <c r="U768" s="1223"/>
    </row>
    <row r="769" spans="7:21" ht="15.6">
      <c r="G769" s="1224"/>
      <c r="H769" s="1223"/>
      <c r="I769" s="1223"/>
      <c r="J769" s="1223"/>
      <c r="K769" s="1223"/>
      <c r="L769" s="1223"/>
      <c r="M769" s="1223"/>
      <c r="N769" s="1223"/>
      <c r="O769" s="1223"/>
      <c r="P769" s="1223"/>
      <c r="Q769" s="1223"/>
      <c r="R769" s="1223"/>
      <c r="S769" s="1223"/>
      <c r="T769" s="1223"/>
      <c r="U769" s="1223"/>
    </row>
    <row r="770" spans="7:21" ht="15.6">
      <c r="G770" s="1224"/>
      <c r="H770" s="1223"/>
      <c r="I770" s="1223"/>
      <c r="J770" s="1223"/>
      <c r="K770" s="1223"/>
      <c r="L770" s="1223"/>
      <c r="M770" s="1223"/>
      <c r="N770" s="1223"/>
      <c r="O770" s="1223"/>
      <c r="P770" s="1223"/>
      <c r="Q770" s="1223"/>
      <c r="R770" s="1223"/>
      <c r="S770" s="1223"/>
      <c r="T770" s="1223"/>
      <c r="U770" s="1223"/>
    </row>
    <row r="771" spans="7:21" ht="15.6">
      <c r="G771" s="1224"/>
      <c r="H771" s="1223"/>
      <c r="I771" s="1223"/>
      <c r="J771" s="1223"/>
      <c r="K771" s="1223"/>
      <c r="L771" s="1223"/>
      <c r="M771" s="1223"/>
      <c r="N771" s="1223"/>
      <c r="O771" s="1223"/>
      <c r="P771" s="1223"/>
      <c r="Q771" s="1223"/>
      <c r="R771" s="1223"/>
      <c r="S771" s="1223"/>
      <c r="T771" s="1223"/>
      <c r="U771" s="1223"/>
    </row>
    <row r="772" spans="7:21" ht="15.6">
      <c r="G772" s="1224"/>
      <c r="H772" s="1223"/>
      <c r="I772" s="1223"/>
      <c r="J772" s="1223"/>
      <c r="K772" s="1223"/>
      <c r="L772" s="1223"/>
      <c r="M772" s="1223"/>
      <c r="N772" s="1223"/>
      <c r="O772" s="1223"/>
      <c r="P772" s="1223"/>
      <c r="Q772" s="1223"/>
      <c r="R772" s="1223"/>
      <c r="S772" s="1223"/>
      <c r="T772" s="1223"/>
      <c r="U772" s="1223"/>
    </row>
    <row r="773" spans="7:21" ht="15.6">
      <c r="G773" s="1224"/>
      <c r="H773" s="1223"/>
      <c r="I773" s="1223"/>
      <c r="J773" s="1223"/>
      <c r="K773" s="1223"/>
      <c r="L773" s="1223"/>
      <c r="M773" s="1223"/>
      <c r="N773" s="1223"/>
      <c r="O773" s="1223"/>
      <c r="P773" s="1223"/>
      <c r="Q773" s="1223"/>
      <c r="R773" s="1223"/>
      <c r="S773" s="1223"/>
      <c r="T773" s="1223"/>
      <c r="U773" s="1223"/>
    </row>
    <row r="774" spans="7:21" ht="15.6">
      <c r="G774" s="1224"/>
      <c r="H774" s="1223"/>
      <c r="I774" s="1223"/>
      <c r="J774" s="1223"/>
      <c r="K774" s="1223"/>
      <c r="L774" s="1223"/>
      <c r="M774" s="1223"/>
      <c r="N774" s="1223"/>
      <c r="O774" s="1223"/>
      <c r="P774" s="1223"/>
      <c r="Q774" s="1223"/>
      <c r="R774" s="1223"/>
      <c r="S774" s="1223"/>
      <c r="T774" s="1223"/>
      <c r="U774" s="1223"/>
    </row>
    <row r="775" spans="7:21" ht="15.6">
      <c r="G775" s="1224"/>
      <c r="H775" s="1223"/>
      <c r="I775" s="1223"/>
      <c r="J775" s="1223"/>
      <c r="K775" s="1223"/>
      <c r="L775" s="1223"/>
      <c r="M775" s="1223"/>
      <c r="N775" s="1223"/>
      <c r="O775" s="1223"/>
      <c r="P775" s="1223"/>
      <c r="Q775" s="1223"/>
      <c r="R775" s="1223"/>
      <c r="S775" s="1223"/>
      <c r="T775" s="1223"/>
      <c r="U775" s="1223"/>
    </row>
    <row r="776" spans="7:21" ht="15.6">
      <c r="G776" s="1224"/>
      <c r="H776" s="1223"/>
      <c r="I776" s="1223"/>
      <c r="J776" s="1223"/>
      <c r="K776" s="1223"/>
      <c r="L776" s="1223"/>
      <c r="M776" s="1223"/>
      <c r="N776" s="1223"/>
      <c r="O776" s="1223"/>
      <c r="P776" s="1223"/>
      <c r="Q776" s="1223"/>
      <c r="R776" s="1223"/>
      <c r="S776" s="1223"/>
      <c r="T776" s="1223"/>
      <c r="U776" s="1223"/>
    </row>
    <row r="777" spans="7:21" ht="15.6">
      <c r="G777" s="1224"/>
      <c r="H777" s="1223"/>
      <c r="I777" s="1223"/>
      <c r="J777" s="1223"/>
      <c r="K777" s="1223"/>
      <c r="L777" s="1223"/>
      <c r="M777" s="1223"/>
      <c r="N777" s="1223"/>
      <c r="O777" s="1223"/>
      <c r="P777" s="1223"/>
      <c r="Q777" s="1223"/>
      <c r="R777" s="1223"/>
      <c r="S777" s="1223"/>
      <c r="T777" s="1223"/>
      <c r="U777" s="1223"/>
    </row>
    <row r="778" spans="7:21" ht="15.6">
      <c r="G778" s="1224"/>
      <c r="H778" s="1223"/>
      <c r="I778" s="1223"/>
      <c r="J778" s="1223"/>
      <c r="K778" s="1223"/>
      <c r="L778" s="1223"/>
      <c r="M778" s="1223"/>
      <c r="N778" s="1223"/>
      <c r="O778" s="1223"/>
      <c r="P778" s="1223"/>
      <c r="Q778" s="1223"/>
      <c r="R778" s="1223"/>
      <c r="S778" s="1223"/>
      <c r="T778" s="1223"/>
      <c r="U778" s="1223"/>
    </row>
    <row r="779" spans="7:21" ht="15.6">
      <c r="G779" s="1224"/>
      <c r="H779" s="1223"/>
      <c r="I779" s="1223"/>
      <c r="J779" s="1223"/>
      <c r="K779" s="1223"/>
      <c r="L779" s="1223"/>
      <c r="M779" s="1223"/>
      <c r="N779" s="1223"/>
      <c r="O779" s="1223"/>
      <c r="P779" s="1223"/>
      <c r="Q779" s="1223"/>
      <c r="R779" s="1223"/>
      <c r="S779" s="1223"/>
      <c r="T779" s="1223"/>
      <c r="U779" s="1223"/>
    </row>
    <row r="780" spans="7:21" ht="15.6">
      <c r="G780" s="1224"/>
      <c r="H780" s="1223"/>
      <c r="I780" s="1223"/>
      <c r="J780" s="1223"/>
      <c r="K780" s="1223"/>
      <c r="L780" s="1223"/>
      <c r="M780" s="1223"/>
      <c r="N780" s="1223"/>
      <c r="O780" s="1223"/>
      <c r="P780" s="1223"/>
      <c r="Q780" s="1223"/>
      <c r="R780" s="1223"/>
      <c r="S780" s="1223"/>
      <c r="T780" s="1223"/>
      <c r="U780" s="1223"/>
    </row>
    <row r="781" spans="7:21" ht="15.6">
      <c r="G781" s="1224"/>
      <c r="H781" s="1223"/>
      <c r="I781" s="1223"/>
      <c r="J781" s="1223"/>
      <c r="K781" s="1223"/>
      <c r="L781" s="1223"/>
      <c r="M781" s="1223"/>
      <c r="N781" s="1223"/>
      <c r="O781" s="1223"/>
      <c r="P781" s="1223"/>
      <c r="Q781" s="1223"/>
      <c r="R781" s="1223"/>
      <c r="S781" s="1223"/>
      <c r="T781" s="1223"/>
      <c r="U781" s="1223"/>
    </row>
    <row r="782" spans="7:21" ht="15.6">
      <c r="G782" s="1224"/>
      <c r="H782" s="1223"/>
      <c r="I782" s="1223"/>
      <c r="J782" s="1223"/>
      <c r="K782" s="1223"/>
      <c r="L782" s="1223"/>
      <c r="M782" s="1223"/>
      <c r="N782" s="1223"/>
      <c r="O782" s="1223"/>
      <c r="P782" s="1223"/>
      <c r="Q782" s="1223"/>
      <c r="R782" s="1223"/>
      <c r="S782" s="1223"/>
      <c r="T782" s="1223"/>
      <c r="U782" s="1223"/>
    </row>
    <row r="783" spans="7:21" ht="15.6">
      <c r="G783" s="1224"/>
      <c r="H783" s="1223"/>
      <c r="I783" s="1223"/>
      <c r="J783" s="1223"/>
      <c r="K783" s="1223"/>
      <c r="L783" s="1223"/>
      <c r="M783" s="1223"/>
      <c r="N783" s="1223"/>
      <c r="O783" s="1223"/>
      <c r="P783" s="1223"/>
      <c r="Q783" s="1223"/>
      <c r="R783" s="1223"/>
      <c r="S783" s="1223"/>
      <c r="T783" s="1223"/>
      <c r="U783" s="1223"/>
    </row>
    <row r="784" spans="7:21" ht="15.6">
      <c r="G784" s="1224"/>
      <c r="H784" s="1223"/>
      <c r="I784" s="1223"/>
      <c r="J784" s="1223"/>
      <c r="K784" s="1223"/>
      <c r="L784" s="1223"/>
      <c r="M784" s="1223"/>
      <c r="N784" s="1223"/>
      <c r="O784" s="1223"/>
      <c r="P784" s="1223"/>
      <c r="Q784" s="1223"/>
      <c r="R784" s="1223"/>
      <c r="S784" s="1223"/>
      <c r="T784" s="1223"/>
      <c r="U784" s="1223"/>
    </row>
    <row r="785" spans="7:21" ht="15.6">
      <c r="G785" s="1224"/>
      <c r="H785" s="1223"/>
      <c r="I785" s="1223"/>
      <c r="J785" s="1223"/>
      <c r="K785" s="1223"/>
      <c r="L785" s="1223"/>
      <c r="M785" s="1223"/>
      <c r="N785" s="1223"/>
      <c r="O785" s="1223"/>
      <c r="P785" s="1223"/>
      <c r="Q785" s="1223"/>
      <c r="R785" s="1223"/>
      <c r="S785" s="1223"/>
      <c r="T785" s="1223"/>
      <c r="U785" s="1223"/>
    </row>
    <row r="786" spans="7:21" ht="15.6">
      <c r="G786" s="1224"/>
      <c r="H786" s="1223"/>
      <c r="I786" s="1223"/>
      <c r="J786" s="1223"/>
      <c r="K786" s="1223"/>
      <c r="L786" s="1223"/>
      <c r="M786" s="1223"/>
      <c r="N786" s="1223"/>
      <c r="O786" s="1223"/>
      <c r="P786" s="1223"/>
      <c r="Q786" s="1223"/>
      <c r="R786" s="1223"/>
      <c r="S786" s="1223"/>
      <c r="T786" s="1223"/>
      <c r="U786" s="1223"/>
    </row>
    <row r="787" spans="7:21" ht="15.6">
      <c r="G787" s="1224"/>
      <c r="H787" s="1223"/>
      <c r="I787" s="1223"/>
      <c r="J787" s="1223"/>
      <c r="K787" s="1223"/>
      <c r="L787" s="1223"/>
      <c r="M787" s="1223"/>
      <c r="N787" s="1223"/>
      <c r="O787" s="1223"/>
      <c r="P787" s="1223"/>
      <c r="Q787" s="1223"/>
      <c r="R787" s="1223"/>
      <c r="S787" s="1223"/>
      <c r="T787" s="1223"/>
      <c r="U787" s="1223"/>
    </row>
    <row r="788" spans="7:21" ht="15.6">
      <c r="G788" s="1224"/>
      <c r="H788" s="1223"/>
      <c r="I788" s="1223"/>
      <c r="J788" s="1223"/>
      <c r="K788" s="1223"/>
      <c r="L788" s="1223"/>
      <c r="M788" s="1223"/>
      <c r="N788" s="1223"/>
      <c r="O788" s="1223"/>
      <c r="P788" s="1223"/>
      <c r="Q788" s="1223"/>
      <c r="R788" s="1223"/>
      <c r="S788" s="1223"/>
      <c r="T788" s="1223"/>
      <c r="U788" s="1223"/>
    </row>
    <row r="789" spans="7:21" ht="15.6">
      <c r="G789" s="1224"/>
      <c r="H789" s="1223"/>
      <c r="I789" s="1223"/>
      <c r="J789" s="1223"/>
      <c r="K789" s="1223"/>
      <c r="L789" s="1223"/>
      <c r="M789" s="1223"/>
      <c r="N789" s="1223"/>
      <c r="O789" s="1223"/>
      <c r="P789" s="1223"/>
      <c r="Q789" s="1223"/>
      <c r="R789" s="1223"/>
      <c r="S789" s="1223"/>
      <c r="T789" s="1223"/>
      <c r="U789" s="1223"/>
    </row>
    <row r="790" spans="7:21" ht="15.6">
      <c r="G790" s="1224"/>
      <c r="H790" s="1223"/>
      <c r="I790" s="1223"/>
      <c r="J790" s="1223"/>
      <c r="K790" s="1223"/>
      <c r="L790" s="1223"/>
      <c r="M790" s="1223"/>
      <c r="N790" s="1223"/>
      <c r="O790" s="1223"/>
      <c r="P790" s="1223"/>
      <c r="Q790" s="1223"/>
      <c r="R790" s="1223"/>
      <c r="S790" s="1223"/>
      <c r="T790" s="1223"/>
      <c r="U790" s="1223"/>
    </row>
    <row r="791" spans="7:21" ht="15.6">
      <c r="G791" s="1224"/>
      <c r="H791" s="1223"/>
      <c r="I791" s="1223"/>
      <c r="J791" s="1223"/>
      <c r="K791" s="1223"/>
      <c r="L791" s="1223"/>
      <c r="M791" s="1223"/>
      <c r="N791" s="1223"/>
      <c r="O791" s="1223"/>
      <c r="P791" s="1223"/>
      <c r="Q791" s="1223"/>
      <c r="R791" s="1223"/>
      <c r="S791" s="1223"/>
      <c r="T791" s="1223"/>
      <c r="U791" s="1223"/>
    </row>
    <row r="792" spans="7:21" ht="15.6">
      <c r="G792" s="1224"/>
      <c r="H792" s="1223"/>
      <c r="I792" s="1223"/>
      <c r="J792" s="1223"/>
      <c r="K792" s="1223"/>
      <c r="L792" s="1223"/>
      <c r="M792" s="1223"/>
      <c r="N792" s="1223"/>
      <c r="O792" s="1223"/>
      <c r="P792" s="1223"/>
      <c r="Q792" s="1223"/>
      <c r="R792" s="1223"/>
      <c r="S792" s="1223"/>
      <c r="T792" s="1223"/>
      <c r="U792" s="1223"/>
    </row>
    <row r="793" spans="7:21" ht="15.6">
      <c r="G793" s="1224"/>
      <c r="H793" s="1223"/>
      <c r="I793" s="1223"/>
      <c r="J793" s="1223"/>
      <c r="K793" s="1223"/>
      <c r="L793" s="1223"/>
      <c r="M793" s="1223"/>
      <c r="N793" s="1223"/>
      <c r="O793" s="1223"/>
      <c r="P793" s="1223"/>
      <c r="Q793" s="1223"/>
      <c r="R793" s="1223"/>
      <c r="S793" s="1223"/>
      <c r="T793" s="1223"/>
      <c r="U793" s="1223"/>
    </row>
    <row r="794" spans="7:21" ht="15.6">
      <c r="G794" s="1224"/>
      <c r="H794" s="1223"/>
      <c r="I794" s="1223"/>
      <c r="J794" s="1223"/>
      <c r="K794" s="1223"/>
      <c r="L794" s="1223"/>
      <c r="M794" s="1223"/>
      <c r="N794" s="1223"/>
      <c r="O794" s="1223"/>
      <c r="P794" s="1223"/>
      <c r="Q794" s="1223"/>
      <c r="R794" s="1223"/>
      <c r="S794" s="1223"/>
      <c r="T794" s="1223"/>
      <c r="U794" s="1223"/>
    </row>
    <row r="795" spans="7:21" ht="15.6">
      <c r="G795" s="1224"/>
      <c r="H795" s="1223"/>
      <c r="I795" s="1223"/>
      <c r="J795" s="1223"/>
      <c r="K795" s="1223"/>
      <c r="L795" s="1223"/>
      <c r="M795" s="1223"/>
      <c r="N795" s="1223"/>
      <c r="O795" s="1223"/>
      <c r="P795" s="1223"/>
      <c r="Q795" s="1223"/>
      <c r="R795" s="1223"/>
      <c r="S795" s="1223"/>
      <c r="T795" s="1223"/>
      <c r="U795" s="1223"/>
    </row>
    <row r="796" spans="7:21" ht="15.6">
      <c r="G796" s="1224"/>
      <c r="H796" s="1223"/>
      <c r="I796" s="1223"/>
      <c r="J796" s="1223"/>
      <c r="K796" s="1223"/>
      <c r="L796" s="1223"/>
      <c r="M796" s="1223"/>
      <c r="N796" s="1223"/>
      <c r="O796" s="1223"/>
      <c r="P796" s="1223"/>
      <c r="Q796" s="1223"/>
      <c r="R796" s="1223"/>
      <c r="S796" s="1223"/>
      <c r="T796" s="1223"/>
      <c r="U796" s="1223"/>
    </row>
    <row r="797" spans="7:21" ht="15.6">
      <c r="G797" s="1224"/>
      <c r="H797" s="1223"/>
      <c r="I797" s="1223"/>
      <c r="J797" s="1223"/>
      <c r="K797" s="1223"/>
      <c r="L797" s="1223"/>
      <c r="M797" s="1223"/>
      <c r="N797" s="1223"/>
      <c r="O797" s="1223"/>
      <c r="P797" s="1223"/>
      <c r="Q797" s="1223"/>
      <c r="R797" s="1223"/>
      <c r="S797" s="1223"/>
      <c r="T797" s="1223"/>
      <c r="U797" s="1223"/>
    </row>
    <row r="798" spans="7:21" ht="15.6">
      <c r="G798" s="1224"/>
      <c r="H798" s="1223"/>
      <c r="I798" s="1223"/>
      <c r="J798" s="1223"/>
      <c r="K798" s="1223"/>
      <c r="L798" s="1223"/>
      <c r="M798" s="1223"/>
      <c r="N798" s="1223"/>
      <c r="O798" s="1223"/>
      <c r="P798" s="1223"/>
      <c r="Q798" s="1223"/>
      <c r="R798" s="1223"/>
      <c r="S798" s="1223"/>
      <c r="T798" s="1223"/>
      <c r="U798" s="1223"/>
    </row>
    <row r="799" spans="7:21" ht="15.6">
      <c r="G799" s="1224"/>
      <c r="H799" s="1223"/>
      <c r="I799" s="1223"/>
      <c r="J799" s="1223"/>
      <c r="K799" s="1223"/>
      <c r="L799" s="1223"/>
      <c r="M799" s="1223"/>
      <c r="N799" s="1223"/>
      <c r="O799" s="1223"/>
      <c r="P799" s="1223"/>
      <c r="Q799" s="1223"/>
      <c r="R799" s="1223"/>
      <c r="S799" s="1223"/>
      <c r="T799" s="1223"/>
      <c r="U799" s="1223"/>
    </row>
    <row r="800" spans="7:21" ht="15.6">
      <c r="G800" s="1224"/>
      <c r="H800" s="1223"/>
      <c r="I800" s="1223"/>
      <c r="J800" s="1223"/>
      <c r="K800" s="1223"/>
      <c r="L800" s="1223"/>
      <c r="M800" s="1223"/>
      <c r="N800" s="1223"/>
      <c r="O800" s="1223"/>
      <c r="P800" s="1223"/>
      <c r="Q800" s="1223"/>
      <c r="R800" s="1223"/>
      <c r="S800" s="1223"/>
      <c r="T800" s="1223"/>
      <c r="U800" s="1223"/>
    </row>
    <row r="801" spans="7:21" ht="15.6">
      <c r="G801" s="1224"/>
      <c r="H801" s="1223"/>
      <c r="I801" s="1223"/>
      <c r="J801" s="1223"/>
      <c r="K801" s="1223"/>
      <c r="L801" s="1223"/>
      <c r="M801" s="1223"/>
      <c r="N801" s="1223"/>
      <c r="O801" s="1223"/>
      <c r="P801" s="1223"/>
      <c r="Q801" s="1223"/>
      <c r="R801" s="1223"/>
      <c r="S801" s="1223"/>
      <c r="T801" s="1223"/>
      <c r="U801" s="1223"/>
    </row>
    <row r="802" spans="7:21" ht="15.6">
      <c r="G802" s="1224"/>
      <c r="H802" s="1223"/>
      <c r="I802" s="1223"/>
      <c r="J802" s="1223"/>
      <c r="K802" s="1223"/>
      <c r="L802" s="1223"/>
      <c r="M802" s="1223"/>
      <c r="N802" s="1223"/>
      <c r="O802" s="1223"/>
      <c r="P802" s="1223"/>
      <c r="Q802" s="1223"/>
      <c r="R802" s="1223"/>
      <c r="S802" s="1223"/>
      <c r="T802" s="1223"/>
      <c r="U802" s="1223"/>
    </row>
    <row r="803" spans="7:21" ht="15.6">
      <c r="G803" s="1224"/>
      <c r="H803" s="1223"/>
      <c r="I803" s="1223"/>
      <c r="J803" s="1223"/>
      <c r="K803" s="1223"/>
      <c r="L803" s="1223"/>
      <c r="M803" s="1223"/>
      <c r="N803" s="1223"/>
      <c r="O803" s="1223"/>
      <c r="P803" s="1223"/>
      <c r="Q803" s="1223"/>
      <c r="R803" s="1223"/>
      <c r="S803" s="1223"/>
      <c r="T803" s="1223"/>
      <c r="U803" s="1223"/>
    </row>
    <row r="804" spans="7:21" ht="15.6">
      <c r="G804" s="1224"/>
      <c r="H804" s="1223"/>
      <c r="I804" s="1223"/>
      <c r="J804" s="1223"/>
      <c r="K804" s="1223"/>
      <c r="L804" s="1223"/>
      <c r="M804" s="1223"/>
      <c r="N804" s="1223"/>
      <c r="O804" s="1223"/>
      <c r="P804" s="1223"/>
      <c r="Q804" s="1223"/>
      <c r="R804" s="1223"/>
      <c r="S804" s="1223"/>
      <c r="T804" s="1223"/>
      <c r="U804" s="1223"/>
    </row>
    <row r="805" spans="7:21" ht="15.6">
      <c r="G805" s="1224"/>
      <c r="H805" s="1223"/>
      <c r="I805" s="1223"/>
      <c r="J805" s="1223"/>
      <c r="K805" s="1223"/>
      <c r="L805" s="1223"/>
      <c r="M805" s="1223"/>
      <c r="N805" s="1223"/>
      <c r="O805" s="1223"/>
      <c r="P805" s="1223"/>
      <c r="Q805" s="1223"/>
      <c r="R805" s="1223"/>
      <c r="S805" s="1223"/>
      <c r="T805" s="1223"/>
      <c r="U805" s="1223"/>
    </row>
    <row r="806" spans="7:21" ht="15.6">
      <c r="G806" s="1224"/>
      <c r="H806" s="1223"/>
      <c r="I806" s="1223"/>
      <c r="J806" s="1223"/>
      <c r="K806" s="1223"/>
      <c r="L806" s="1223"/>
      <c r="M806" s="1223"/>
      <c r="N806" s="1223"/>
      <c r="O806" s="1223"/>
      <c r="P806" s="1223"/>
      <c r="Q806" s="1223"/>
      <c r="R806" s="1223"/>
      <c r="S806" s="1223"/>
      <c r="T806" s="1223"/>
      <c r="U806" s="1223"/>
    </row>
    <row r="807" spans="7:21" ht="15.6">
      <c r="G807" s="1224"/>
      <c r="H807" s="1223"/>
      <c r="I807" s="1223"/>
      <c r="J807" s="1223"/>
      <c r="K807" s="1223"/>
      <c r="L807" s="1223"/>
      <c r="M807" s="1223"/>
      <c r="N807" s="1223"/>
      <c r="O807" s="1223"/>
      <c r="P807" s="1223"/>
      <c r="Q807" s="1223"/>
      <c r="R807" s="1223"/>
      <c r="S807" s="1223"/>
      <c r="T807" s="1223"/>
      <c r="U807" s="1223"/>
    </row>
    <row r="808" spans="7:21" ht="15.6">
      <c r="G808" s="1224"/>
      <c r="H808" s="1223"/>
      <c r="I808" s="1223"/>
      <c r="J808" s="1223"/>
      <c r="K808" s="1223"/>
      <c r="L808" s="1223"/>
      <c r="M808" s="1223"/>
      <c r="N808" s="1223"/>
      <c r="O808" s="1223"/>
      <c r="P808" s="1223"/>
      <c r="Q808" s="1223"/>
      <c r="R808" s="1223"/>
      <c r="S808" s="1223"/>
      <c r="T808" s="1223"/>
      <c r="U808" s="1223"/>
    </row>
    <row r="809" spans="7:21" ht="15.6">
      <c r="G809" s="1224"/>
      <c r="H809" s="1223"/>
      <c r="I809" s="1223"/>
      <c r="J809" s="1223"/>
      <c r="K809" s="1223"/>
      <c r="L809" s="1223"/>
      <c r="M809" s="1223"/>
      <c r="N809" s="1223"/>
      <c r="O809" s="1223"/>
      <c r="P809" s="1223"/>
      <c r="Q809" s="1223"/>
      <c r="R809" s="1223"/>
      <c r="S809" s="1223"/>
      <c r="T809" s="1223"/>
      <c r="U809" s="1223"/>
    </row>
    <row r="810" spans="7:21" ht="15.6">
      <c r="G810" s="1224"/>
      <c r="H810" s="1223"/>
      <c r="I810" s="1223"/>
      <c r="J810" s="1223"/>
      <c r="K810" s="1223"/>
      <c r="L810" s="1223"/>
      <c r="M810" s="1223"/>
      <c r="N810" s="1223"/>
      <c r="O810" s="1223"/>
      <c r="P810" s="1223"/>
      <c r="Q810" s="1223"/>
      <c r="R810" s="1223"/>
      <c r="S810" s="1223"/>
      <c r="T810" s="1223"/>
      <c r="U810" s="1223"/>
    </row>
    <row r="811" spans="7:21" ht="15.6">
      <c r="G811" s="1224"/>
      <c r="H811" s="1223"/>
      <c r="I811" s="1223"/>
      <c r="J811" s="1223"/>
      <c r="K811" s="1223"/>
      <c r="L811" s="1223"/>
      <c r="M811" s="1223"/>
      <c r="N811" s="1223"/>
      <c r="O811" s="1223"/>
      <c r="P811" s="1223"/>
      <c r="Q811" s="1223"/>
      <c r="R811" s="1223"/>
      <c r="S811" s="1223"/>
      <c r="T811" s="1223"/>
      <c r="U811" s="1223"/>
    </row>
    <row r="812" spans="7:21" ht="15.6">
      <c r="G812" s="1224"/>
      <c r="H812" s="1223"/>
      <c r="I812" s="1223"/>
      <c r="J812" s="1223"/>
      <c r="K812" s="1223"/>
      <c r="L812" s="1223"/>
      <c r="M812" s="1223"/>
      <c r="N812" s="1223"/>
      <c r="O812" s="1223"/>
      <c r="P812" s="1223"/>
      <c r="Q812" s="1223"/>
      <c r="R812" s="1223"/>
      <c r="S812" s="1223"/>
      <c r="T812" s="1223"/>
      <c r="U812" s="1223"/>
    </row>
    <row r="813" spans="7:21" ht="15.6">
      <c r="G813" s="1224"/>
      <c r="H813" s="1223"/>
      <c r="I813" s="1223"/>
      <c r="J813" s="1223"/>
      <c r="K813" s="1223"/>
      <c r="L813" s="1223"/>
      <c r="M813" s="1223"/>
      <c r="N813" s="1223"/>
      <c r="O813" s="1223"/>
      <c r="P813" s="1223"/>
      <c r="Q813" s="1223"/>
      <c r="R813" s="1223"/>
      <c r="S813" s="1223"/>
      <c r="T813" s="1223"/>
      <c r="U813" s="1223"/>
    </row>
    <row r="814" spans="7:21" ht="15.6">
      <c r="G814" s="1224"/>
      <c r="H814" s="1223"/>
      <c r="I814" s="1223"/>
      <c r="J814" s="1223"/>
      <c r="K814" s="1223"/>
      <c r="L814" s="1223"/>
      <c r="M814" s="1223"/>
      <c r="N814" s="1223"/>
      <c r="O814" s="1223"/>
      <c r="P814" s="1223"/>
      <c r="Q814" s="1223"/>
      <c r="R814" s="1223"/>
      <c r="S814" s="1223"/>
      <c r="T814" s="1223"/>
      <c r="U814" s="1223"/>
    </row>
    <row r="815" spans="7:21" ht="15.6">
      <c r="G815" s="1224"/>
      <c r="H815" s="1223"/>
      <c r="I815" s="1223"/>
      <c r="J815" s="1223"/>
      <c r="K815" s="1223"/>
      <c r="L815" s="1223"/>
      <c r="M815" s="1223"/>
      <c r="N815" s="1223"/>
      <c r="O815" s="1223"/>
      <c r="P815" s="1223"/>
      <c r="Q815" s="1223"/>
      <c r="R815" s="1223"/>
      <c r="S815" s="1223"/>
      <c r="T815" s="1223"/>
      <c r="U815" s="1223"/>
    </row>
    <row r="816" spans="7:21" ht="15.6">
      <c r="G816" s="1224"/>
      <c r="H816" s="1223"/>
      <c r="I816" s="1223"/>
      <c r="J816" s="1223"/>
      <c r="K816" s="1223"/>
      <c r="L816" s="1223"/>
      <c r="M816" s="1223"/>
      <c r="N816" s="1223"/>
      <c r="O816" s="1223"/>
      <c r="P816" s="1223"/>
      <c r="Q816" s="1223"/>
      <c r="R816" s="1223"/>
      <c r="S816" s="1223"/>
      <c r="T816" s="1223"/>
      <c r="U816" s="1223"/>
    </row>
    <row r="817" spans="7:21" ht="15.6">
      <c r="G817" s="1224"/>
      <c r="H817" s="1223"/>
      <c r="I817" s="1223"/>
      <c r="J817" s="1223"/>
      <c r="K817" s="1223"/>
      <c r="L817" s="1223"/>
      <c r="M817" s="1223"/>
      <c r="N817" s="1223"/>
      <c r="O817" s="1223"/>
      <c r="P817" s="1223"/>
      <c r="Q817" s="1223"/>
      <c r="R817" s="1223"/>
      <c r="S817" s="1223"/>
      <c r="T817" s="1223"/>
      <c r="U817" s="1223"/>
    </row>
    <row r="818" spans="7:21" ht="15.6">
      <c r="G818" s="1224"/>
      <c r="H818" s="1223"/>
      <c r="I818" s="1223"/>
      <c r="J818" s="1223"/>
      <c r="K818" s="1223"/>
      <c r="L818" s="1223"/>
      <c r="M818" s="1223"/>
      <c r="N818" s="1223"/>
      <c r="O818" s="1223"/>
      <c r="P818" s="1223"/>
      <c r="Q818" s="1223"/>
      <c r="R818" s="1223"/>
      <c r="S818" s="1223"/>
      <c r="T818" s="1223"/>
      <c r="U818" s="1223"/>
    </row>
    <row r="819" spans="7:21" ht="15.6">
      <c r="G819" s="1224"/>
      <c r="H819" s="1223"/>
      <c r="I819" s="1223"/>
      <c r="J819" s="1223"/>
      <c r="K819" s="1223"/>
      <c r="L819" s="1223"/>
      <c r="M819" s="1223"/>
      <c r="N819" s="1223"/>
      <c r="O819" s="1223"/>
      <c r="P819" s="1223"/>
      <c r="Q819" s="1223"/>
      <c r="R819" s="1223"/>
      <c r="S819" s="1223"/>
      <c r="T819" s="1223"/>
      <c r="U819" s="1223"/>
    </row>
    <row r="820" spans="7:21" ht="15.6">
      <c r="G820" s="1224"/>
      <c r="H820" s="1223"/>
      <c r="I820" s="1223"/>
      <c r="J820" s="1223"/>
      <c r="K820" s="1223"/>
      <c r="L820" s="1223"/>
      <c r="M820" s="1223"/>
      <c r="N820" s="1223"/>
      <c r="O820" s="1223"/>
      <c r="P820" s="1223"/>
      <c r="Q820" s="1223"/>
      <c r="R820" s="1223"/>
      <c r="S820" s="1223"/>
      <c r="T820" s="1223"/>
      <c r="U820" s="1223"/>
    </row>
    <row r="821" spans="7:21" ht="15.6">
      <c r="G821" s="1224"/>
      <c r="H821" s="1223"/>
      <c r="I821" s="1223"/>
      <c r="J821" s="1223"/>
      <c r="K821" s="1223"/>
      <c r="L821" s="1223"/>
      <c r="M821" s="1223"/>
      <c r="N821" s="1223"/>
      <c r="O821" s="1223"/>
      <c r="P821" s="1223"/>
      <c r="Q821" s="1223"/>
      <c r="R821" s="1223"/>
      <c r="S821" s="1223"/>
      <c r="T821" s="1223"/>
      <c r="U821" s="1223"/>
    </row>
    <row r="822" spans="7:21" ht="15.6">
      <c r="G822" s="1224"/>
      <c r="H822" s="1223"/>
      <c r="I822" s="1223"/>
      <c r="J822" s="1223"/>
      <c r="K822" s="1223"/>
      <c r="L822" s="1223"/>
      <c r="M822" s="1223"/>
      <c r="N822" s="1223"/>
      <c r="O822" s="1223"/>
      <c r="P822" s="1223"/>
      <c r="Q822" s="1223"/>
      <c r="R822" s="1223"/>
      <c r="S822" s="1223"/>
      <c r="T822" s="1223"/>
      <c r="U822" s="1223"/>
    </row>
    <row r="823" spans="7:21" ht="15.6">
      <c r="G823" s="1224"/>
      <c r="H823" s="1223"/>
      <c r="I823" s="1223"/>
      <c r="J823" s="1223"/>
      <c r="K823" s="1223"/>
      <c r="L823" s="1223"/>
      <c r="M823" s="1223"/>
      <c r="N823" s="1223"/>
      <c r="O823" s="1223"/>
      <c r="P823" s="1223"/>
      <c r="Q823" s="1223"/>
      <c r="R823" s="1223"/>
      <c r="S823" s="1223"/>
      <c r="T823" s="1223"/>
      <c r="U823" s="1223"/>
    </row>
    <row r="824" spans="7:21" ht="15.6">
      <c r="G824" s="1224"/>
      <c r="H824" s="1223"/>
      <c r="I824" s="1223"/>
      <c r="J824" s="1223"/>
      <c r="K824" s="1223"/>
      <c r="L824" s="1223"/>
      <c r="M824" s="1223"/>
      <c r="N824" s="1223"/>
      <c r="O824" s="1223"/>
      <c r="P824" s="1223"/>
      <c r="Q824" s="1223"/>
      <c r="R824" s="1223"/>
      <c r="S824" s="1223"/>
      <c r="T824" s="1223"/>
      <c r="U824" s="1223"/>
    </row>
    <row r="825" spans="7:21" ht="15.6">
      <c r="G825" s="1224"/>
      <c r="H825" s="1223"/>
      <c r="I825" s="1223"/>
      <c r="J825" s="1223"/>
      <c r="K825" s="1223"/>
      <c r="L825" s="1223"/>
      <c r="M825" s="1223"/>
      <c r="N825" s="1223"/>
      <c r="O825" s="1223"/>
      <c r="P825" s="1223"/>
      <c r="Q825" s="1223"/>
      <c r="R825" s="1223"/>
      <c r="S825" s="1223"/>
      <c r="T825" s="1223"/>
      <c r="U825" s="1223"/>
    </row>
    <row r="826" spans="7:21" ht="15.6">
      <c r="G826" s="1224"/>
      <c r="H826" s="1223"/>
      <c r="I826" s="1223"/>
      <c r="J826" s="1223"/>
      <c r="K826" s="1223"/>
      <c r="L826" s="1223"/>
      <c r="M826" s="1223"/>
      <c r="N826" s="1223"/>
      <c r="O826" s="1223"/>
      <c r="P826" s="1223"/>
      <c r="Q826" s="1223"/>
      <c r="R826" s="1223"/>
      <c r="S826" s="1223"/>
      <c r="T826" s="1223"/>
      <c r="U826" s="1223"/>
    </row>
    <row r="827" spans="7:21" ht="15.6">
      <c r="G827" s="1224"/>
      <c r="H827" s="1223"/>
      <c r="I827" s="1223"/>
      <c r="J827" s="1223"/>
      <c r="K827" s="1223"/>
      <c r="L827" s="1223"/>
      <c r="M827" s="1223"/>
      <c r="N827" s="1223"/>
      <c r="O827" s="1223"/>
      <c r="P827" s="1223"/>
      <c r="Q827" s="1223"/>
      <c r="R827" s="1223"/>
      <c r="S827" s="1223"/>
      <c r="T827" s="1223"/>
      <c r="U827" s="1223"/>
    </row>
    <row r="828" spans="7:21" ht="15.6">
      <c r="G828" s="1224"/>
      <c r="H828" s="1223"/>
      <c r="I828" s="1223"/>
      <c r="J828" s="1223"/>
      <c r="K828" s="1223"/>
      <c r="L828" s="1223"/>
      <c r="M828" s="1223"/>
      <c r="N828" s="1223"/>
      <c r="O828" s="1223"/>
      <c r="P828" s="1223"/>
      <c r="Q828" s="1223"/>
      <c r="R828" s="1223"/>
      <c r="S828" s="1223"/>
      <c r="T828" s="1223"/>
      <c r="U828" s="1223"/>
    </row>
    <row r="829" spans="7:21" ht="15.6">
      <c r="G829" s="1224"/>
      <c r="H829" s="1223"/>
      <c r="I829" s="1223"/>
      <c r="J829" s="1223"/>
      <c r="K829" s="1223"/>
      <c r="L829" s="1223"/>
      <c r="M829" s="1223"/>
      <c r="N829" s="1223"/>
      <c r="O829" s="1223"/>
      <c r="P829" s="1223"/>
      <c r="Q829" s="1223"/>
      <c r="R829" s="1223"/>
      <c r="S829" s="1223"/>
      <c r="T829" s="1223"/>
      <c r="U829" s="1223"/>
    </row>
    <row r="830" spans="7:21" ht="15.6">
      <c r="G830" s="1224"/>
      <c r="H830" s="1223"/>
      <c r="I830" s="1223"/>
      <c r="J830" s="1223"/>
      <c r="K830" s="1223"/>
      <c r="L830" s="1223"/>
      <c r="M830" s="1223"/>
      <c r="N830" s="1223"/>
      <c r="O830" s="1223"/>
      <c r="P830" s="1223"/>
      <c r="Q830" s="1223"/>
      <c r="R830" s="1223"/>
      <c r="S830" s="1223"/>
      <c r="T830" s="1223"/>
      <c r="U830" s="1223"/>
    </row>
    <row r="831" spans="7:21" ht="15.6">
      <c r="G831" s="1224"/>
      <c r="H831" s="1223"/>
      <c r="I831" s="1223"/>
      <c r="J831" s="1223"/>
      <c r="K831" s="1223"/>
      <c r="L831" s="1223"/>
      <c r="M831" s="1223"/>
      <c r="N831" s="1223"/>
      <c r="O831" s="1223"/>
      <c r="P831" s="1223"/>
      <c r="Q831" s="1223"/>
      <c r="R831" s="1223"/>
      <c r="S831" s="1223"/>
      <c r="T831" s="1223"/>
      <c r="U831" s="1223"/>
    </row>
    <row r="832" spans="7:21" ht="15.6">
      <c r="G832" s="1224"/>
      <c r="H832" s="1223"/>
      <c r="I832" s="1223"/>
      <c r="J832" s="1223"/>
      <c r="K832" s="1223"/>
      <c r="L832" s="1223"/>
      <c r="M832" s="1223"/>
      <c r="N832" s="1223"/>
      <c r="O832" s="1223"/>
      <c r="P832" s="1223"/>
      <c r="Q832" s="1223"/>
      <c r="R832" s="1223"/>
      <c r="S832" s="1223"/>
      <c r="T832" s="1223"/>
      <c r="U832" s="1223"/>
    </row>
    <row r="833" spans="7:21" ht="15.6">
      <c r="G833" s="1224"/>
      <c r="H833" s="1223"/>
      <c r="I833" s="1223"/>
      <c r="J833" s="1223"/>
      <c r="K833" s="1223"/>
      <c r="L833" s="1223"/>
      <c r="M833" s="1223"/>
      <c r="N833" s="1223"/>
      <c r="O833" s="1223"/>
      <c r="P833" s="1223"/>
      <c r="Q833" s="1223"/>
      <c r="R833" s="1223"/>
      <c r="S833" s="1223"/>
      <c r="T833" s="1223"/>
      <c r="U833" s="1223"/>
    </row>
    <row r="834" spans="7:21" ht="15.6">
      <c r="G834" s="1224"/>
      <c r="H834" s="1223"/>
      <c r="I834" s="1223"/>
      <c r="J834" s="1223"/>
      <c r="K834" s="1223"/>
      <c r="L834" s="1223"/>
      <c r="M834" s="1223"/>
      <c r="N834" s="1223"/>
      <c r="O834" s="1223"/>
      <c r="P834" s="1223"/>
      <c r="Q834" s="1223"/>
      <c r="R834" s="1223"/>
      <c r="S834" s="1223"/>
      <c r="T834" s="1223"/>
      <c r="U834" s="1223"/>
    </row>
    <row r="835" spans="7:21" ht="15.6">
      <c r="G835" s="1224"/>
      <c r="H835" s="1223"/>
      <c r="I835" s="1223"/>
      <c r="J835" s="1223"/>
      <c r="K835" s="1223"/>
      <c r="L835" s="1223"/>
      <c r="M835" s="1223"/>
      <c r="N835" s="1223"/>
      <c r="O835" s="1223"/>
      <c r="P835" s="1223"/>
      <c r="Q835" s="1223"/>
      <c r="R835" s="1223"/>
      <c r="S835" s="1223"/>
      <c r="T835" s="1223"/>
      <c r="U835" s="1223"/>
    </row>
    <row r="836" spans="7:21" ht="15.6">
      <c r="G836" s="1224"/>
      <c r="H836" s="1223"/>
      <c r="I836" s="1223"/>
      <c r="J836" s="1223"/>
      <c r="K836" s="1223"/>
      <c r="L836" s="1223"/>
      <c r="M836" s="1223"/>
      <c r="N836" s="1223"/>
      <c r="O836" s="1223"/>
      <c r="P836" s="1223"/>
      <c r="Q836" s="1223"/>
      <c r="R836" s="1223"/>
      <c r="S836" s="1223"/>
      <c r="T836" s="1223"/>
      <c r="U836" s="1223"/>
    </row>
    <row r="837" spans="7:21" ht="15.6">
      <c r="G837" s="1224"/>
      <c r="H837" s="1223"/>
      <c r="I837" s="1223"/>
      <c r="J837" s="1223"/>
      <c r="K837" s="1223"/>
      <c r="L837" s="1223"/>
      <c r="M837" s="1223"/>
      <c r="N837" s="1223"/>
      <c r="O837" s="1223"/>
      <c r="P837" s="1223"/>
      <c r="Q837" s="1223"/>
      <c r="R837" s="1223"/>
      <c r="S837" s="1223"/>
      <c r="T837" s="1223"/>
      <c r="U837" s="1223"/>
    </row>
    <row r="838" spans="7:21" ht="15.6">
      <c r="G838" s="1224"/>
      <c r="H838" s="1223"/>
      <c r="I838" s="1223"/>
      <c r="J838" s="1223"/>
      <c r="K838" s="1223"/>
      <c r="L838" s="1223"/>
      <c r="M838" s="1223"/>
      <c r="N838" s="1223"/>
      <c r="O838" s="1223"/>
      <c r="P838" s="1223"/>
      <c r="Q838" s="1223"/>
      <c r="R838" s="1223"/>
      <c r="S838" s="1223"/>
      <c r="T838" s="1223"/>
      <c r="U838" s="1223"/>
    </row>
    <row r="839" spans="7:21" ht="15.6">
      <c r="G839" s="1224"/>
      <c r="H839" s="1223"/>
      <c r="I839" s="1223"/>
      <c r="J839" s="1223"/>
      <c r="K839" s="1223"/>
      <c r="L839" s="1223"/>
      <c r="M839" s="1223"/>
      <c r="N839" s="1223"/>
      <c r="O839" s="1223"/>
      <c r="P839" s="1223"/>
      <c r="Q839" s="1223"/>
      <c r="R839" s="1223"/>
      <c r="S839" s="1223"/>
      <c r="T839" s="1223"/>
      <c r="U839" s="1223"/>
    </row>
    <row r="840" spans="7:21" ht="15.6">
      <c r="G840" s="1224"/>
      <c r="H840" s="1223"/>
      <c r="I840" s="1223"/>
      <c r="J840" s="1223"/>
      <c r="K840" s="1223"/>
      <c r="L840" s="1223"/>
      <c r="M840" s="1223"/>
      <c r="N840" s="1223"/>
      <c r="O840" s="1223"/>
      <c r="P840" s="1223"/>
      <c r="Q840" s="1223"/>
      <c r="R840" s="1223"/>
      <c r="S840" s="1223"/>
      <c r="T840" s="1223"/>
      <c r="U840" s="1223"/>
    </row>
    <row r="841" spans="7:21" ht="15.6">
      <c r="G841" s="1224"/>
      <c r="H841" s="1223"/>
      <c r="I841" s="1223"/>
      <c r="J841" s="1223"/>
      <c r="K841" s="1223"/>
      <c r="L841" s="1223"/>
      <c r="M841" s="1223"/>
      <c r="N841" s="1223"/>
      <c r="O841" s="1223"/>
      <c r="P841" s="1223"/>
      <c r="Q841" s="1223"/>
      <c r="R841" s="1223"/>
      <c r="S841" s="1223"/>
      <c r="T841" s="1223"/>
      <c r="U841" s="1223"/>
    </row>
    <row r="842" spans="7:21" ht="15.6">
      <c r="G842" s="1224"/>
      <c r="H842" s="1223"/>
      <c r="I842" s="1223"/>
      <c r="J842" s="1223"/>
      <c r="K842" s="1223"/>
      <c r="L842" s="1223"/>
      <c r="M842" s="1223"/>
      <c r="N842" s="1223"/>
      <c r="O842" s="1223"/>
      <c r="P842" s="1223"/>
      <c r="Q842" s="1223"/>
      <c r="R842" s="1223"/>
      <c r="S842" s="1223"/>
      <c r="T842" s="1223"/>
      <c r="U842" s="1223"/>
    </row>
    <row r="843" spans="7:21" ht="15.6">
      <c r="G843" s="1224"/>
      <c r="H843" s="1223"/>
      <c r="I843" s="1223"/>
      <c r="J843" s="1223"/>
      <c r="K843" s="1223"/>
      <c r="L843" s="1223"/>
      <c r="M843" s="1223"/>
      <c r="N843" s="1223"/>
      <c r="O843" s="1223"/>
      <c r="P843" s="1223"/>
      <c r="Q843" s="1223"/>
      <c r="R843" s="1223"/>
      <c r="S843" s="1223"/>
      <c r="T843" s="1223"/>
      <c r="U843" s="1223"/>
    </row>
    <row r="844" spans="7:21" ht="15.6">
      <c r="G844" s="1224"/>
      <c r="H844" s="1223"/>
      <c r="I844" s="1223"/>
      <c r="J844" s="1223"/>
      <c r="K844" s="1223"/>
      <c r="L844" s="1223"/>
      <c r="M844" s="1223"/>
      <c r="N844" s="1223"/>
      <c r="O844" s="1223"/>
      <c r="P844" s="1223"/>
      <c r="Q844" s="1223"/>
      <c r="R844" s="1223"/>
      <c r="S844" s="1223"/>
      <c r="T844" s="1223"/>
      <c r="U844" s="1223"/>
    </row>
    <row r="845" spans="7:21" ht="15.6">
      <c r="G845" s="1224"/>
      <c r="H845" s="1223"/>
      <c r="I845" s="1223"/>
      <c r="J845" s="1223"/>
      <c r="K845" s="1223"/>
      <c r="L845" s="1223"/>
      <c r="M845" s="1223"/>
      <c r="N845" s="1223"/>
      <c r="O845" s="1223"/>
      <c r="P845" s="1223"/>
      <c r="Q845" s="1223"/>
      <c r="R845" s="1223"/>
      <c r="S845" s="1223"/>
      <c r="T845" s="1223"/>
      <c r="U845" s="1223"/>
    </row>
    <row r="846" spans="7:21" ht="15.6">
      <c r="G846" s="1224"/>
      <c r="H846" s="1223"/>
      <c r="I846" s="1223"/>
      <c r="J846" s="1223"/>
      <c r="K846" s="1223"/>
      <c r="L846" s="1223"/>
      <c r="M846" s="1223"/>
      <c r="N846" s="1223"/>
      <c r="O846" s="1223"/>
      <c r="P846" s="1223"/>
      <c r="Q846" s="1223"/>
      <c r="R846" s="1223"/>
      <c r="S846" s="1223"/>
      <c r="T846" s="1223"/>
      <c r="U846" s="1223"/>
    </row>
    <row r="847" spans="7:21" ht="15.6">
      <c r="G847" s="1224"/>
      <c r="H847" s="1223"/>
      <c r="I847" s="1223"/>
      <c r="J847" s="1223"/>
      <c r="K847" s="1223"/>
      <c r="L847" s="1223"/>
      <c r="M847" s="1223"/>
      <c r="N847" s="1223"/>
      <c r="O847" s="1223"/>
      <c r="P847" s="1223"/>
      <c r="Q847" s="1223"/>
      <c r="R847" s="1223"/>
      <c r="S847" s="1223"/>
      <c r="T847" s="1223"/>
      <c r="U847" s="1223"/>
    </row>
    <row r="848" spans="7:21" ht="15.6">
      <c r="G848" s="1224"/>
      <c r="H848" s="1223"/>
      <c r="I848" s="1223"/>
      <c r="J848" s="1223"/>
      <c r="K848" s="1223"/>
      <c r="L848" s="1223"/>
      <c r="M848" s="1223"/>
      <c r="N848" s="1223"/>
      <c r="O848" s="1223"/>
      <c r="P848" s="1223"/>
      <c r="Q848" s="1223"/>
      <c r="R848" s="1223"/>
      <c r="S848" s="1223"/>
      <c r="T848" s="1223"/>
      <c r="U848" s="1223"/>
    </row>
    <row r="849" spans="7:21" ht="15.6">
      <c r="G849" s="1224"/>
      <c r="H849" s="1223"/>
      <c r="I849" s="1223"/>
      <c r="J849" s="1223"/>
      <c r="K849" s="1223"/>
      <c r="L849" s="1223"/>
      <c r="M849" s="1223"/>
      <c r="N849" s="1223"/>
      <c r="O849" s="1223"/>
      <c r="P849" s="1223"/>
      <c r="Q849" s="1223"/>
      <c r="R849" s="1223"/>
      <c r="S849" s="1223"/>
      <c r="T849" s="1223"/>
      <c r="U849" s="1223"/>
    </row>
    <row r="850" spans="7:21" ht="15.6">
      <c r="G850" s="1224"/>
      <c r="H850" s="1223"/>
      <c r="I850" s="1223"/>
      <c r="J850" s="1223"/>
      <c r="K850" s="1223"/>
      <c r="L850" s="1223"/>
      <c r="M850" s="1223"/>
      <c r="N850" s="1223"/>
      <c r="O850" s="1223"/>
      <c r="P850" s="1223"/>
      <c r="Q850" s="1223"/>
      <c r="R850" s="1223"/>
      <c r="S850" s="1223"/>
      <c r="T850" s="1223"/>
      <c r="U850" s="1223"/>
    </row>
    <row r="851" spans="7:21" ht="15.6">
      <c r="G851" s="1224"/>
      <c r="H851" s="1223"/>
      <c r="I851" s="1223"/>
      <c r="J851" s="1223"/>
      <c r="K851" s="1223"/>
      <c r="L851" s="1223"/>
      <c r="M851" s="1223"/>
      <c r="N851" s="1223"/>
      <c r="O851" s="1223"/>
      <c r="P851" s="1223"/>
      <c r="Q851" s="1223"/>
      <c r="R851" s="1223"/>
      <c r="S851" s="1223"/>
      <c r="T851" s="1223"/>
      <c r="U851" s="1223"/>
    </row>
    <row r="852" spans="7:21" ht="15.6">
      <c r="G852" s="1224"/>
      <c r="H852" s="1223"/>
      <c r="I852" s="1223"/>
      <c r="J852" s="1223"/>
      <c r="K852" s="1223"/>
      <c r="L852" s="1223"/>
      <c r="M852" s="1223"/>
      <c r="N852" s="1223"/>
      <c r="O852" s="1223"/>
      <c r="P852" s="1223"/>
      <c r="Q852" s="1223"/>
      <c r="R852" s="1223"/>
      <c r="S852" s="1223"/>
      <c r="T852" s="1223"/>
      <c r="U852" s="1223"/>
    </row>
    <row r="853" spans="7:21" ht="15.6">
      <c r="G853" s="1224"/>
      <c r="H853" s="1223"/>
      <c r="I853" s="1223"/>
      <c r="J853" s="1223"/>
      <c r="K853" s="1223"/>
      <c r="L853" s="1223"/>
      <c r="M853" s="1223"/>
      <c r="N853" s="1223"/>
      <c r="O853" s="1223"/>
      <c r="P853" s="1223"/>
      <c r="Q853" s="1223"/>
      <c r="R853" s="1223"/>
      <c r="S853" s="1223"/>
      <c r="T853" s="1223"/>
      <c r="U853" s="1223"/>
    </row>
    <row r="854" spans="7:21" ht="15.6">
      <c r="G854" s="1224"/>
      <c r="H854" s="1223"/>
      <c r="I854" s="1223"/>
      <c r="J854" s="1223"/>
      <c r="K854" s="1223"/>
      <c r="L854" s="1223"/>
      <c r="M854" s="1223"/>
      <c r="N854" s="1223"/>
      <c r="O854" s="1223"/>
      <c r="P854" s="1223"/>
      <c r="Q854" s="1223"/>
      <c r="R854" s="1223"/>
      <c r="S854" s="1223"/>
      <c r="T854" s="1223"/>
      <c r="U854" s="1223"/>
    </row>
    <row r="855" spans="7:21" ht="15.6">
      <c r="G855" s="1224"/>
      <c r="H855" s="1223"/>
      <c r="I855" s="1223"/>
      <c r="J855" s="1223"/>
      <c r="K855" s="1223"/>
      <c r="L855" s="1223"/>
      <c r="M855" s="1223"/>
      <c r="N855" s="1223"/>
      <c r="O855" s="1223"/>
      <c r="P855" s="1223"/>
      <c r="Q855" s="1223"/>
      <c r="R855" s="1223"/>
      <c r="S855" s="1223"/>
      <c r="T855" s="1223"/>
      <c r="U855" s="1223"/>
    </row>
    <row r="856" spans="7:21" ht="15.6">
      <c r="G856" s="1224"/>
      <c r="H856" s="1223"/>
      <c r="I856" s="1223"/>
      <c r="J856" s="1223"/>
      <c r="K856" s="1223"/>
      <c r="L856" s="1223"/>
      <c r="M856" s="1223"/>
      <c r="N856" s="1223"/>
      <c r="O856" s="1223"/>
      <c r="P856" s="1223"/>
      <c r="Q856" s="1223"/>
      <c r="R856" s="1223"/>
      <c r="S856" s="1223"/>
      <c r="T856" s="1223"/>
      <c r="U856" s="1223"/>
    </row>
    <row r="857" spans="7:21" ht="15.6">
      <c r="G857" s="1224"/>
      <c r="H857" s="1223"/>
      <c r="I857" s="1223"/>
      <c r="J857" s="1223"/>
      <c r="K857" s="1223"/>
      <c r="L857" s="1223"/>
      <c r="M857" s="1223"/>
      <c r="N857" s="1223"/>
      <c r="O857" s="1223"/>
      <c r="P857" s="1223"/>
      <c r="Q857" s="1223"/>
      <c r="R857" s="1223"/>
      <c r="S857" s="1223"/>
      <c r="T857" s="1223"/>
      <c r="U857" s="1223"/>
    </row>
    <row r="858" spans="7:21" ht="15.6">
      <c r="G858" s="1224"/>
      <c r="H858" s="1223"/>
      <c r="I858" s="1223"/>
      <c r="J858" s="1223"/>
      <c r="K858" s="1223"/>
      <c r="L858" s="1223"/>
      <c r="M858" s="1223"/>
      <c r="N858" s="1223"/>
      <c r="O858" s="1223"/>
      <c r="P858" s="1223"/>
      <c r="Q858" s="1223"/>
      <c r="R858" s="1223"/>
      <c r="S858" s="1223"/>
      <c r="T858" s="1223"/>
      <c r="U858" s="1223"/>
    </row>
    <row r="859" spans="7:21" ht="15.6">
      <c r="G859" s="1224"/>
      <c r="H859" s="1223"/>
      <c r="I859" s="1223"/>
      <c r="J859" s="1223"/>
      <c r="K859" s="1223"/>
      <c r="L859" s="1223"/>
      <c r="M859" s="1223"/>
      <c r="N859" s="1223"/>
      <c r="O859" s="1223"/>
      <c r="P859" s="1223"/>
      <c r="Q859" s="1223"/>
      <c r="R859" s="1223"/>
      <c r="S859" s="1223"/>
      <c r="T859" s="1223"/>
      <c r="U859" s="1223"/>
    </row>
    <row r="860" spans="7:21" ht="15.6">
      <c r="G860" s="1224"/>
      <c r="H860" s="1223"/>
      <c r="I860" s="1223"/>
      <c r="J860" s="1223"/>
      <c r="K860" s="1223"/>
      <c r="L860" s="1223"/>
      <c r="M860" s="1223"/>
      <c r="N860" s="1223"/>
      <c r="O860" s="1223"/>
      <c r="P860" s="1223"/>
      <c r="Q860" s="1223"/>
      <c r="R860" s="1223"/>
      <c r="S860" s="1223"/>
      <c r="T860" s="1223"/>
      <c r="U860" s="1223"/>
    </row>
    <row r="861" spans="7:21" ht="15.6">
      <c r="G861" s="1224"/>
      <c r="H861" s="1223"/>
      <c r="I861" s="1223"/>
      <c r="J861" s="1223"/>
      <c r="K861" s="1223"/>
      <c r="L861" s="1223"/>
      <c r="M861" s="1223"/>
      <c r="N861" s="1223"/>
      <c r="O861" s="1223"/>
      <c r="P861" s="1223"/>
      <c r="Q861" s="1223"/>
      <c r="R861" s="1223"/>
      <c r="S861" s="1223"/>
      <c r="T861" s="1223"/>
      <c r="U861" s="1223"/>
    </row>
    <row r="862" spans="7:21" ht="15.6">
      <c r="G862" s="1224"/>
      <c r="H862" s="1223"/>
      <c r="I862" s="1223"/>
      <c r="J862" s="1223"/>
      <c r="K862" s="1223"/>
      <c r="L862" s="1223"/>
      <c r="M862" s="1223"/>
      <c r="N862" s="1223"/>
      <c r="O862" s="1223"/>
      <c r="P862" s="1223"/>
      <c r="Q862" s="1223"/>
      <c r="R862" s="1223"/>
      <c r="S862" s="1223"/>
      <c r="T862" s="1223"/>
      <c r="U862" s="1223"/>
    </row>
    <row r="863" spans="7:21" ht="15.6">
      <c r="G863" s="1224"/>
      <c r="H863" s="1223"/>
      <c r="I863" s="1223"/>
      <c r="J863" s="1223"/>
      <c r="K863" s="1223"/>
      <c r="L863" s="1223"/>
      <c r="M863" s="1223"/>
      <c r="N863" s="1223"/>
      <c r="O863" s="1223"/>
      <c r="P863" s="1223"/>
      <c r="Q863" s="1223"/>
      <c r="R863" s="1223"/>
      <c r="S863" s="1223"/>
      <c r="T863" s="1223"/>
      <c r="U863" s="1223"/>
    </row>
    <row r="864" spans="7:21" ht="15.6">
      <c r="G864" s="1224"/>
      <c r="H864" s="1223"/>
      <c r="I864" s="1223"/>
      <c r="J864" s="1223"/>
      <c r="K864" s="1223"/>
      <c r="L864" s="1223"/>
      <c r="M864" s="1223"/>
      <c r="N864" s="1223"/>
      <c r="O864" s="1223"/>
      <c r="P864" s="1223"/>
      <c r="Q864" s="1223"/>
      <c r="R864" s="1223"/>
      <c r="S864" s="1223"/>
      <c r="T864" s="1223"/>
      <c r="U864" s="1223"/>
    </row>
    <row r="865" spans="7:21" ht="15.6">
      <c r="G865" s="1224"/>
      <c r="H865" s="1223"/>
      <c r="I865" s="1223"/>
      <c r="J865" s="1223"/>
      <c r="K865" s="1223"/>
      <c r="L865" s="1223"/>
      <c r="M865" s="1223"/>
      <c r="N865" s="1223"/>
      <c r="O865" s="1223"/>
      <c r="P865" s="1223"/>
      <c r="Q865" s="1223"/>
      <c r="R865" s="1223"/>
      <c r="S865" s="1223"/>
      <c r="T865" s="1223"/>
      <c r="U865" s="1223"/>
    </row>
    <row r="866" spans="7:21" ht="15.6">
      <c r="G866" s="1224"/>
      <c r="H866" s="1223"/>
      <c r="I866" s="1223"/>
      <c r="J866" s="1223"/>
      <c r="K866" s="1223"/>
      <c r="L866" s="1223"/>
      <c r="M866" s="1223"/>
      <c r="N866" s="1223"/>
      <c r="O866" s="1223"/>
      <c r="P866" s="1223"/>
      <c r="Q866" s="1223"/>
      <c r="R866" s="1223"/>
      <c r="S866" s="1223"/>
      <c r="T866" s="1223"/>
      <c r="U866" s="1223"/>
    </row>
    <row r="867" spans="7:21" ht="15.6">
      <c r="G867" s="1224"/>
      <c r="H867" s="1223"/>
      <c r="I867" s="1223"/>
      <c r="J867" s="1223"/>
      <c r="K867" s="1223"/>
      <c r="L867" s="1223"/>
      <c r="M867" s="1223"/>
      <c r="N867" s="1223"/>
      <c r="O867" s="1223"/>
      <c r="P867" s="1223"/>
      <c r="Q867" s="1223"/>
      <c r="R867" s="1223"/>
      <c r="S867" s="1223"/>
      <c r="T867" s="1223"/>
      <c r="U867" s="1223"/>
    </row>
    <row r="868" spans="7:21" ht="15.6">
      <c r="G868" s="1224"/>
      <c r="H868" s="1223"/>
      <c r="I868" s="1223"/>
      <c r="J868" s="1223"/>
      <c r="K868" s="1223"/>
      <c r="L868" s="1223"/>
      <c r="M868" s="1223"/>
      <c r="N868" s="1223"/>
      <c r="O868" s="1223"/>
      <c r="P868" s="1223"/>
      <c r="Q868" s="1223"/>
      <c r="R868" s="1223"/>
      <c r="S868" s="1223"/>
      <c r="T868" s="1223"/>
      <c r="U868" s="1223"/>
    </row>
    <row r="869" spans="7:21" ht="15.6">
      <c r="G869" s="1224"/>
      <c r="H869" s="1223"/>
      <c r="I869" s="1223"/>
      <c r="J869" s="1223"/>
      <c r="K869" s="1223"/>
      <c r="L869" s="1223"/>
      <c r="M869" s="1223"/>
      <c r="N869" s="1223"/>
      <c r="O869" s="1223"/>
      <c r="P869" s="1223"/>
      <c r="Q869" s="1223"/>
      <c r="R869" s="1223"/>
      <c r="S869" s="1223"/>
      <c r="T869" s="1223"/>
      <c r="U869" s="1223"/>
    </row>
    <row r="870" spans="7:21" ht="15.6">
      <c r="G870" s="1224"/>
      <c r="H870" s="1223"/>
      <c r="I870" s="1223"/>
      <c r="J870" s="1223"/>
      <c r="K870" s="1223"/>
      <c r="L870" s="1223"/>
      <c r="M870" s="1223"/>
      <c r="N870" s="1223"/>
      <c r="O870" s="1223"/>
      <c r="P870" s="1223"/>
      <c r="Q870" s="1223"/>
      <c r="R870" s="1223"/>
      <c r="S870" s="1223"/>
      <c r="T870" s="1223"/>
      <c r="U870" s="1223"/>
    </row>
    <row r="871" spans="7:21" ht="15.6">
      <c r="G871" s="1224"/>
      <c r="H871" s="1223"/>
      <c r="I871" s="1223"/>
      <c r="J871" s="1223"/>
      <c r="K871" s="1223"/>
      <c r="L871" s="1223"/>
      <c r="M871" s="1223"/>
      <c r="N871" s="1223"/>
      <c r="O871" s="1223"/>
      <c r="P871" s="1223"/>
      <c r="Q871" s="1223"/>
      <c r="R871" s="1223"/>
      <c r="S871" s="1223"/>
      <c r="T871" s="1223"/>
      <c r="U871" s="1223"/>
    </row>
    <row r="872" spans="7:21" ht="15.6">
      <c r="G872" s="1224"/>
      <c r="H872" s="1223"/>
      <c r="I872" s="1223"/>
      <c r="J872" s="1223"/>
      <c r="K872" s="1223"/>
      <c r="L872" s="1223"/>
      <c r="M872" s="1223"/>
      <c r="N872" s="1223"/>
      <c r="O872" s="1223"/>
      <c r="P872" s="1223"/>
      <c r="Q872" s="1223"/>
      <c r="R872" s="1223"/>
      <c r="S872" s="1223"/>
      <c r="T872" s="1223"/>
      <c r="U872" s="1223"/>
    </row>
    <row r="873" spans="7:21" ht="15.6">
      <c r="G873" s="1224"/>
      <c r="H873" s="1223"/>
      <c r="I873" s="1223"/>
      <c r="J873" s="1223"/>
      <c r="K873" s="1223"/>
      <c r="L873" s="1223"/>
      <c r="M873" s="1223"/>
      <c r="N873" s="1223"/>
      <c r="O873" s="1223"/>
      <c r="P873" s="1223"/>
      <c r="Q873" s="1223"/>
      <c r="R873" s="1223"/>
      <c r="S873" s="1223"/>
      <c r="T873" s="1223"/>
      <c r="U873" s="1223"/>
    </row>
    <row r="874" spans="7:21" ht="15.6">
      <c r="G874" s="1224"/>
      <c r="H874" s="1223"/>
      <c r="I874" s="1223"/>
      <c r="J874" s="1223"/>
      <c r="K874" s="1223"/>
      <c r="L874" s="1223"/>
      <c r="M874" s="1223"/>
      <c r="N874" s="1223"/>
      <c r="O874" s="1223"/>
      <c r="P874" s="1223"/>
      <c r="Q874" s="1223"/>
      <c r="R874" s="1223"/>
      <c r="S874" s="1223"/>
      <c r="T874" s="1223"/>
      <c r="U874" s="1223"/>
    </row>
    <row r="875" spans="7:21" ht="15.6">
      <c r="G875" s="1224"/>
      <c r="H875" s="1223"/>
      <c r="I875" s="1223"/>
      <c r="J875" s="1223"/>
      <c r="K875" s="1223"/>
      <c r="L875" s="1223"/>
      <c r="M875" s="1223"/>
      <c r="N875" s="1223"/>
      <c r="O875" s="1223"/>
      <c r="P875" s="1223"/>
      <c r="Q875" s="1223"/>
      <c r="R875" s="1223"/>
      <c r="S875" s="1223"/>
      <c r="T875" s="1223"/>
      <c r="U875" s="1223"/>
    </row>
    <row r="876" spans="7:21" ht="15.6">
      <c r="G876" s="1224"/>
      <c r="H876" s="1223"/>
      <c r="I876" s="1223"/>
      <c r="J876" s="1223"/>
      <c r="K876" s="1223"/>
      <c r="L876" s="1223"/>
      <c r="M876" s="1223"/>
      <c r="N876" s="1223"/>
      <c r="O876" s="1223"/>
      <c r="P876" s="1223"/>
      <c r="Q876" s="1223"/>
      <c r="R876" s="1223"/>
      <c r="S876" s="1223"/>
      <c r="T876" s="1223"/>
      <c r="U876" s="1223"/>
    </row>
    <row r="877" spans="7:21" ht="15.6">
      <c r="G877" s="1224"/>
      <c r="H877" s="1223"/>
      <c r="I877" s="1223"/>
      <c r="J877" s="1223"/>
      <c r="K877" s="1223"/>
      <c r="L877" s="1223"/>
      <c r="M877" s="1223"/>
      <c r="N877" s="1223"/>
      <c r="O877" s="1223"/>
      <c r="P877" s="1223"/>
      <c r="Q877" s="1223"/>
      <c r="R877" s="1223"/>
      <c r="S877" s="1223"/>
      <c r="T877" s="1223"/>
      <c r="U877" s="1223"/>
    </row>
    <row r="878" spans="7:21" ht="15.6">
      <c r="G878" s="1224"/>
      <c r="H878" s="1223"/>
      <c r="I878" s="1223"/>
      <c r="J878" s="1223"/>
      <c r="K878" s="1223"/>
      <c r="L878" s="1223"/>
      <c r="M878" s="1223"/>
      <c r="N878" s="1223"/>
      <c r="O878" s="1223"/>
      <c r="P878" s="1223"/>
      <c r="Q878" s="1223"/>
      <c r="R878" s="1223"/>
      <c r="S878" s="1223"/>
      <c r="T878" s="1223"/>
      <c r="U878" s="1223"/>
    </row>
    <row r="879" spans="7:21" ht="15.6">
      <c r="G879" s="1224"/>
      <c r="H879" s="1223"/>
      <c r="I879" s="1223"/>
      <c r="J879" s="1223"/>
      <c r="K879" s="1223"/>
      <c r="L879" s="1223"/>
      <c r="M879" s="1223"/>
      <c r="N879" s="1223"/>
      <c r="O879" s="1223"/>
      <c r="P879" s="1223"/>
      <c r="Q879" s="1223"/>
      <c r="R879" s="1223"/>
      <c r="S879" s="1223"/>
      <c r="T879" s="1223"/>
      <c r="U879" s="1223"/>
    </row>
    <row r="880" spans="7:21" ht="15.6">
      <c r="G880" s="1224"/>
      <c r="H880" s="1223"/>
      <c r="I880" s="1223"/>
      <c r="J880" s="1223"/>
      <c r="K880" s="1223"/>
      <c r="L880" s="1223"/>
      <c r="M880" s="1223"/>
      <c r="N880" s="1223"/>
      <c r="O880" s="1223"/>
      <c r="P880" s="1223"/>
      <c r="Q880" s="1223"/>
      <c r="R880" s="1223"/>
      <c r="S880" s="1223"/>
      <c r="T880" s="1223"/>
      <c r="U880" s="1223"/>
    </row>
    <row r="881" spans="7:21" ht="15.6">
      <c r="G881" s="1224"/>
      <c r="H881" s="1223"/>
      <c r="I881" s="1223"/>
      <c r="J881" s="1223"/>
      <c r="K881" s="1223"/>
      <c r="L881" s="1223"/>
      <c r="M881" s="1223"/>
      <c r="N881" s="1223"/>
      <c r="O881" s="1223"/>
      <c r="P881" s="1223"/>
      <c r="Q881" s="1223"/>
      <c r="R881" s="1223"/>
      <c r="S881" s="1223"/>
      <c r="T881" s="1223"/>
      <c r="U881" s="1223"/>
    </row>
    <row r="882" spans="7:21" ht="15.6">
      <c r="G882" s="1224"/>
      <c r="H882" s="1223"/>
      <c r="I882" s="1223"/>
      <c r="J882" s="1223"/>
      <c r="K882" s="1223"/>
      <c r="L882" s="1223"/>
      <c r="M882" s="1223"/>
      <c r="N882" s="1223"/>
      <c r="O882" s="1223"/>
      <c r="P882" s="1223"/>
      <c r="Q882" s="1223"/>
      <c r="R882" s="1223"/>
      <c r="S882" s="1223"/>
      <c r="T882" s="1223"/>
      <c r="U882" s="1223"/>
    </row>
    <row r="883" spans="7:21" ht="15.6">
      <c r="G883" s="1224"/>
      <c r="H883" s="1223"/>
      <c r="I883" s="1223"/>
      <c r="J883" s="1223"/>
      <c r="K883" s="1223"/>
      <c r="L883" s="1223"/>
      <c r="M883" s="1223"/>
      <c r="N883" s="1223"/>
      <c r="O883" s="1223"/>
      <c r="P883" s="1223"/>
      <c r="Q883" s="1223"/>
      <c r="R883" s="1223"/>
      <c r="S883" s="1223"/>
      <c r="T883" s="1223"/>
      <c r="U883" s="1223"/>
    </row>
    <row r="884" spans="7:21" ht="15.6">
      <c r="G884" s="1224"/>
      <c r="H884" s="1223"/>
      <c r="I884" s="1223"/>
      <c r="J884" s="1223"/>
      <c r="K884" s="1223"/>
      <c r="L884" s="1223"/>
      <c r="M884" s="1223"/>
      <c r="N884" s="1223"/>
      <c r="O884" s="1223"/>
      <c r="P884" s="1223"/>
      <c r="Q884" s="1223"/>
      <c r="R884" s="1223"/>
      <c r="S884" s="1223"/>
      <c r="T884" s="1223"/>
      <c r="U884" s="1223"/>
    </row>
    <row r="885" spans="7:21" ht="15.6">
      <c r="G885" s="1224"/>
      <c r="H885" s="1223"/>
      <c r="I885" s="1223"/>
      <c r="J885" s="1223"/>
      <c r="K885" s="1223"/>
      <c r="L885" s="1223"/>
      <c r="M885" s="1223"/>
      <c r="N885" s="1223"/>
      <c r="O885" s="1223"/>
      <c r="P885" s="1223"/>
      <c r="Q885" s="1223"/>
      <c r="R885" s="1223"/>
      <c r="S885" s="1223"/>
      <c r="T885" s="1223"/>
      <c r="U885" s="1223"/>
    </row>
    <row r="886" spans="7:21" ht="15.6">
      <c r="G886" s="1224"/>
      <c r="H886" s="1223"/>
      <c r="I886" s="1223"/>
      <c r="J886" s="1223"/>
      <c r="K886" s="1223"/>
      <c r="L886" s="1223"/>
      <c r="M886" s="1223"/>
      <c r="N886" s="1223"/>
      <c r="O886" s="1223"/>
      <c r="P886" s="1223"/>
      <c r="Q886" s="1223"/>
      <c r="R886" s="1223"/>
      <c r="S886" s="1223"/>
      <c r="T886" s="1223"/>
      <c r="U886" s="1223"/>
    </row>
    <row r="887" spans="7:21" ht="15.6">
      <c r="G887" s="1224"/>
      <c r="H887" s="1223"/>
      <c r="I887" s="1223"/>
      <c r="J887" s="1223"/>
      <c r="K887" s="1223"/>
      <c r="L887" s="1223"/>
      <c r="M887" s="1223"/>
      <c r="N887" s="1223"/>
      <c r="O887" s="1223"/>
      <c r="P887" s="1223"/>
      <c r="Q887" s="1223"/>
      <c r="R887" s="1223"/>
      <c r="S887" s="1223"/>
      <c r="T887" s="1223"/>
      <c r="U887" s="1223"/>
    </row>
    <row r="888" spans="7:21" ht="15.6">
      <c r="G888" s="1224"/>
      <c r="H888" s="1223"/>
      <c r="I888" s="1223"/>
      <c r="J888" s="1223"/>
      <c r="K888" s="1223"/>
      <c r="L888" s="1223"/>
      <c r="M888" s="1223"/>
      <c r="N888" s="1223"/>
      <c r="O888" s="1223"/>
      <c r="P888" s="1223"/>
      <c r="Q888" s="1223"/>
      <c r="R888" s="1223"/>
      <c r="S888" s="1223"/>
      <c r="T888" s="1223"/>
      <c r="U888" s="1223"/>
    </row>
    <row r="889" spans="7:21" ht="15.6">
      <c r="G889" s="1224"/>
      <c r="H889" s="1223"/>
      <c r="I889" s="1223"/>
      <c r="J889" s="1223"/>
      <c r="K889" s="1223"/>
      <c r="L889" s="1223"/>
      <c r="M889" s="1223"/>
      <c r="N889" s="1223"/>
      <c r="O889" s="1223"/>
      <c r="P889" s="1223"/>
      <c r="Q889" s="1223"/>
      <c r="R889" s="1223"/>
      <c r="S889" s="1223"/>
      <c r="T889" s="1223"/>
      <c r="U889" s="1223"/>
    </row>
    <row r="890" spans="7:21" ht="15.6">
      <c r="G890" s="1224"/>
      <c r="H890" s="1223"/>
      <c r="I890" s="1223"/>
      <c r="J890" s="1223"/>
      <c r="K890" s="1223"/>
      <c r="L890" s="1223"/>
      <c r="M890" s="1223"/>
      <c r="N890" s="1223"/>
      <c r="O890" s="1223"/>
      <c r="P890" s="1223"/>
      <c r="Q890" s="1223"/>
      <c r="R890" s="1223"/>
      <c r="S890" s="1223"/>
      <c r="T890" s="1223"/>
      <c r="U890" s="1223"/>
    </row>
    <row r="891" spans="7:21" ht="15.6">
      <c r="G891" s="1224"/>
      <c r="H891" s="1223"/>
      <c r="I891" s="1223"/>
      <c r="J891" s="1223"/>
      <c r="K891" s="1223"/>
      <c r="L891" s="1223"/>
      <c r="M891" s="1223"/>
      <c r="N891" s="1223"/>
      <c r="O891" s="1223"/>
      <c r="P891" s="1223"/>
      <c r="Q891" s="1223"/>
      <c r="R891" s="1223"/>
      <c r="S891" s="1223"/>
      <c r="T891" s="1223"/>
      <c r="U891" s="1223"/>
    </row>
    <row r="892" spans="7:21" ht="15.6">
      <c r="G892" s="1224"/>
      <c r="H892" s="1223"/>
      <c r="I892" s="1223"/>
      <c r="J892" s="1223"/>
      <c r="K892" s="1223"/>
      <c r="L892" s="1223"/>
      <c r="M892" s="1223"/>
      <c r="N892" s="1223"/>
      <c r="O892" s="1223"/>
      <c r="P892" s="1223"/>
      <c r="Q892" s="1223"/>
      <c r="R892" s="1223"/>
      <c r="S892" s="1223"/>
      <c r="T892" s="1223"/>
      <c r="U892" s="1223"/>
    </row>
    <row r="893" spans="7:21" ht="15.6">
      <c r="G893" s="1224"/>
      <c r="H893" s="1223"/>
      <c r="I893" s="1223"/>
      <c r="J893" s="1223"/>
      <c r="K893" s="1223"/>
      <c r="L893" s="1223"/>
      <c r="M893" s="1223"/>
      <c r="N893" s="1223"/>
      <c r="O893" s="1223"/>
      <c r="P893" s="1223"/>
      <c r="Q893" s="1223"/>
      <c r="R893" s="1223"/>
      <c r="S893" s="1223"/>
      <c r="T893" s="1223"/>
      <c r="U893" s="1223"/>
    </row>
    <row r="894" spans="7:21" ht="15.6">
      <c r="G894" s="1224"/>
      <c r="H894" s="1223"/>
      <c r="I894" s="1223"/>
      <c r="J894" s="1223"/>
      <c r="K894" s="1223"/>
      <c r="L894" s="1223"/>
      <c r="M894" s="1223"/>
      <c r="N894" s="1223"/>
      <c r="O894" s="1223"/>
      <c r="P894" s="1223"/>
      <c r="Q894" s="1223"/>
      <c r="R894" s="1223"/>
      <c r="S894" s="1223"/>
      <c r="T894" s="1223"/>
      <c r="U894" s="1223"/>
    </row>
    <row r="895" spans="7:21" ht="15.6">
      <c r="G895" s="1224"/>
      <c r="H895" s="1223"/>
      <c r="I895" s="1223"/>
      <c r="J895" s="1223"/>
      <c r="K895" s="1223"/>
      <c r="L895" s="1223"/>
      <c r="M895" s="1223"/>
      <c r="N895" s="1223"/>
      <c r="O895" s="1223"/>
      <c r="P895" s="1223"/>
      <c r="Q895" s="1223"/>
      <c r="R895" s="1223"/>
      <c r="S895" s="1223"/>
      <c r="T895" s="1223"/>
      <c r="U895" s="1223"/>
    </row>
    <row r="896" spans="7:21" ht="15.6">
      <c r="G896" s="1224"/>
      <c r="H896" s="1223"/>
      <c r="I896" s="1223"/>
      <c r="J896" s="1223"/>
      <c r="K896" s="1223"/>
      <c r="L896" s="1223"/>
      <c r="M896" s="1223"/>
      <c r="N896" s="1223"/>
      <c r="O896" s="1223"/>
      <c r="P896" s="1223"/>
      <c r="Q896" s="1223"/>
      <c r="R896" s="1223"/>
      <c r="S896" s="1223"/>
      <c r="T896" s="1223"/>
      <c r="U896" s="1223"/>
    </row>
    <row r="897" spans="7:21" ht="15.6">
      <c r="G897" s="1224"/>
      <c r="H897" s="1223"/>
      <c r="I897" s="1223"/>
      <c r="J897" s="1223"/>
      <c r="K897" s="1223"/>
      <c r="L897" s="1223"/>
      <c r="M897" s="1223"/>
      <c r="N897" s="1223"/>
      <c r="O897" s="1223"/>
      <c r="P897" s="1223"/>
      <c r="Q897" s="1223"/>
      <c r="R897" s="1223"/>
      <c r="S897" s="1223"/>
      <c r="T897" s="1223"/>
      <c r="U897" s="1223"/>
    </row>
    <row r="898" spans="7:21" ht="15.6">
      <c r="G898" s="1224"/>
      <c r="H898" s="1223"/>
      <c r="I898" s="1223"/>
      <c r="J898" s="1223"/>
      <c r="K898" s="1223"/>
      <c r="L898" s="1223"/>
      <c r="M898" s="1223"/>
      <c r="N898" s="1223"/>
      <c r="O898" s="1223"/>
      <c r="P898" s="1223"/>
      <c r="Q898" s="1223"/>
      <c r="R898" s="1223"/>
      <c r="S898" s="1223"/>
      <c r="T898" s="1223"/>
      <c r="U898" s="1223"/>
    </row>
    <row r="899" spans="7:21" ht="15.6">
      <c r="G899" s="1224"/>
      <c r="H899" s="1223"/>
      <c r="I899" s="1223"/>
      <c r="J899" s="1223"/>
      <c r="K899" s="1223"/>
      <c r="L899" s="1223"/>
      <c r="M899" s="1223"/>
      <c r="N899" s="1223"/>
      <c r="O899" s="1223"/>
      <c r="P899" s="1223"/>
      <c r="Q899" s="1223"/>
      <c r="R899" s="1223"/>
      <c r="S899" s="1223"/>
      <c r="T899" s="1223"/>
      <c r="U899" s="1223"/>
    </row>
    <row r="900" spans="7:21" ht="15.6">
      <c r="G900" s="1224"/>
      <c r="H900" s="1223"/>
      <c r="I900" s="1223"/>
      <c r="J900" s="1223"/>
      <c r="K900" s="1223"/>
      <c r="L900" s="1223"/>
      <c r="M900" s="1223"/>
      <c r="N900" s="1223"/>
      <c r="O900" s="1223"/>
      <c r="P900" s="1223"/>
      <c r="Q900" s="1223"/>
      <c r="R900" s="1223"/>
      <c r="S900" s="1223"/>
      <c r="T900" s="1223"/>
      <c r="U900" s="1223"/>
    </row>
    <row r="901" spans="7:21" ht="15.6">
      <c r="G901" s="1224"/>
      <c r="H901" s="1223"/>
      <c r="I901" s="1223"/>
      <c r="J901" s="1223"/>
      <c r="K901" s="1223"/>
      <c r="L901" s="1223"/>
      <c r="M901" s="1223"/>
      <c r="N901" s="1223"/>
      <c r="O901" s="1223"/>
      <c r="P901" s="1223"/>
      <c r="Q901" s="1223"/>
      <c r="R901" s="1223"/>
      <c r="S901" s="1223"/>
      <c r="T901" s="1223"/>
      <c r="U901" s="1223"/>
    </row>
    <row r="902" spans="7:21" ht="15.6">
      <c r="G902" s="1224"/>
      <c r="H902" s="1223"/>
      <c r="I902" s="1223"/>
      <c r="J902" s="1223"/>
      <c r="K902" s="1223"/>
      <c r="L902" s="1223"/>
      <c r="M902" s="1223"/>
      <c r="N902" s="1223"/>
      <c r="O902" s="1223"/>
      <c r="P902" s="1223"/>
      <c r="Q902" s="1223"/>
      <c r="R902" s="1223"/>
      <c r="S902" s="1223"/>
      <c r="T902" s="1223"/>
      <c r="U902" s="1223"/>
    </row>
    <row r="903" spans="7:21" ht="15.6">
      <c r="G903" s="1224"/>
      <c r="H903" s="1223"/>
      <c r="I903" s="1223"/>
      <c r="J903" s="1223"/>
      <c r="K903" s="1223"/>
      <c r="L903" s="1223"/>
      <c r="M903" s="1223"/>
      <c r="N903" s="1223"/>
      <c r="O903" s="1223"/>
      <c r="P903" s="1223"/>
      <c r="Q903" s="1223"/>
      <c r="R903" s="1223"/>
      <c r="S903" s="1223"/>
      <c r="T903" s="1223"/>
      <c r="U903" s="1223"/>
    </row>
    <row r="904" spans="7:21" ht="15.6">
      <c r="G904" s="1224"/>
      <c r="H904" s="1223"/>
      <c r="I904" s="1223"/>
      <c r="J904" s="1223"/>
      <c r="K904" s="1223"/>
      <c r="L904" s="1223"/>
      <c r="M904" s="1223"/>
      <c r="N904" s="1223"/>
      <c r="O904" s="1223"/>
      <c r="P904" s="1223"/>
      <c r="Q904" s="1223"/>
      <c r="R904" s="1223"/>
      <c r="S904" s="1223"/>
      <c r="T904" s="1223"/>
      <c r="U904" s="1223"/>
    </row>
    <row r="905" spans="7:21" ht="15.6">
      <c r="G905" s="1224"/>
      <c r="H905" s="1223"/>
      <c r="I905" s="1223"/>
      <c r="J905" s="1223"/>
      <c r="K905" s="1223"/>
      <c r="L905" s="1223"/>
      <c r="M905" s="1223"/>
      <c r="N905" s="1223"/>
      <c r="O905" s="1223"/>
      <c r="P905" s="1223"/>
      <c r="Q905" s="1223"/>
      <c r="R905" s="1223"/>
      <c r="S905" s="1223"/>
      <c r="T905" s="1223"/>
      <c r="U905" s="1223"/>
    </row>
    <row r="906" spans="7:21" ht="15.6">
      <c r="G906" s="1224"/>
      <c r="H906" s="1223"/>
      <c r="I906" s="1223"/>
      <c r="J906" s="1223"/>
      <c r="K906" s="1223"/>
      <c r="L906" s="1223"/>
      <c r="M906" s="1223"/>
      <c r="N906" s="1223"/>
      <c r="O906" s="1223"/>
      <c r="P906" s="1223"/>
      <c r="Q906" s="1223"/>
      <c r="R906" s="1223"/>
      <c r="S906" s="1223"/>
      <c r="T906" s="1223"/>
      <c r="U906" s="1223"/>
    </row>
    <row r="907" spans="7:21" ht="15.6">
      <c r="G907" s="1224"/>
      <c r="H907" s="1223"/>
      <c r="I907" s="1223"/>
      <c r="J907" s="1223"/>
      <c r="K907" s="1223"/>
      <c r="L907" s="1223"/>
      <c r="M907" s="1223"/>
      <c r="N907" s="1223"/>
      <c r="O907" s="1223"/>
      <c r="P907" s="1223"/>
      <c r="Q907" s="1223"/>
      <c r="R907" s="1223"/>
      <c r="S907" s="1223"/>
      <c r="T907" s="1223"/>
      <c r="U907" s="1223"/>
    </row>
    <row r="908" spans="7:21" ht="15.6">
      <c r="G908" s="1224"/>
      <c r="H908" s="1223"/>
      <c r="I908" s="1223"/>
      <c r="J908" s="1223"/>
      <c r="K908" s="1223"/>
      <c r="L908" s="1223"/>
      <c r="M908" s="1223"/>
      <c r="N908" s="1223"/>
      <c r="O908" s="1223"/>
      <c r="P908" s="1223"/>
      <c r="Q908" s="1223"/>
      <c r="R908" s="1223"/>
      <c r="S908" s="1223"/>
      <c r="T908" s="1223"/>
      <c r="U908" s="1223"/>
    </row>
    <row r="909" spans="7:21" ht="15.6">
      <c r="G909" s="1224"/>
      <c r="H909" s="1223"/>
      <c r="I909" s="1223"/>
      <c r="J909" s="1223"/>
      <c r="K909" s="1223"/>
      <c r="L909" s="1223"/>
      <c r="M909" s="1223"/>
      <c r="N909" s="1223"/>
      <c r="O909" s="1223"/>
      <c r="P909" s="1223"/>
      <c r="Q909" s="1223"/>
      <c r="R909" s="1223"/>
      <c r="S909" s="1223"/>
      <c r="T909" s="1223"/>
      <c r="U909" s="1223"/>
    </row>
    <row r="910" spans="7:21" ht="15.6">
      <c r="G910" s="1224"/>
      <c r="H910" s="1223"/>
      <c r="I910" s="1223"/>
      <c r="J910" s="1223"/>
      <c r="K910" s="1223"/>
      <c r="L910" s="1223"/>
      <c r="M910" s="1223"/>
      <c r="N910" s="1223"/>
      <c r="O910" s="1223"/>
      <c r="P910" s="1223"/>
      <c r="Q910" s="1223"/>
      <c r="R910" s="1223"/>
      <c r="S910" s="1223"/>
      <c r="T910" s="1223"/>
      <c r="U910" s="1223"/>
    </row>
    <row r="911" spans="7:21" ht="15.6">
      <c r="G911" s="1224"/>
      <c r="H911" s="1223"/>
      <c r="I911" s="1223"/>
      <c r="J911" s="1223"/>
      <c r="K911" s="1223"/>
      <c r="L911" s="1223"/>
      <c r="M911" s="1223"/>
      <c r="N911" s="1223"/>
      <c r="O911" s="1223"/>
      <c r="P911" s="1223"/>
      <c r="Q911" s="1223"/>
      <c r="R911" s="1223"/>
      <c r="S911" s="1223"/>
      <c r="T911" s="1223"/>
      <c r="U911" s="1223"/>
    </row>
    <row r="912" spans="7:21" ht="15.6">
      <c r="G912" s="1224"/>
      <c r="H912" s="1223"/>
      <c r="I912" s="1223"/>
      <c r="J912" s="1223"/>
      <c r="K912" s="1223"/>
      <c r="L912" s="1223"/>
      <c r="M912" s="1223"/>
      <c r="N912" s="1223"/>
      <c r="O912" s="1223"/>
      <c r="P912" s="1223"/>
      <c r="Q912" s="1223"/>
      <c r="R912" s="1223"/>
      <c r="S912" s="1223"/>
      <c r="T912" s="1223"/>
      <c r="U912" s="1223"/>
    </row>
    <row r="913" spans="7:21" ht="15.6">
      <c r="G913" s="1224"/>
      <c r="H913" s="1223"/>
      <c r="I913" s="1223"/>
      <c r="J913" s="1223"/>
      <c r="K913" s="1223"/>
      <c r="L913" s="1223"/>
      <c r="M913" s="1223"/>
      <c r="N913" s="1223"/>
      <c r="O913" s="1223"/>
      <c r="P913" s="1223"/>
      <c r="Q913" s="1223"/>
      <c r="R913" s="1223"/>
      <c r="S913" s="1223"/>
      <c r="T913" s="1223"/>
      <c r="U913" s="1223"/>
    </row>
    <row r="914" spans="7:21" ht="15.6">
      <c r="G914" s="1224"/>
      <c r="H914" s="1223"/>
      <c r="I914" s="1223"/>
      <c r="J914" s="1223"/>
      <c r="K914" s="1223"/>
      <c r="L914" s="1223"/>
      <c r="M914" s="1223"/>
      <c r="N914" s="1223"/>
      <c r="O914" s="1223"/>
      <c r="P914" s="1223"/>
      <c r="Q914" s="1223"/>
      <c r="R914" s="1223"/>
      <c r="S914" s="1223"/>
      <c r="T914" s="1223"/>
      <c r="U914" s="1223"/>
    </row>
    <row r="915" spans="7:21" ht="15.6">
      <c r="G915" s="1224"/>
      <c r="H915" s="1223"/>
      <c r="I915" s="1223"/>
      <c r="J915" s="1223"/>
      <c r="K915" s="1223"/>
      <c r="L915" s="1223"/>
      <c r="M915" s="1223"/>
      <c r="N915" s="1223"/>
      <c r="O915" s="1223"/>
      <c r="P915" s="1223"/>
      <c r="Q915" s="1223"/>
      <c r="R915" s="1223"/>
      <c r="S915" s="1223"/>
      <c r="T915" s="1223"/>
      <c r="U915" s="1223"/>
    </row>
    <row r="916" spans="7:21" ht="15.6">
      <c r="G916" s="1224"/>
      <c r="H916" s="1223"/>
      <c r="I916" s="1223"/>
      <c r="J916" s="1223"/>
      <c r="K916" s="1223"/>
      <c r="L916" s="1223"/>
      <c r="M916" s="1223"/>
      <c r="N916" s="1223"/>
      <c r="O916" s="1223"/>
      <c r="P916" s="1223"/>
      <c r="Q916" s="1223"/>
      <c r="R916" s="1223"/>
      <c r="S916" s="1223"/>
      <c r="T916" s="1223"/>
      <c r="U916" s="1223"/>
    </row>
    <row r="917" spans="7:21" ht="15.6">
      <c r="G917" s="1224"/>
      <c r="H917" s="1223"/>
      <c r="I917" s="1223"/>
      <c r="J917" s="1223"/>
      <c r="K917" s="1223"/>
      <c r="L917" s="1223"/>
      <c r="M917" s="1223"/>
      <c r="N917" s="1223"/>
      <c r="O917" s="1223"/>
      <c r="P917" s="1223"/>
      <c r="Q917" s="1223"/>
      <c r="R917" s="1223"/>
      <c r="S917" s="1223"/>
      <c r="T917" s="1223"/>
      <c r="U917" s="1223"/>
    </row>
    <row r="918" spans="7:21" ht="15.6">
      <c r="G918" s="1224"/>
      <c r="H918" s="1223"/>
      <c r="I918" s="1223"/>
      <c r="J918" s="1223"/>
      <c r="K918" s="1223"/>
      <c r="L918" s="1223"/>
      <c r="M918" s="1223"/>
      <c r="N918" s="1223"/>
      <c r="O918" s="1223"/>
      <c r="P918" s="1223"/>
      <c r="Q918" s="1223"/>
      <c r="R918" s="1223"/>
      <c r="S918" s="1223"/>
      <c r="T918" s="1223"/>
      <c r="U918" s="1223"/>
    </row>
    <row r="919" spans="7:21" ht="15.6">
      <c r="G919" s="1224"/>
      <c r="H919" s="1223"/>
      <c r="I919" s="1223"/>
      <c r="J919" s="1223"/>
      <c r="K919" s="1223"/>
      <c r="L919" s="1223"/>
      <c r="M919" s="1223"/>
      <c r="N919" s="1223"/>
      <c r="O919" s="1223"/>
      <c r="P919" s="1223"/>
      <c r="Q919" s="1223"/>
      <c r="R919" s="1223"/>
      <c r="S919" s="1223"/>
      <c r="T919" s="1223"/>
      <c r="U919" s="1223"/>
    </row>
    <row r="920" spans="7:21" ht="15.6">
      <c r="G920" s="1224"/>
      <c r="H920" s="1223"/>
      <c r="I920" s="1223"/>
      <c r="J920" s="1223"/>
      <c r="K920" s="1223"/>
      <c r="L920" s="1223"/>
      <c r="M920" s="1223"/>
      <c r="N920" s="1223"/>
      <c r="O920" s="1223"/>
      <c r="P920" s="1223"/>
      <c r="Q920" s="1223"/>
      <c r="R920" s="1223"/>
      <c r="S920" s="1223"/>
      <c r="T920" s="1223"/>
      <c r="U920" s="1223"/>
    </row>
    <row r="921" spans="7:21" ht="15.6">
      <c r="G921" s="1224"/>
      <c r="H921" s="1223"/>
      <c r="I921" s="1223"/>
      <c r="J921" s="1223"/>
      <c r="K921" s="1223"/>
      <c r="L921" s="1223"/>
      <c r="M921" s="1223"/>
      <c r="N921" s="1223"/>
      <c r="O921" s="1223"/>
      <c r="P921" s="1223"/>
      <c r="Q921" s="1223"/>
      <c r="R921" s="1223"/>
      <c r="S921" s="1223"/>
      <c r="T921" s="1223"/>
      <c r="U921" s="1223"/>
    </row>
    <row r="922" spans="7:21" ht="15.6">
      <c r="G922" s="1224"/>
      <c r="H922" s="1223"/>
      <c r="I922" s="1223"/>
      <c r="J922" s="1223"/>
      <c r="K922" s="1223"/>
      <c r="L922" s="1223"/>
      <c r="M922" s="1223"/>
      <c r="N922" s="1223"/>
      <c r="O922" s="1223"/>
      <c r="P922" s="1223"/>
      <c r="Q922" s="1223"/>
      <c r="R922" s="1223"/>
      <c r="S922" s="1223"/>
      <c r="T922" s="1223"/>
      <c r="U922" s="1223"/>
    </row>
    <row r="923" spans="7:21" ht="15.6">
      <c r="G923" s="1224"/>
      <c r="H923" s="1223"/>
      <c r="I923" s="1223"/>
      <c r="J923" s="1223"/>
      <c r="K923" s="1223"/>
      <c r="L923" s="1223"/>
      <c r="M923" s="1223"/>
      <c r="N923" s="1223"/>
      <c r="O923" s="1223"/>
      <c r="P923" s="1223"/>
      <c r="Q923" s="1223"/>
      <c r="R923" s="1223"/>
      <c r="S923" s="1223"/>
      <c r="T923" s="1223"/>
      <c r="U923" s="1223"/>
    </row>
    <row r="924" spans="7:21" ht="15.6">
      <c r="G924" s="1224"/>
      <c r="H924" s="1223"/>
      <c r="I924" s="1223"/>
      <c r="J924" s="1223"/>
      <c r="K924" s="1223"/>
      <c r="L924" s="1223"/>
      <c r="M924" s="1223"/>
      <c r="N924" s="1223"/>
      <c r="O924" s="1223"/>
      <c r="P924" s="1223"/>
      <c r="Q924" s="1223"/>
      <c r="R924" s="1223"/>
      <c r="S924" s="1223"/>
      <c r="T924" s="1223"/>
      <c r="U924" s="1223"/>
    </row>
    <row r="925" spans="7:21" ht="15.6">
      <c r="G925" s="1224"/>
      <c r="H925" s="1223"/>
      <c r="I925" s="1223"/>
      <c r="J925" s="1223"/>
      <c r="K925" s="1223"/>
      <c r="L925" s="1223"/>
      <c r="M925" s="1223"/>
      <c r="N925" s="1223"/>
      <c r="O925" s="1223"/>
      <c r="P925" s="1223"/>
      <c r="Q925" s="1223"/>
      <c r="R925" s="1223"/>
      <c r="S925" s="1223"/>
      <c r="T925" s="1223"/>
      <c r="U925" s="1223"/>
    </row>
    <row r="926" spans="7:21" ht="15.6">
      <c r="G926" s="1224"/>
      <c r="H926" s="1223"/>
      <c r="I926" s="1223"/>
      <c r="J926" s="1223"/>
      <c r="K926" s="1223"/>
      <c r="L926" s="1223"/>
      <c r="M926" s="1223"/>
      <c r="N926" s="1223"/>
      <c r="O926" s="1223"/>
      <c r="P926" s="1223"/>
      <c r="Q926" s="1223"/>
      <c r="R926" s="1223"/>
      <c r="S926" s="1223"/>
      <c r="T926" s="1223"/>
      <c r="U926" s="1223"/>
    </row>
    <row r="927" spans="7:21" ht="15.6">
      <c r="G927" s="1224"/>
      <c r="H927" s="1223"/>
      <c r="I927" s="1223"/>
      <c r="J927" s="1223"/>
      <c r="K927" s="1223"/>
      <c r="L927" s="1223"/>
      <c r="M927" s="1223"/>
      <c r="N927" s="1223"/>
      <c r="O927" s="1223"/>
      <c r="P927" s="1223"/>
      <c r="Q927" s="1223"/>
      <c r="R927" s="1223"/>
      <c r="S927" s="1223"/>
      <c r="T927" s="1223"/>
      <c r="U927" s="1223"/>
    </row>
    <row r="928" spans="7:21" ht="15.6">
      <c r="G928" s="1224"/>
      <c r="H928" s="1223"/>
      <c r="I928" s="1223"/>
      <c r="J928" s="1223"/>
      <c r="K928" s="1223"/>
      <c r="L928" s="1223"/>
      <c r="M928" s="1223"/>
      <c r="N928" s="1223"/>
      <c r="O928" s="1223"/>
      <c r="P928" s="1223"/>
      <c r="Q928" s="1223"/>
      <c r="R928" s="1223"/>
      <c r="S928" s="1223"/>
      <c r="T928" s="1223"/>
      <c r="U928" s="1223"/>
    </row>
    <row r="929" spans="7:21" ht="15.6">
      <c r="G929" s="1224"/>
      <c r="H929" s="1223"/>
      <c r="I929" s="1223"/>
      <c r="J929" s="1223"/>
      <c r="K929" s="1223"/>
      <c r="L929" s="1223"/>
      <c r="M929" s="1223"/>
      <c r="N929" s="1223"/>
      <c r="O929" s="1223"/>
      <c r="P929" s="1223"/>
      <c r="Q929" s="1223"/>
      <c r="R929" s="1223"/>
      <c r="S929" s="1223"/>
      <c r="T929" s="1223"/>
      <c r="U929" s="1223"/>
    </row>
    <row r="930" spans="7:21" ht="15.6">
      <c r="G930" s="1224"/>
      <c r="H930" s="1223"/>
      <c r="I930" s="1223"/>
      <c r="J930" s="1223"/>
      <c r="K930" s="1223"/>
      <c r="L930" s="1223"/>
      <c r="M930" s="1223"/>
      <c r="N930" s="1223"/>
      <c r="O930" s="1223"/>
      <c r="P930" s="1223"/>
      <c r="Q930" s="1223"/>
      <c r="R930" s="1223"/>
      <c r="S930" s="1223"/>
      <c r="T930" s="1223"/>
      <c r="U930" s="1223"/>
    </row>
    <row r="931" spans="7:21" ht="15.6">
      <c r="G931" s="1224"/>
      <c r="H931" s="1223"/>
      <c r="I931" s="1223"/>
      <c r="J931" s="1223"/>
      <c r="K931" s="1223"/>
      <c r="L931" s="1223"/>
      <c r="M931" s="1223"/>
      <c r="N931" s="1223"/>
      <c r="O931" s="1223"/>
      <c r="P931" s="1223"/>
      <c r="Q931" s="1223"/>
      <c r="R931" s="1223"/>
      <c r="S931" s="1223"/>
      <c r="T931" s="1223"/>
      <c r="U931" s="1223"/>
    </row>
    <row r="932" spans="7:21" ht="15.6">
      <c r="G932" s="1224"/>
      <c r="H932" s="1223"/>
      <c r="I932" s="1223"/>
      <c r="J932" s="1223"/>
      <c r="K932" s="1223"/>
      <c r="L932" s="1223"/>
      <c r="M932" s="1223"/>
      <c r="N932" s="1223"/>
      <c r="O932" s="1223"/>
      <c r="P932" s="1223"/>
      <c r="Q932" s="1223"/>
      <c r="R932" s="1223"/>
      <c r="S932" s="1223"/>
      <c r="T932" s="1223"/>
      <c r="U932" s="1223"/>
    </row>
    <row r="933" spans="7:21" ht="15.6">
      <c r="G933" s="1224"/>
      <c r="H933" s="1223"/>
      <c r="I933" s="1223"/>
      <c r="J933" s="1223"/>
      <c r="K933" s="1223"/>
      <c r="L933" s="1223"/>
      <c r="M933" s="1223"/>
      <c r="N933" s="1223"/>
      <c r="O933" s="1223"/>
      <c r="P933" s="1223"/>
      <c r="Q933" s="1223"/>
      <c r="R933" s="1223"/>
      <c r="S933" s="1223"/>
      <c r="T933" s="1223"/>
      <c r="U933" s="1223"/>
    </row>
    <row r="934" spans="7:21" ht="15.6">
      <c r="G934" s="1224"/>
      <c r="H934" s="1223"/>
      <c r="I934" s="1223"/>
      <c r="J934" s="1223"/>
      <c r="K934" s="1223"/>
      <c r="L934" s="1223"/>
      <c r="M934" s="1223"/>
      <c r="N934" s="1223"/>
      <c r="O934" s="1223"/>
      <c r="P934" s="1223"/>
      <c r="Q934" s="1223"/>
      <c r="R934" s="1223"/>
      <c r="S934" s="1223"/>
      <c r="T934" s="1223"/>
      <c r="U934" s="1223"/>
    </row>
    <row r="935" spans="7:21" ht="15.6">
      <c r="G935" s="1224"/>
      <c r="H935" s="1223"/>
      <c r="I935" s="1223"/>
      <c r="J935" s="1223"/>
      <c r="K935" s="1223"/>
      <c r="L935" s="1223"/>
      <c r="M935" s="1223"/>
      <c r="N935" s="1223"/>
      <c r="O935" s="1223"/>
      <c r="P935" s="1223"/>
      <c r="Q935" s="1223"/>
      <c r="R935" s="1223"/>
      <c r="S935" s="1223"/>
      <c r="T935" s="1223"/>
      <c r="U935" s="1223"/>
    </row>
    <row r="936" spans="7:21" ht="15.6">
      <c r="G936" s="1224"/>
      <c r="H936" s="1223"/>
      <c r="I936" s="1223"/>
      <c r="J936" s="1223"/>
      <c r="K936" s="1223"/>
      <c r="L936" s="1223"/>
      <c r="M936" s="1223"/>
      <c r="N936" s="1223"/>
      <c r="O936" s="1223"/>
      <c r="P936" s="1223"/>
      <c r="Q936" s="1223"/>
      <c r="R936" s="1223"/>
      <c r="S936" s="1223"/>
      <c r="T936" s="1223"/>
      <c r="U936" s="1223"/>
    </row>
    <row r="937" spans="7:21" ht="15.6">
      <c r="G937" s="1224"/>
      <c r="H937" s="1223"/>
      <c r="I937" s="1223"/>
      <c r="J937" s="1223"/>
      <c r="K937" s="1223"/>
      <c r="L937" s="1223"/>
      <c r="M937" s="1223"/>
      <c r="N937" s="1223"/>
      <c r="O937" s="1223"/>
      <c r="P937" s="1223"/>
      <c r="Q937" s="1223"/>
      <c r="R937" s="1223"/>
      <c r="S937" s="1223"/>
      <c r="T937" s="1223"/>
      <c r="U937" s="1223"/>
    </row>
    <row r="938" spans="7:21" ht="15.6">
      <c r="G938" s="1224"/>
      <c r="H938" s="1223"/>
      <c r="I938" s="1223"/>
      <c r="J938" s="1223"/>
      <c r="K938" s="1223"/>
      <c r="L938" s="1223"/>
      <c r="M938" s="1223"/>
      <c r="N938" s="1223"/>
      <c r="O938" s="1223"/>
      <c r="P938" s="1223"/>
      <c r="Q938" s="1223"/>
      <c r="R938" s="1223"/>
      <c r="S938" s="1223"/>
      <c r="T938" s="1223"/>
      <c r="U938" s="1223"/>
    </row>
    <row r="939" spans="7:21" ht="15.6">
      <c r="G939" s="1224"/>
      <c r="H939" s="1223"/>
      <c r="I939" s="1223"/>
      <c r="J939" s="1223"/>
      <c r="K939" s="1223"/>
      <c r="L939" s="1223"/>
      <c r="M939" s="1223"/>
      <c r="N939" s="1223"/>
      <c r="O939" s="1223"/>
      <c r="P939" s="1223"/>
      <c r="Q939" s="1223"/>
      <c r="R939" s="1223"/>
      <c r="S939" s="1223"/>
      <c r="T939" s="1223"/>
      <c r="U939" s="1223"/>
    </row>
    <row r="940" spans="7:21" ht="15.6">
      <c r="G940" s="1224"/>
      <c r="H940" s="1223"/>
      <c r="I940" s="1223"/>
      <c r="J940" s="1223"/>
      <c r="K940" s="1223"/>
      <c r="L940" s="1223"/>
      <c r="M940" s="1223"/>
      <c r="N940" s="1223"/>
      <c r="O940" s="1223"/>
      <c r="P940" s="1223"/>
      <c r="Q940" s="1223"/>
      <c r="R940" s="1223"/>
      <c r="S940" s="1223"/>
      <c r="T940" s="1223"/>
      <c r="U940" s="1223"/>
    </row>
    <row r="941" spans="7:21" ht="15.6">
      <c r="G941" s="1224"/>
      <c r="H941" s="1223"/>
      <c r="I941" s="1223"/>
      <c r="J941" s="1223"/>
      <c r="K941" s="1223"/>
      <c r="L941" s="1223"/>
      <c r="M941" s="1223"/>
      <c r="N941" s="1223"/>
      <c r="O941" s="1223"/>
      <c r="P941" s="1223"/>
      <c r="Q941" s="1223"/>
      <c r="R941" s="1223"/>
      <c r="S941" s="1223"/>
      <c r="T941" s="1223"/>
      <c r="U941" s="1223"/>
    </row>
    <row r="942" spans="7:21" ht="15.6">
      <c r="G942" s="1224"/>
      <c r="H942" s="1223"/>
      <c r="I942" s="1223"/>
      <c r="J942" s="1223"/>
      <c r="K942" s="1223"/>
      <c r="L942" s="1223"/>
      <c r="M942" s="1223"/>
      <c r="N942" s="1223"/>
      <c r="O942" s="1223"/>
      <c r="P942" s="1223"/>
      <c r="Q942" s="1223"/>
      <c r="R942" s="1223"/>
      <c r="S942" s="1223"/>
      <c r="T942" s="1223"/>
      <c r="U942" s="1223"/>
    </row>
    <row r="943" spans="7:21" ht="15.6">
      <c r="G943" s="1224"/>
      <c r="H943" s="1223"/>
      <c r="I943" s="1223"/>
      <c r="J943" s="1223"/>
      <c r="K943" s="1223"/>
      <c r="L943" s="1223"/>
      <c r="M943" s="1223"/>
      <c r="N943" s="1223"/>
      <c r="O943" s="1223"/>
      <c r="P943" s="1223"/>
      <c r="Q943" s="1223"/>
      <c r="R943" s="1223"/>
      <c r="S943" s="1223"/>
      <c r="T943" s="1223"/>
      <c r="U943" s="1223"/>
    </row>
    <row r="944" spans="7:21" ht="15.6">
      <c r="G944" s="1224"/>
      <c r="H944" s="1223"/>
      <c r="I944" s="1223"/>
      <c r="J944" s="1223"/>
      <c r="K944" s="1223"/>
      <c r="L944" s="1223"/>
      <c r="M944" s="1223"/>
      <c r="N944" s="1223"/>
      <c r="O944" s="1223"/>
      <c r="P944" s="1223"/>
      <c r="Q944" s="1223"/>
      <c r="R944" s="1223"/>
      <c r="S944" s="1223"/>
      <c r="T944" s="1223"/>
      <c r="U944" s="1223"/>
    </row>
    <row r="945" spans="7:21" ht="15.6">
      <c r="G945" s="1224"/>
      <c r="H945" s="1223"/>
      <c r="I945" s="1223"/>
      <c r="J945" s="1223"/>
      <c r="K945" s="1223"/>
      <c r="L945" s="1223"/>
      <c r="M945" s="1223"/>
      <c r="N945" s="1223"/>
      <c r="O945" s="1223"/>
      <c r="P945" s="1223"/>
      <c r="Q945" s="1223"/>
      <c r="R945" s="1223"/>
      <c r="S945" s="1223"/>
      <c r="T945" s="1223"/>
      <c r="U945" s="1223"/>
    </row>
    <row r="946" spans="7:21" ht="15.6">
      <c r="G946" s="1224"/>
      <c r="H946" s="1223"/>
      <c r="I946" s="1223"/>
      <c r="J946" s="1223"/>
      <c r="K946" s="1223"/>
      <c r="L946" s="1223"/>
      <c r="M946" s="1223"/>
      <c r="N946" s="1223"/>
      <c r="O946" s="1223"/>
      <c r="P946" s="1223"/>
      <c r="Q946" s="1223"/>
      <c r="R946" s="1223"/>
      <c r="S946" s="1223"/>
      <c r="T946" s="1223"/>
      <c r="U946" s="1223"/>
    </row>
    <row r="947" spans="7:21" ht="15.6">
      <c r="G947" s="1224"/>
      <c r="H947" s="1223"/>
      <c r="I947" s="1223"/>
      <c r="J947" s="1223"/>
      <c r="K947" s="1223"/>
      <c r="L947" s="1223"/>
      <c r="M947" s="1223"/>
      <c r="N947" s="1223"/>
      <c r="O947" s="1223"/>
      <c r="P947" s="1223"/>
      <c r="Q947" s="1223"/>
      <c r="R947" s="1223"/>
      <c r="S947" s="1223"/>
      <c r="T947" s="1223"/>
      <c r="U947" s="1223"/>
    </row>
    <row r="948" spans="7:21" ht="15.6">
      <c r="G948" s="1224"/>
      <c r="H948" s="1223"/>
      <c r="I948" s="1223"/>
      <c r="J948" s="1223"/>
      <c r="K948" s="1223"/>
      <c r="L948" s="1223"/>
      <c r="M948" s="1223"/>
      <c r="N948" s="1223"/>
      <c r="O948" s="1223"/>
      <c r="P948" s="1223"/>
      <c r="Q948" s="1223"/>
      <c r="R948" s="1223"/>
      <c r="S948" s="1223"/>
      <c r="T948" s="1223"/>
      <c r="U948" s="1223"/>
    </row>
    <row r="949" spans="7:21" ht="15.6">
      <c r="G949" s="1224"/>
      <c r="H949" s="1223"/>
      <c r="I949" s="1223"/>
      <c r="J949" s="1223"/>
      <c r="K949" s="1223"/>
      <c r="L949" s="1223"/>
      <c r="M949" s="1223"/>
      <c r="N949" s="1223"/>
      <c r="O949" s="1223"/>
      <c r="P949" s="1223"/>
      <c r="Q949" s="1223"/>
      <c r="R949" s="1223"/>
      <c r="S949" s="1223"/>
      <c r="T949" s="1223"/>
      <c r="U949" s="1223"/>
    </row>
    <row r="950" spans="7:21" ht="15.6">
      <c r="G950" s="1224"/>
      <c r="H950" s="1223"/>
      <c r="I950" s="1223"/>
      <c r="J950" s="1223"/>
      <c r="K950" s="1223"/>
      <c r="L950" s="1223"/>
      <c r="M950" s="1223"/>
      <c r="N950" s="1223"/>
      <c r="O950" s="1223"/>
      <c r="P950" s="1223"/>
      <c r="Q950" s="1223"/>
      <c r="R950" s="1223"/>
      <c r="S950" s="1223"/>
      <c r="T950" s="1223"/>
      <c r="U950" s="1223"/>
    </row>
    <row r="951" spans="7:21" ht="15.6">
      <c r="G951" s="1224"/>
      <c r="H951" s="1223"/>
      <c r="I951" s="1223"/>
      <c r="J951" s="1223"/>
      <c r="K951" s="1223"/>
      <c r="L951" s="1223"/>
      <c r="M951" s="1223"/>
      <c r="N951" s="1223"/>
      <c r="O951" s="1223"/>
      <c r="P951" s="1223"/>
      <c r="Q951" s="1223"/>
      <c r="R951" s="1223"/>
      <c r="S951" s="1223"/>
      <c r="T951" s="1223"/>
      <c r="U951" s="1223"/>
    </row>
    <row r="952" spans="7:21" ht="15.6">
      <c r="G952" s="1224"/>
      <c r="H952" s="1223"/>
      <c r="I952" s="1223"/>
      <c r="J952" s="1223"/>
      <c r="K952" s="1223"/>
      <c r="L952" s="1223"/>
      <c r="M952" s="1223"/>
      <c r="N952" s="1223"/>
      <c r="O952" s="1223"/>
      <c r="P952" s="1223"/>
      <c r="Q952" s="1223"/>
      <c r="R952" s="1223"/>
      <c r="S952" s="1223"/>
      <c r="T952" s="1223"/>
      <c r="U952" s="1223"/>
    </row>
    <row r="953" spans="7:21" ht="15.6">
      <c r="G953" s="1224"/>
      <c r="H953" s="1223"/>
      <c r="I953" s="1223"/>
      <c r="J953" s="1223"/>
      <c r="K953" s="1223"/>
      <c r="L953" s="1223"/>
      <c r="M953" s="1223"/>
      <c r="N953" s="1223"/>
      <c r="O953" s="1223"/>
      <c r="P953" s="1223"/>
      <c r="Q953" s="1223"/>
      <c r="R953" s="1223"/>
      <c r="S953" s="1223"/>
      <c r="T953" s="1223"/>
      <c r="U953" s="1223"/>
    </row>
    <row r="954" spans="7:21" ht="15.6">
      <c r="G954" s="1224"/>
      <c r="H954" s="1223"/>
      <c r="I954" s="1223"/>
      <c r="J954" s="1223"/>
      <c r="K954" s="1223"/>
      <c r="L954" s="1223"/>
      <c r="M954" s="1223"/>
      <c r="N954" s="1223"/>
      <c r="O954" s="1223"/>
      <c r="P954" s="1223"/>
      <c r="Q954" s="1223"/>
      <c r="R954" s="1223"/>
      <c r="S954" s="1223"/>
      <c r="T954" s="1223"/>
      <c r="U954" s="1223"/>
    </row>
    <row r="955" spans="7:21" ht="15.6">
      <c r="G955" s="1224"/>
      <c r="H955" s="1223"/>
      <c r="I955" s="1223"/>
      <c r="J955" s="1223"/>
      <c r="K955" s="1223"/>
      <c r="L955" s="1223"/>
      <c r="M955" s="1223"/>
      <c r="N955" s="1223"/>
      <c r="O955" s="1223"/>
      <c r="P955" s="1223"/>
      <c r="Q955" s="1223"/>
      <c r="R955" s="1223"/>
      <c r="S955" s="1223"/>
      <c r="T955" s="1223"/>
      <c r="U955" s="1223"/>
    </row>
    <row r="956" spans="7:21" ht="15.6">
      <c r="G956" s="1224"/>
      <c r="H956" s="1223"/>
      <c r="I956" s="1223"/>
      <c r="J956" s="1223"/>
      <c r="K956" s="1223"/>
      <c r="L956" s="1223"/>
      <c r="M956" s="1223"/>
      <c r="N956" s="1223"/>
      <c r="O956" s="1223"/>
      <c r="P956" s="1223"/>
      <c r="Q956" s="1223"/>
      <c r="R956" s="1223"/>
      <c r="S956" s="1223"/>
      <c r="T956" s="1223"/>
      <c r="U956" s="1223"/>
    </row>
    <row r="957" spans="7:21" ht="15.6">
      <c r="G957" s="1224"/>
      <c r="H957" s="1223"/>
      <c r="I957" s="1223"/>
      <c r="J957" s="1223"/>
      <c r="K957" s="1223"/>
      <c r="L957" s="1223"/>
      <c r="M957" s="1223"/>
      <c r="N957" s="1223"/>
      <c r="O957" s="1223"/>
      <c r="P957" s="1223"/>
      <c r="Q957" s="1223"/>
      <c r="R957" s="1223"/>
      <c r="S957" s="1223"/>
      <c r="T957" s="1223"/>
      <c r="U957" s="1223"/>
    </row>
    <row r="958" spans="7:21" ht="15.6">
      <c r="G958" s="1224"/>
      <c r="H958" s="1223"/>
      <c r="I958" s="1223"/>
      <c r="J958" s="1223"/>
      <c r="K958" s="1223"/>
      <c r="L958" s="1223"/>
      <c r="M958" s="1223"/>
      <c r="N958" s="1223"/>
      <c r="O958" s="1223"/>
      <c r="P958" s="1223"/>
      <c r="Q958" s="1223"/>
      <c r="R958" s="1223"/>
      <c r="S958" s="1223"/>
      <c r="T958" s="1223"/>
      <c r="U958" s="1223"/>
    </row>
    <row r="959" spans="7:21" ht="15.6">
      <c r="G959" s="1224"/>
      <c r="H959" s="1223"/>
      <c r="I959" s="1223"/>
      <c r="J959" s="1223"/>
      <c r="K959" s="1223"/>
      <c r="L959" s="1223"/>
      <c r="M959" s="1223"/>
      <c r="N959" s="1223"/>
      <c r="O959" s="1223"/>
      <c r="P959" s="1223"/>
      <c r="Q959" s="1223"/>
      <c r="R959" s="1223"/>
      <c r="S959" s="1223"/>
      <c r="T959" s="1223"/>
      <c r="U959" s="1223"/>
    </row>
    <row r="960" spans="7:21" ht="15.6">
      <c r="G960" s="1224"/>
      <c r="H960" s="1223"/>
      <c r="I960" s="1223"/>
      <c r="J960" s="1223"/>
      <c r="K960" s="1223"/>
      <c r="L960" s="1223"/>
      <c r="M960" s="1223"/>
      <c r="N960" s="1223"/>
      <c r="O960" s="1223"/>
      <c r="P960" s="1223"/>
      <c r="Q960" s="1223"/>
      <c r="R960" s="1223"/>
      <c r="S960" s="1223"/>
      <c r="T960" s="1223"/>
      <c r="U960" s="1223"/>
    </row>
    <row r="961" spans="7:21" ht="15.6">
      <c r="G961" s="1224"/>
      <c r="H961" s="1223"/>
      <c r="I961" s="1223"/>
      <c r="J961" s="1223"/>
      <c r="K961" s="1223"/>
      <c r="L961" s="1223"/>
      <c r="M961" s="1223"/>
      <c r="N961" s="1223"/>
      <c r="O961" s="1223"/>
      <c r="P961" s="1223"/>
      <c r="Q961" s="1223"/>
      <c r="R961" s="1223"/>
      <c r="S961" s="1223"/>
      <c r="T961" s="1223"/>
      <c r="U961" s="1223"/>
    </row>
    <row r="962" spans="7:21" ht="15.6">
      <c r="G962" s="1224"/>
      <c r="H962" s="1223"/>
      <c r="I962" s="1223"/>
      <c r="J962" s="1223"/>
      <c r="K962" s="1223"/>
      <c r="L962" s="1223"/>
      <c r="M962" s="1223"/>
      <c r="N962" s="1223"/>
      <c r="O962" s="1223"/>
      <c r="P962" s="1223"/>
      <c r="Q962" s="1223"/>
      <c r="R962" s="1223"/>
      <c r="S962" s="1223"/>
      <c r="T962" s="1223"/>
      <c r="U962" s="1223"/>
    </row>
    <row r="963" spans="7:21" ht="15.6">
      <c r="G963" s="1224"/>
      <c r="H963" s="1223"/>
      <c r="I963" s="1223"/>
      <c r="J963" s="1223"/>
      <c r="K963" s="1223"/>
      <c r="L963" s="1223"/>
      <c r="M963" s="1223"/>
      <c r="N963" s="1223"/>
      <c r="O963" s="1223"/>
      <c r="P963" s="1223"/>
      <c r="Q963" s="1223"/>
      <c r="R963" s="1223"/>
      <c r="S963" s="1223"/>
      <c r="T963" s="1223"/>
      <c r="U963" s="1223"/>
    </row>
    <row r="964" spans="7:21" ht="15.6">
      <c r="G964" s="1224"/>
      <c r="H964" s="1223"/>
      <c r="I964" s="1223"/>
      <c r="J964" s="1223"/>
      <c r="K964" s="1223"/>
      <c r="L964" s="1223"/>
      <c r="M964" s="1223"/>
      <c r="N964" s="1223"/>
      <c r="O964" s="1223"/>
      <c r="P964" s="1223"/>
      <c r="Q964" s="1223"/>
      <c r="R964" s="1223"/>
      <c r="S964" s="1223"/>
      <c r="T964" s="1223"/>
      <c r="U964" s="1223"/>
    </row>
    <row r="965" spans="7:21" ht="15.6">
      <c r="G965" s="1224"/>
      <c r="H965" s="1223"/>
      <c r="I965" s="1223"/>
      <c r="J965" s="1223"/>
      <c r="K965" s="1223"/>
      <c r="L965" s="1223"/>
      <c r="M965" s="1223"/>
      <c r="N965" s="1223"/>
      <c r="O965" s="1223"/>
      <c r="P965" s="1223"/>
      <c r="Q965" s="1223"/>
      <c r="R965" s="1223"/>
      <c r="S965" s="1223"/>
      <c r="T965" s="1223"/>
      <c r="U965" s="1223"/>
    </row>
    <row r="966" spans="7:21" ht="15.6">
      <c r="G966" s="1224"/>
      <c r="H966" s="1223"/>
      <c r="I966" s="1223"/>
      <c r="J966" s="1223"/>
      <c r="K966" s="1223"/>
      <c r="L966" s="1223"/>
      <c r="M966" s="1223"/>
      <c r="N966" s="1223"/>
      <c r="O966" s="1223"/>
      <c r="P966" s="1223"/>
      <c r="Q966" s="1223"/>
      <c r="R966" s="1223"/>
      <c r="S966" s="1223"/>
      <c r="T966" s="1223"/>
      <c r="U966" s="1223"/>
    </row>
    <row r="967" spans="7:21" ht="15.6">
      <c r="G967" s="1224"/>
      <c r="H967" s="1223"/>
      <c r="I967" s="1223"/>
      <c r="J967" s="1223"/>
      <c r="K967" s="1223"/>
      <c r="L967" s="1223"/>
      <c r="M967" s="1223"/>
      <c r="N967" s="1223"/>
      <c r="O967" s="1223"/>
      <c r="P967" s="1223"/>
      <c r="Q967" s="1223"/>
      <c r="R967" s="1223"/>
      <c r="S967" s="1223"/>
      <c r="T967" s="1223"/>
      <c r="U967" s="1223"/>
    </row>
    <row r="968" spans="7:21" ht="15.6">
      <c r="G968" s="1224"/>
      <c r="H968" s="1223"/>
      <c r="I968" s="1223"/>
      <c r="J968" s="1223"/>
      <c r="K968" s="1223"/>
      <c r="L968" s="1223"/>
      <c r="M968" s="1223"/>
      <c r="N968" s="1223"/>
      <c r="O968" s="1223"/>
      <c r="P968" s="1223"/>
      <c r="Q968" s="1223"/>
      <c r="R968" s="1223"/>
      <c r="S968" s="1223"/>
      <c r="T968" s="1223"/>
      <c r="U968" s="1223"/>
    </row>
    <row r="969" spans="7:21" ht="15.6">
      <c r="G969" s="1224"/>
      <c r="H969" s="1223"/>
      <c r="I969" s="1223"/>
      <c r="J969" s="1223"/>
      <c r="K969" s="1223"/>
      <c r="L969" s="1223"/>
      <c r="M969" s="1223"/>
      <c r="N969" s="1223"/>
      <c r="O969" s="1223"/>
      <c r="P969" s="1223"/>
      <c r="Q969" s="1223"/>
      <c r="R969" s="1223"/>
      <c r="S969" s="1223"/>
      <c r="T969" s="1223"/>
      <c r="U969" s="1223"/>
    </row>
    <row r="970" spans="7:21" ht="15.6">
      <c r="G970" s="1224"/>
      <c r="H970" s="1223"/>
      <c r="I970" s="1223"/>
      <c r="J970" s="1223"/>
      <c r="K970" s="1223"/>
      <c r="L970" s="1223"/>
      <c r="M970" s="1223"/>
      <c r="N970" s="1223"/>
      <c r="O970" s="1223"/>
      <c r="P970" s="1223"/>
      <c r="Q970" s="1223"/>
      <c r="R970" s="1223"/>
      <c r="S970" s="1223"/>
      <c r="T970" s="1223"/>
      <c r="U970" s="1223"/>
    </row>
    <row r="971" spans="7:21" ht="15.6">
      <c r="G971" s="1224"/>
      <c r="H971" s="1223"/>
      <c r="I971" s="1223"/>
      <c r="J971" s="1223"/>
      <c r="K971" s="1223"/>
      <c r="L971" s="1223"/>
      <c r="M971" s="1223"/>
      <c r="N971" s="1223"/>
      <c r="O971" s="1223"/>
      <c r="P971" s="1223"/>
      <c r="Q971" s="1223"/>
      <c r="R971" s="1223"/>
      <c r="S971" s="1223"/>
      <c r="T971" s="1223"/>
      <c r="U971" s="1223"/>
    </row>
    <row r="972" spans="7:21" ht="15.6">
      <c r="G972" s="1224"/>
      <c r="H972" s="1223"/>
      <c r="I972" s="1223"/>
      <c r="J972" s="1223"/>
      <c r="K972" s="1223"/>
      <c r="L972" s="1223"/>
      <c r="M972" s="1223"/>
      <c r="N972" s="1223"/>
      <c r="O972" s="1223"/>
      <c r="P972" s="1223"/>
      <c r="Q972" s="1223"/>
      <c r="R972" s="1223"/>
      <c r="S972" s="1223"/>
      <c r="T972" s="1223"/>
      <c r="U972" s="1223"/>
    </row>
    <row r="973" spans="7:21" ht="15.6">
      <c r="G973" s="1224"/>
      <c r="H973" s="1223"/>
      <c r="I973" s="1223"/>
      <c r="J973" s="1223"/>
      <c r="K973" s="1223"/>
      <c r="L973" s="1223"/>
      <c r="M973" s="1223"/>
      <c r="N973" s="1223"/>
      <c r="O973" s="1223"/>
      <c r="P973" s="1223"/>
      <c r="Q973" s="1223"/>
      <c r="R973" s="1223"/>
      <c r="S973" s="1223"/>
      <c r="T973" s="1223"/>
      <c r="U973" s="1223"/>
    </row>
    <row r="974" spans="7:21" ht="15.6">
      <c r="G974" s="1224"/>
      <c r="H974" s="1223"/>
      <c r="I974" s="1223"/>
      <c r="J974" s="1223"/>
      <c r="K974" s="1223"/>
      <c r="L974" s="1223"/>
      <c r="M974" s="1223"/>
      <c r="N974" s="1223"/>
      <c r="O974" s="1223"/>
      <c r="P974" s="1223"/>
      <c r="Q974" s="1223"/>
      <c r="R974" s="1223"/>
      <c r="S974" s="1223"/>
      <c r="T974" s="1223"/>
      <c r="U974" s="1223"/>
    </row>
    <row r="975" spans="7:21" ht="15.6">
      <c r="G975" s="1224"/>
      <c r="H975" s="1223"/>
      <c r="I975" s="1223"/>
      <c r="J975" s="1223"/>
      <c r="K975" s="1223"/>
      <c r="L975" s="1223"/>
      <c r="M975" s="1223"/>
      <c r="N975" s="1223"/>
      <c r="O975" s="1223"/>
      <c r="P975" s="1223"/>
      <c r="Q975" s="1223"/>
      <c r="R975" s="1223"/>
      <c r="S975" s="1223"/>
      <c r="T975" s="1223"/>
      <c r="U975" s="1223"/>
    </row>
    <row r="976" spans="7:21" ht="15.6">
      <c r="G976" s="1224"/>
      <c r="H976" s="1223"/>
      <c r="I976" s="1223"/>
      <c r="J976" s="1223"/>
      <c r="K976" s="1223"/>
      <c r="L976" s="1223"/>
      <c r="M976" s="1223"/>
      <c r="N976" s="1223"/>
      <c r="O976" s="1223"/>
      <c r="P976" s="1223"/>
      <c r="Q976" s="1223"/>
      <c r="R976" s="1223"/>
      <c r="S976" s="1223"/>
      <c r="T976" s="1223"/>
      <c r="U976" s="1223"/>
    </row>
    <row r="977" spans="7:21" ht="15.6">
      <c r="G977" s="1224"/>
      <c r="H977" s="1223"/>
      <c r="I977" s="1223"/>
      <c r="J977" s="1223"/>
      <c r="K977" s="1223"/>
      <c r="L977" s="1223"/>
      <c r="M977" s="1223"/>
      <c r="N977" s="1223"/>
      <c r="O977" s="1223"/>
      <c r="P977" s="1223"/>
      <c r="Q977" s="1223"/>
      <c r="R977" s="1223"/>
      <c r="S977" s="1223"/>
      <c r="T977" s="1223"/>
      <c r="U977" s="1223"/>
    </row>
    <row r="978" spans="7:21" ht="15.6">
      <c r="G978" s="1224"/>
      <c r="H978" s="1223"/>
      <c r="I978" s="1223"/>
      <c r="J978" s="1223"/>
      <c r="K978" s="1223"/>
      <c r="L978" s="1223"/>
      <c r="M978" s="1223"/>
      <c r="N978" s="1223"/>
      <c r="O978" s="1223"/>
      <c r="P978" s="1223"/>
      <c r="Q978" s="1223"/>
      <c r="R978" s="1223"/>
      <c r="S978" s="1223"/>
      <c r="T978" s="1223"/>
      <c r="U978" s="1223"/>
    </row>
    <row r="979" spans="7:21" ht="15.6">
      <c r="G979" s="1224"/>
      <c r="H979" s="1223"/>
      <c r="I979" s="1223"/>
      <c r="J979" s="1223"/>
      <c r="K979" s="1223"/>
      <c r="L979" s="1223"/>
      <c r="M979" s="1223"/>
      <c r="N979" s="1223"/>
      <c r="O979" s="1223"/>
      <c r="P979" s="1223"/>
      <c r="Q979" s="1223"/>
      <c r="R979" s="1223"/>
      <c r="S979" s="1223"/>
      <c r="T979" s="1223"/>
      <c r="U979" s="1223"/>
    </row>
    <row r="980" spans="7:21" ht="15.6">
      <c r="G980" s="1224"/>
      <c r="H980" s="1223"/>
      <c r="I980" s="1223"/>
      <c r="J980" s="1223"/>
      <c r="K980" s="1223"/>
      <c r="L980" s="1223"/>
      <c r="M980" s="1223"/>
      <c r="N980" s="1223"/>
      <c r="O980" s="1223"/>
      <c r="P980" s="1223"/>
      <c r="Q980" s="1223"/>
      <c r="R980" s="1223"/>
      <c r="S980" s="1223"/>
      <c r="T980" s="1223"/>
      <c r="U980" s="1223"/>
    </row>
    <row r="981" spans="7:21" ht="15.6">
      <c r="G981" s="1224"/>
      <c r="H981" s="1223"/>
      <c r="I981" s="1223"/>
      <c r="J981" s="1223"/>
      <c r="K981" s="1223"/>
      <c r="L981" s="1223"/>
      <c r="M981" s="1223"/>
      <c r="N981" s="1223"/>
      <c r="O981" s="1223"/>
      <c r="P981" s="1223"/>
      <c r="Q981" s="1223"/>
      <c r="R981" s="1223"/>
      <c r="S981" s="1223"/>
      <c r="T981" s="1223"/>
      <c r="U981" s="1223"/>
    </row>
    <row r="982" spans="7:21" ht="15.6">
      <c r="G982" s="1224"/>
      <c r="H982" s="1223"/>
      <c r="I982" s="1223"/>
      <c r="J982" s="1223"/>
      <c r="K982" s="1223"/>
      <c r="L982" s="1223"/>
      <c r="M982" s="1223"/>
      <c r="N982" s="1223"/>
      <c r="O982" s="1223"/>
      <c r="P982" s="1223"/>
      <c r="Q982" s="1223"/>
      <c r="R982" s="1223"/>
      <c r="S982" s="1223"/>
      <c r="T982" s="1223"/>
      <c r="U982" s="1223"/>
    </row>
    <row r="983" spans="7:21" ht="15.6">
      <c r="G983" s="1224"/>
      <c r="H983" s="1223"/>
      <c r="I983" s="1223"/>
      <c r="J983" s="1223"/>
      <c r="K983" s="1223"/>
      <c r="L983" s="1223"/>
      <c r="M983" s="1223"/>
      <c r="N983" s="1223"/>
      <c r="O983" s="1223"/>
      <c r="P983" s="1223"/>
      <c r="Q983" s="1223"/>
      <c r="R983" s="1223"/>
      <c r="S983" s="1223"/>
      <c r="T983" s="1223"/>
      <c r="U983" s="1223"/>
    </row>
    <row r="984" spans="7:21" ht="15.6">
      <c r="G984" s="1224"/>
      <c r="H984" s="1223"/>
      <c r="I984" s="1223"/>
      <c r="J984" s="1223"/>
      <c r="K984" s="1223"/>
      <c r="L984" s="1223"/>
      <c r="M984" s="1223"/>
      <c r="N984" s="1223"/>
      <c r="O984" s="1223"/>
      <c r="P984" s="1223"/>
      <c r="Q984" s="1223"/>
      <c r="R984" s="1223"/>
      <c r="S984" s="1223"/>
      <c r="T984" s="1223"/>
      <c r="U984" s="1223"/>
    </row>
    <row r="985" spans="7:21" ht="15.6">
      <c r="G985" s="1224"/>
      <c r="H985" s="1223"/>
      <c r="I985" s="1223"/>
      <c r="J985" s="1223"/>
      <c r="K985" s="1223"/>
      <c r="L985" s="1223"/>
      <c r="M985" s="1223"/>
      <c r="N985" s="1223"/>
      <c r="O985" s="1223"/>
      <c r="P985" s="1223"/>
      <c r="Q985" s="1223"/>
      <c r="R985" s="1223"/>
      <c r="S985" s="1223"/>
      <c r="T985" s="1223"/>
      <c r="U985" s="1223"/>
    </row>
    <row r="986" spans="7:21" ht="15.6">
      <c r="G986" s="1224"/>
      <c r="H986" s="1223"/>
      <c r="I986" s="1223"/>
      <c r="J986" s="1223"/>
      <c r="K986" s="1223"/>
      <c r="L986" s="1223"/>
      <c r="M986" s="1223"/>
      <c r="N986" s="1223"/>
      <c r="O986" s="1223"/>
      <c r="P986" s="1223"/>
      <c r="Q986" s="1223"/>
      <c r="R986" s="1223"/>
      <c r="S986" s="1223"/>
      <c r="T986" s="1223"/>
      <c r="U986" s="1223"/>
    </row>
    <row r="987" spans="7:21" ht="15.6">
      <c r="G987" s="1224"/>
      <c r="H987" s="1223"/>
      <c r="I987" s="1223"/>
      <c r="J987" s="1223"/>
      <c r="K987" s="1223"/>
      <c r="L987" s="1223"/>
      <c r="M987" s="1223"/>
      <c r="N987" s="1223"/>
      <c r="O987" s="1223"/>
      <c r="P987" s="1223"/>
      <c r="Q987" s="1223"/>
      <c r="R987" s="1223"/>
      <c r="S987" s="1223"/>
      <c r="T987" s="1223"/>
      <c r="U987" s="1223"/>
    </row>
    <row r="988" spans="7:21" ht="15.6">
      <c r="G988" s="1224"/>
      <c r="H988" s="1223"/>
      <c r="I988" s="1223"/>
      <c r="J988" s="1223"/>
      <c r="K988" s="1223"/>
      <c r="L988" s="1223"/>
      <c r="M988" s="1223"/>
      <c r="N988" s="1223"/>
      <c r="O988" s="1223"/>
      <c r="P988" s="1223"/>
      <c r="Q988" s="1223"/>
      <c r="R988" s="1223"/>
      <c r="S988" s="1223"/>
      <c r="T988" s="1223"/>
      <c r="U988" s="1223"/>
    </row>
    <row r="989" spans="7:21" ht="15.6">
      <c r="G989" s="1224"/>
      <c r="H989" s="1223"/>
      <c r="I989" s="1223"/>
      <c r="J989" s="1223"/>
      <c r="K989" s="1223"/>
      <c r="L989" s="1223"/>
      <c r="M989" s="1223"/>
      <c r="N989" s="1223"/>
      <c r="O989" s="1223"/>
      <c r="P989" s="1223"/>
      <c r="Q989" s="1223"/>
      <c r="R989" s="1223"/>
      <c r="S989" s="1223"/>
      <c r="T989" s="1223"/>
      <c r="U989" s="1223"/>
    </row>
    <row r="990" spans="7:21" ht="15.6">
      <c r="G990" s="1224"/>
      <c r="H990" s="1223"/>
      <c r="I990" s="1223"/>
      <c r="J990" s="1223"/>
      <c r="K990" s="1223"/>
      <c r="L990" s="1223"/>
      <c r="M990" s="1223"/>
      <c r="N990" s="1223"/>
      <c r="O990" s="1223"/>
      <c r="P990" s="1223"/>
      <c r="Q990" s="1223"/>
      <c r="R990" s="1223"/>
      <c r="S990" s="1223"/>
      <c r="T990" s="1223"/>
      <c r="U990" s="1223"/>
    </row>
    <row r="991" spans="7:21" ht="15.6">
      <c r="G991" s="1224"/>
      <c r="H991" s="1223"/>
      <c r="I991" s="1223"/>
      <c r="J991" s="1223"/>
      <c r="K991" s="1223"/>
      <c r="L991" s="1223"/>
      <c r="M991" s="1223"/>
      <c r="N991" s="1223"/>
      <c r="O991" s="1223"/>
      <c r="P991" s="1223"/>
      <c r="Q991" s="1223"/>
      <c r="R991" s="1223"/>
      <c r="S991" s="1223"/>
      <c r="T991" s="1223"/>
      <c r="U991" s="1223"/>
    </row>
    <row r="992" spans="7:21" ht="15.6">
      <c r="G992" s="1224"/>
      <c r="H992" s="1223"/>
      <c r="I992" s="1223"/>
      <c r="J992" s="1223"/>
      <c r="K992" s="1223"/>
      <c r="L992" s="1223"/>
      <c r="M992" s="1223"/>
      <c r="N992" s="1223"/>
      <c r="O992" s="1223"/>
      <c r="P992" s="1223"/>
      <c r="Q992" s="1223"/>
      <c r="R992" s="1223"/>
      <c r="S992" s="1223"/>
      <c r="T992" s="1223"/>
      <c r="U992" s="1223"/>
    </row>
    <row r="993" spans="7:21" ht="15.6">
      <c r="G993" s="1224"/>
      <c r="H993" s="1223"/>
      <c r="I993" s="1223"/>
      <c r="J993" s="1223"/>
      <c r="K993" s="1223"/>
      <c r="L993" s="1223"/>
      <c r="M993" s="1223"/>
      <c r="N993" s="1223"/>
      <c r="O993" s="1223"/>
      <c r="P993" s="1223"/>
      <c r="Q993" s="1223"/>
      <c r="R993" s="1223"/>
      <c r="S993" s="1223"/>
      <c r="T993" s="1223"/>
      <c r="U993" s="1223"/>
    </row>
    <row r="994" spans="7:21" ht="15.6">
      <c r="G994" s="1224"/>
      <c r="H994" s="1223"/>
      <c r="I994" s="1223"/>
      <c r="J994" s="1223"/>
      <c r="K994" s="1223"/>
      <c r="L994" s="1223"/>
      <c r="M994" s="1223"/>
      <c r="N994" s="1223"/>
      <c r="O994" s="1223"/>
      <c r="P994" s="1223"/>
      <c r="Q994" s="1223"/>
      <c r="R994" s="1223"/>
      <c r="S994" s="1223"/>
      <c r="T994" s="1223"/>
      <c r="U994" s="1223"/>
    </row>
    <row r="995" spans="7:21" ht="15.6">
      <c r="G995" s="1224"/>
      <c r="H995" s="1223"/>
      <c r="I995" s="1223"/>
      <c r="J995" s="1223"/>
      <c r="K995" s="1223"/>
      <c r="L995" s="1223"/>
      <c r="M995" s="1223"/>
      <c r="N995" s="1223"/>
      <c r="O995" s="1223"/>
      <c r="P995" s="1223"/>
      <c r="Q995" s="1223"/>
      <c r="R995" s="1223"/>
      <c r="S995" s="1223"/>
      <c r="T995" s="1223"/>
      <c r="U995" s="1223"/>
    </row>
    <row r="996" spans="7:21" ht="15.6">
      <c r="G996" s="1224"/>
      <c r="H996" s="1223"/>
      <c r="I996" s="1223"/>
      <c r="J996" s="1223"/>
      <c r="K996" s="1223"/>
      <c r="L996" s="1223"/>
      <c r="M996" s="1223"/>
      <c r="N996" s="1223"/>
      <c r="O996" s="1223"/>
      <c r="P996" s="1223"/>
      <c r="Q996" s="1223"/>
      <c r="R996" s="1223"/>
      <c r="S996" s="1223"/>
      <c r="T996" s="1223"/>
      <c r="U996" s="1223"/>
    </row>
    <row r="997" spans="7:21" ht="15.6">
      <c r="G997" s="1224"/>
      <c r="H997" s="1223"/>
      <c r="I997" s="1223"/>
      <c r="J997" s="1223"/>
      <c r="K997" s="1223"/>
      <c r="L997" s="1223"/>
      <c r="M997" s="1223"/>
      <c r="N997" s="1223"/>
      <c r="O997" s="1223"/>
      <c r="P997" s="1223"/>
      <c r="Q997" s="1223"/>
      <c r="R997" s="1223"/>
      <c r="S997" s="1223"/>
      <c r="T997" s="1223"/>
      <c r="U997" s="1223"/>
    </row>
    <row r="998" spans="7:21" ht="15.6">
      <c r="G998" s="1224"/>
      <c r="H998" s="1223"/>
      <c r="I998" s="1223"/>
      <c r="J998" s="1223"/>
      <c r="K998" s="1223"/>
      <c r="L998" s="1223"/>
      <c r="M998" s="1223"/>
      <c r="N998" s="1223"/>
      <c r="O998" s="1223"/>
      <c r="P998" s="1223"/>
      <c r="Q998" s="1223"/>
      <c r="R998" s="1223"/>
      <c r="S998" s="1223"/>
      <c r="T998" s="1223"/>
      <c r="U998" s="1223"/>
    </row>
    <row r="999" spans="7:21" ht="15.6">
      <c r="G999" s="1224"/>
      <c r="H999" s="1223"/>
      <c r="I999" s="1223"/>
      <c r="J999" s="1223"/>
      <c r="K999" s="1223"/>
      <c r="L999" s="1223"/>
      <c r="M999" s="1223"/>
      <c r="N999" s="1223"/>
      <c r="O999" s="1223"/>
      <c r="P999" s="1223"/>
      <c r="Q999" s="1223"/>
      <c r="R999" s="1223"/>
      <c r="S999" s="1223"/>
      <c r="T999" s="1223"/>
      <c r="U999" s="1223"/>
    </row>
    <row r="1000" spans="7:21" ht="15.6">
      <c r="G1000" s="1224"/>
      <c r="H1000" s="1223"/>
      <c r="I1000" s="1223"/>
      <c r="J1000" s="1223"/>
      <c r="K1000" s="1223"/>
      <c r="L1000" s="1223"/>
      <c r="M1000" s="1223"/>
      <c r="N1000" s="1223"/>
      <c r="O1000" s="1223"/>
      <c r="P1000" s="1223"/>
      <c r="Q1000" s="1223"/>
      <c r="R1000" s="1223"/>
      <c r="S1000" s="1223"/>
      <c r="T1000" s="1223"/>
      <c r="U1000" s="1223"/>
    </row>
    <row r="1001" spans="7:21" ht="15.6">
      <c r="G1001" s="1224"/>
      <c r="H1001" s="1223"/>
      <c r="I1001" s="1223"/>
      <c r="J1001" s="1223"/>
      <c r="K1001" s="1223"/>
      <c r="L1001" s="1223"/>
      <c r="M1001" s="1223"/>
      <c r="N1001" s="1223"/>
      <c r="O1001" s="1223"/>
      <c r="P1001" s="1223"/>
      <c r="Q1001" s="1223"/>
      <c r="R1001" s="1223"/>
      <c r="S1001" s="1223"/>
      <c r="T1001" s="1223"/>
      <c r="U1001" s="1223"/>
    </row>
    <row r="1002" spans="7:21" ht="15.6">
      <c r="G1002" s="1224"/>
      <c r="H1002" s="1223"/>
      <c r="I1002" s="1223"/>
      <c r="J1002" s="1223"/>
      <c r="K1002" s="1223"/>
      <c r="L1002" s="1223"/>
      <c r="M1002" s="1223"/>
      <c r="N1002" s="1223"/>
      <c r="O1002" s="1223"/>
      <c r="P1002" s="1223"/>
      <c r="Q1002" s="1223"/>
      <c r="R1002" s="1223"/>
      <c r="S1002" s="1223"/>
      <c r="T1002" s="1223"/>
      <c r="U1002" s="1223"/>
    </row>
    <row r="1003" spans="7:21" ht="15.6">
      <c r="G1003" s="1224"/>
      <c r="H1003" s="1223"/>
      <c r="I1003" s="1223"/>
      <c r="J1003" s="1223"/>
      <c r="K1003" s="1223"/>
      <c r="L1003" s="1223"/>
      <c r="M1003" s="1223"/>
      <c r="N1003" s="1223"/>
      <c r="O1003" s="1223"/>
      <c r="P1003" s="1223"/>
      <c r="Q1003" s="1223"/>
      <c r="R1003" s="1223"/>
      <c r="S1003" s="1223"/>
      <c r="T1003" s="1223"/>
      <c r="U1003" s="1223"/>
    </row>
    <row r="1004" spans="7:21" ht="15.6">
      <c r="G1004" s="1224"/>
      <c r="H1004" s="1223"/>
      <c r="I1004" s="1223"/>
      <c r="J1004" s="1223"/>
      <c r="K1004" s="1223"/>
      <c r="L1004" s="1223"/>
      <c r="M1004" s="1223"/>
      <c r="N1004" s="1223"/>
      <c r="O1004" s="1223"/>
      <c r="P1004" s="1223"/>
      <c r="Q1004" s="1223"/>
      <c r="R1004" s="1223"/>
      <c r="S1004" s="1223"/>
      <c r="T1004" s="1223"/>
      <c r="U1004" s="1223"/>
    </row>
    <row r="1005" spans="7:21" ht="15.6">
      <c r="G1005" s="1224"/>
      <c r="H1005" s="1223"/>
      <c r="I1005" s="1223"/>
      <c r="J1005" s="1223"/>
      <c r="K1005" s="1223"/>
      <c r="L1005" s="1223"/>
      <c r="M1005" s="1223"/>
      <c r="N1005" s="1223"/>
      <c r="O1005" s="1223"/>
      <c r="P1005" s="1223"/>
      <c r="Q1005" s="1223"/>
      <c r="R1005" s="1223"/>
      <c r="S1005" s="1223"/>
      <c r="T1005" s="1223"/>
      <c r="U1005" s="1223"/>
    </row>
    <row r="1006" spans="7:21" ht="15.6">
      <c r="G1006" s="1224"/>
      <c r="H1006" s="1223"/>
      <c r="I1006" s="1223"/>
      <c r="J1006" s="1223"/>
      <c r="K1006" s="1223"/>
      <c r="L1006" s="1223"/>
      <c r="M1006" s="1223"/>
      <c r="N1006" s="1223"/>
      <c r="O1006" s="1223"/>
      <c r="P1006" s="1223"/>
      <c r="Q1006" s="1223"/>
      <c r="R1006" s="1223"/>
      <c r="S1006" s="1223"/>
      <c r="T1006" s="1223"/>
      <c r="U1006" s="1223"/>
    </row>
    <row r="1007" spans="7:21" ht="15.6">
      <c r="G1007" s="1224"/>
      <c r="H1007" s="1223"/>
      <c r="I1007" s="1223"/>
      <c r="J1007" s="1223"/>
      <c r="K1007" s="1223"/>
      <c r="L1007" s="1223"/>
      <c r="M1007" s="1223"/>
      <c r="N1007" s="1223"/>
      <c r="O1007" s="1223"/>
      <c r="P1007" s="1223"/>
      <c r="Q1007" s="1223"/>
      <c r="R1007" s="1223"/>
      <c r="S1007" s="1223"/>
      <c r="T1007" s="1223"/>
      <c r="U1007" s="1223"/>
    </row>
    <row r="1008" spans="7:21" ht="15.6">
      <c r="G1008" s="1224"/>
      <c r="H1008" s="1223"/>
      <c r="I1008" s="1223"/>
      <c r="J1008" s="1223"/>
      <c r="K1008" s="1223"/>
      <c r="L1008" s="1223"/>
      <c r="M1008" s="1223"/>
      <c r="N1008" s="1223"/>
      <c r="O1008" s="1223"/>
      <c r="P1008" s="1223"/>
      <c r="Q1008" s="1223"/>
      <c r="R1008" s="1223"/>
      <c r="S1008" s="1223"/>
      <c r="T1008" s="1223"/>
      <c r="U1008" s="1223"/>
    </row>
    <row r="1009" spans="7:21" ht="15.6">
      <c r="G1009" s="1224"/>
      <c r="H1009" s="1223"/>
      <c r="I1009" s="1223"/>
      <c r="J1009" s="1223"/>
      <c r="K1009" s="1223"/>
      <c r="L1009" s="1223"/>
      <c r="M1009" s="1223"/>
      <c r="N1009" s="1223"/>
      <c r="O1009" s="1223"/>
      <c r="P1009" s="1223"/>
      <c r="Q1009" s="1223"/>
      <c r="R1009" s="1223"/>
      <c r="S1009" s="1223"/>
      <c r="T1009" s="1223"/>
      <c r="U1009" s="1223"/>
    </row>
    <row r="1010" spans="7:21" ht="15.6">
      <c r="G1010" s="1224"/>
      <c r="H1010" s="1223"/>
      <c r="I1010" s="1223"/>
      <c r="J1010" s="1223"/>
      <c r="K1010" s="1223"/>
      <c r="L1010" s="1223"/>
      <c r="M1010" s="1223"/>
      <c r="N1010" s="1223"/>
      <c r="O1010" s="1223"/>
      <c r="P1010" s="1223"/>
      <c r="Q1010" s="1223"/>
      <c r="R1010" s="1223"/>
      <c r="S1010" s="1223"/>
      <c r="T1010" s="1223"/>
      <c r="U1010" s="1223"/>
    </row>
    <row r="1011" spans="7:21" ht="15.6">
      <c r="G1011" s="1224"/>
      <c r="H1011" s="1223"/>
      <c r="I1011" s="1223"/>
      <c r="J1011" s="1223"/>
      <c r="K1011" s="1223"/>
      <c r="L1011" s="1223"/>
      <c r="M1011" s="1223"/>
      <c r="N1011" s="1223"/>
      <c r="O1011" s="1223"/>
      <c r="P1011" s="1223"/>
      <c r="Q1011" s="1223"/>
      <c r="R1011" s="1223"/>
      <c r="S1011" s="1223"/>
      <c r="T1011" s="1223"/>
      <c r="U1011" s="1223"/>
    </row>
    <row r="1012" spans="7:21" ht="15.6">
      <c r="G1012" s="1224"/>
      <c r="H1012" s="1223"/>
      <c r="I1012" s="1223"/>
      <c r="J1012" s="1223"/>
      <c r="K1012" s="1223"/>
      <c r="L1012" s="1223"/>
      <c r="M1012" s="1223"/>
      <c r="N1012" s="1223"/>
      <c r="O1012" s="1223"/>
      <c r="P1012" s="1223"/>
      <c r="Q1012" s="1223"/>
      <c r="R1012" s="1223"/>
      <c r="S1012" s="1223"/>
      <c r="T1012" s="1223"/>
      <c r="U1012" s="1223"/>
    </row>
    <row r="1013" spans="7:21" ht="15.6">
      <c r="G1013" s="1224"/>
      <c r="H1013" s="1223"/>
      <c r="I1013" s="1223"/>
      <c r="J1013" s="1223"/>
      <c r="K1013" s="1223"/>
      <c r="L1013" s="1223"/>
      <c r="M1013" s="1223"/>
      <c r="N1013" s="1223"/>
      <c r="O1013" s="1223"/>
      <c r="P1013" s="1223"/>
      <c r="Q1013" s="1223"/>
      <c r="R1013" s="1223"/>
      <c r="S1013" s="1223"/>
      <c r="T1013" s="1223"/>
      <c r="U1013" s="1223"/>
    </row>
    <row r="1014" spans="7:21" ht="15.6">
      <c r="G1014" s="1224"/>
      <c r="H1014" s="1223"/>
      <c r="I1014" s="1223"/>
      <c r="J1014" s="1223"/>
      <c r="K1014" s="1223"/>
      <c r="L1014" s="1223"/>
      <c r="M1014" s="1223"/>
      <c r="N1014" s="1223"/>
      <c r="O1014" s="1223"/>
      <c r="P1014" s="1223"/>
      <c r="Q1014" s="1223"/>
      <c r="R1014" s="1223"/>
      <c r="S1014" s="1223"/>
      <c r="T1014" s="1223"/>
      <c r="U1014" s="1223"/>
    </row>
    <row r="1015" spans="7:21" ht="15.6">
      <c r="G1015" s="1224"/>
      <c r="H1015" s="1223"/>
      <c r="I1015" s="1223"/>
      <c r="J1015" s="1223"/>
      <c r="K1015" s="1223"/>
      <c r="L1015" s="1223"/>
      <c r="M1015" s="1223"/>
      <c r="N1015" s="1223"/>
      <c r="O1015" s="1223"/>
      <c r="P1015" s="1223"/>
      <c r="Q1015" s="1223"/>
      <c r="R1015" s="1223"/>
      <c r="S1015" s="1223"/>
      <c r="T1015" s="1223"/>
      <c r="U1015" s="1223"/>
    </row>
    <row r="1016" spans="7:21" ht="15.6">
      <c r="G1016" s="1224"/>
      <c r="H1016" s="1223"/>
      <c r="I1016" s="1223"/>
      <c r="J1016" s="1223"/>
      <c r="K1016" s="1223"/>
      <c r="L1016" s="1223"/>
      <c r="M1016" s="1223"/>
      <c r="N1016" s="1223"/>
      <c r="O1016" s="1223"/>
      <c r="P1016" s="1223"/>
      <c r="Q1016" s="1223"/>
      <c r="R1016" s="1223"/>
      <c r="S1016" s="1223"/>
      <c r="T1016" s="1223"/>
      <c r="U1016" s="1223"/>
    </row>
    <row r="1017" spans="7:21" ht="15.6">
      <c r="G1017" s="1224"/>
      <c r="H1017" s="1223"/>
      <c r="I1017" s="1223"/>
      <c r="J1017" s="1223"/>
      <c r="K1017" s="1223"/>
      <c r="L1017" s="1223"/>
      <c r="M1017" s="1223"/>
      <c r="N1017" s="1223"/>
      <c r="O1017" s="1223"/>
      <c r="P1017" s="1223"/>
      <c r="Q1017" s="1223"/>
      <c r="R1017" s="1223"/>
      <c r="S1017" s="1223"/>
      <c r="T1017" s="1223"/>
      <c r="U1017" s="1223"/>
    </row>
    <row r="1018" spans="7:21" ht="15.6">
      <c r="G1018" s="1224"/>
      <c r="H1018" s="1223"/>
      <c r="I1018" s="1223"/>
      <c r="J1018" s="1223"/>
      <c r="K1018" s="1223"/>
      <c r="L1018" s="1223"/>
      <c r="M1018" s="1223"/>
      <c r="N1018" s="1223"/>
      <c r="O1018" s="1223"/>
      <c r="P1018" s="1223"/>
      <c r="Q1018" s="1223"/>
      <c r="R1018" s="1223"/>
      <c r="S1018" s="1223"/>
      <c r="T1018" s="1223"/>
      <c r="U1018" s="1223"/>
    </row>
    <row r="1019" spans="7:21" ht="15.6">
      <c r="G1019" s="1224"/>
      <c r="H1019" s="1223"/>
      <c r="I1019" s="1223"/>
      <c r="J1019" s="1223"/>
      <c r="K1019" s="1223"/>
      <c r="L1019" s="1223"/>
      <c r="M1019" s="1223"/>
      <c r="N1019" s="1223"/>
      <c r="O1019" s="1223"/>
      <c r="P1019" s="1223"/>
      <c r="Q1019" s="1223"/>
      <c r="R1019" s="1223"/>
      <c r="S1019" s="1223"/>
      <c r="T1019" s="1223"/>
      <c r="U1019" s="1223"/>
    </row>
    <row r="1020" spans="7:21" ht="15.6">
      <c r="G1020" s="1224"/>
      <c r="H1020" s="1223"/>
      <c r="I1020" s="1223"/>
      <c r="J1020" s="1223"/>
      <c r="K1020" s="1223"/>
      <c r="L1020" s="1223"/>
      <c r="M1020" s="1223"/>
      <c r="N1020" s="1223"/>
      <c r="O1020" s="1223"/>
      <c r="P1020" s="1223"/>
      <c r="Q1020" s="1223"/>
      <c r="R1020" s="1223"/>
      <c r="S1020" s="1223"/>
      <c r="T1020" s="1223"/>
      <c r="U1020" s="1223"/>
    </row>
    <row r="1021" spans="7:21" ht="15.6">
      <c r="G1021" s="1224"/>
      <c r="H1021" s="1223"/>
      <c r="I1021" s="1223"/>
      <c r="J1021" s="1223"/>
      <c r="K1021" s="1223"/>
      <c r="L1021" s="1223"/>
      <c r="M1021" s="1223"/>
      <c r="N1021" s="1223"/>
      <c r="O1021" s="1223"/>
      <c r="P1021" s="1223"/>
      <c r="Q1021" s="1223"/>
      <c r="R1021" s="1223"/>
      <c r="S1021" s="1223"/>
      <c r="T1021" s="1223"/>
      <c r="U1021" s="1223"/>
    </row>
    <row r="1022" spans="7:21" ht="15.6">
      <c r="G1022" s="1224"/>
      <c r="H1022" s="1223"/>
      <c r="I1022" s="1223"/>
      <c r="J1022" s="1223"/>
      <c r="K1022" s="1223"/>
      <c r="L1022" s="1223"/>
      <c r="M1022" s="1223"/>
      <c r="N1022" s="1223"/>
      <c r="O1022" s="1223"/>
      <c r="P1022" s="1223"/>
      <c r="Q1022" s="1223"/>
      <c r="R1022" s="1223"/>
      <c r="S1022" s="1223"/>
      <c r="T1022" s="1223"/>
      <c r="U1022" s="1223"/>
    </row>
    <row r="1023" spans="7:21" ht="15.6">
      <c r="G1023" s="1224"/>
      <c r="H1023" s="1223"/>
      <c r="I1023" s="1223"/>
      <c r="J1023" s="1223"/>
      <c r="K1023" s="1223"/>
      <c r="L1023" s="1223"/>
      <c r="M1023" s="1223"/>
      <c r="N1023" s="1223"/>
      <c r="O1023" s="1223"/>
      <c r="P1023" s="1223"/>
      <c r="Q1023" s="1223"/>
      <c r="R1023" s="1223"/>
      <c r="S1023" s="1223"/>
      <c r="T1023" s="1223"/>
      <c r="U1023" s="1223"/>
    </row>
    <row r="1024" spans="7:21" ht="15.6">
      <c r="G1024" s="1224"/>
      <c r="H1024" s="1223"/>
      <c r="I1024" s="1223"/>
      <c r="J1024" s="1223"/>
      <c r="K1024" s="1223"/>
      <c r="L1024" s="1223"/>
      <c r="M1024" s="1223"/>
      <c r="N1024" s="1223"/>
      <c r="O1024" s="1223"/>
      <c r="P1024" s="1223"/>
      <c r="Q1024" s="1223"/>
      <c r="R1024" s="1223"/>
      <c r="S1024" s="1223"/>
      <c r="T1024" s="1223"/>
      <c r="U1024" s="1223"/>
    </row>
    <row r="1025" spans="7:21" ht="15.6">
      <c r="G1025" s="1224"/>
      <c r="H1025" s="1223"/>
      <c r="I1025" s="1223"/>
      <c r="J1025" s="1223"/>
      <c r="K1025" s="1223"/>
      <c r="L1025" s="1223"/>
      <c r="M1025" s="1223"/>
      <c r="N1025" s="1223"/>
      <c r="O1025" s="1223"/>
      <c r="P1025" s="1223"/>
      <c r="Q1025" s="1223"/>
      <c r="R1025" s="1223"/>
      <c r="S1025" s="1223"/>
      <c r="T1025" s="1223"/>
      <c r="U1025" s="1223"/>
    </row>
    <row r="1026" spans="7:21" ht="15.6">
      <c r="G1026" s="1224"/>
      <c r="H1026" s="1223"/>
      <c r="I1026" s="1223"/>
      <c r="J1026" s="1223"/>
      <c r="K1026" s="1223"/>
      <c r="L1026" s="1223"/>
      <c r="M1026" s="1223"/>
      <c r="N1026" s="1223"/>
      <c r="O1026" s="1223"/>
      <c r="P1026" s="1223"/>
      <c r="Q1026" s="1223"/>
      <c r="R1026" s="1223"/>
      <c r="S1026" s="1223"/>
      <c r="T1026" s="1223"/>
      <c r="U1026" s="1223"/>
    </row>
    <row r="1027" spans="7:21" ht="15.6">
      <c r="G1027" s="1224"/>
      <c r="H1027" s="1223"/>
      <c r="I1027" s="1223"/>
      <c r="J1027" s="1223"/>
      <c r="K1027" s="1223"/>
      <c r="L1027" s="1223"/>
      <c r="M1027" s="1223"/>
      <c r="N1027" s="1223"/>
      <c r="O1027" s="1223"/>
      <c r="P1027" s="1223"/>
      <c r="Q1027" s="1223"/>
      <c r="R1027" s="1223"/>
      <c r="S1027" s="1223"/>
      <c r="T1027" s="1223"/>
      <c r="U1027" s="1223"/>
    </row>
  </sheetData>
  <mergeCells count="16">
    <mergeCell ref="B15:D15"/>
    <mergeCell ref="B10:D10"/>
    <mergeCell ref="B11:D11"/>
    <mergeCell ref="B12:D12"/>
    <mergeCell ref="B13:D13"/>
    <mergeCell ref="B14:D14"/>
    <mergeCell ref="B46:C46"/>
    <mergeCell ref="B47:C47"/>
    <mergeCell ref="B48:C48"/>
    <mergeCell ref="B49:C49"/>
    <mergeCell ref="B16:D16"/>
    <mergeCell ref="B17:D17"/>
    <mergeCell ref="B18:D18"/>
    <mergeCell ref="B19:D19"/>
    <mergeCell ref="B20:D20"/>
    <mergeCell ref="B21:D21"/>
  </mergeCells>
  <pageMargins left="0.7" right="0.7" top="0.75" bottom="0.75" header="0.3" footer="0.3"/>
  <pageSetup orientation="portrait" copies="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FA8E5-EBCA-4929-86B3-FA4FF851C33F}">
  <dimension ref="A1:K60"/>
  <sheetViews>
    <sheetView workbookViewId="0"/>
  </sheetViews>
  <sheetFormatPr defaultColWidth="8.88671875" defaultRowHeight="15.6"/>
  <cols>
    <col min="1" max="1" width="3.5546875" style="52" customWidth="1"/>
    <col min="2" max="2" width="11.109375" style="52" customWidth="1"/>
    <col min="3" max="3" width="16" style="52" customWidth="1"/>
    <col min="4" max="8" width="12.88671875" style="52" customWidth="1"/>
    <col min="9" max="9" width="8.88671875" style="52"/>
    <col min="10" max="10" width="2.5546875" style="52" customWidth="1"/>
    <col min="11" max="16384" width="8.88671875" style="4"/>
  </cols>
  <sheetData>
    <row r="1" spans="1:11">
      <c r="A1" s="51" t="s">
        <v>335</v>
      </c>
      <c r="B1" s="51"/>
      <c r="K1" s="4" t="s">
        <v>335</v>
      </c>
    </row>
    <row r="2" spans="1:11">
      <c r="A2" s="51" t="s">
        <v>336</v>
      </c>
      <c r="B2" s="51"/>
      <c r="K2" s="4" t="s">
        <v>336</v>
      </c>
    </row>
    <row r="3" spans="1:11" ht="18.600000000000001" customHeight="1">
      <c r="A3" s="53"/>
    </row>
    <row r="4" spans="1:11" ht="18.600000000000001" customHeight="1">
      <c r="A4" s="51"/>
      <c r="K4" s="4" t="s">
        <v>35</v>
      </c>
    </row>
    <row r="5" spans="1:11">
      <c r="A5" s="51"/>
      <c r="B5" s="55" t="s">
        <v>280</v>
      </c>
      <c r="C5" s="52" t="s">
        <v>221</v>
      </c>
    </row>
    <row r="7" spans="1:11">
      <c r="C7" s="57" t="s">
        <v>307</v>
      </c>
    </row>
    <row r="8" spans="1:11" ht="15.6" customHeight="1">
      <c r="C8" s="1428" t="s">
        <v>222</v>
      </c>
      <c r="D8" s="1429"/>
      <c r="E8" s="1432" t="s">
        <v>337</v>
      </c>
      <c r="F8" s="1433"/>
      <c r="G8" s="1434"/>
    </row>
    <row r="9" spans="1:11" ht="15.6" customHeight="1">
      <c r="C9" s="1430"/>
      <c r="D9" s="1431"/>
      <c r="E9" s="1435"/>
      <c r="F9" s="1436"/>
      <c r="G9" s="1437"/>
    </row>
    <row r="10" spans="1:11">
      <c r="C10" s="1438" t="s">
        <v>224</v>
      </c>
      <c r="D10" s="1438"/>
      <c r="E10" s="1438" t="s">
        <v>42</v>
      </c>
      <c r="F10" s="1438"/>
      <c r="G10" s="1438"/>
    </row>
    <row r="11" spans="1:11">
      <c r="C11" s="1438" t="s">
        <v>309</v>
      </c>
      <c r="D11" s="1438"/>
      <c r="E11" s="1439" t="s">
        <v>338</v>
      </c>
      <c r="F11" s="1439"/>
      <c r="G11" s="1439"/>
    </row>
    <row r="12" spans="1:11">
      <c r="C12" s="1443" t="s">
        <v>46</v>
      </c>
      <c r="D12" s="1443"/>
      <c r="E12" s="1444" t="s">
        <v>339</v>
      </c>
      <c r="F12" s="1444"/>
      <c r="G12" s="1444"/>
    </row>
    <row r="13" spans="1:11">
      <c r="C13" s="1443"/>
      <c r="D13" s="1443"/>
      <c r="E13" s="1444"/>
      <c r="F13" s="1444"/>
      <c r="G13" s="1444"/>
    </row>
    <row r="15" spans="1:11">
      <c r="C15" s="57" t="s">
        <v>230</v>
      </c>
    </row>
    <row r="16" spans="1:11">
      <c r="C16" s="1440" t="s">
        <v>231</v>
      </c>
      <c r="D16" s="1441"/>
      <c r="E16" s="249">
        <v>0.05</v>
      </c>
      <c r="F16" s="1442" t="s">
        <v>52</v>
      </c>
      <c r="G16" s="1442"/>
      <c r="H16" s="1441"/>
    </row>
    <row r="17" spans="3:8">
      <c r="C17" s="60" t="s">
        <v>233</v>
      </c>
      <c r="D17" s="61"/>
      <c r="E17" s="249">
        <v>0.04</v>
      </c>
      <c r="F17" s="70" t="s">
        <v>52</v>
      </c>
      <c r="G17" s="70"/>
      <c r="H17" s="61"/>
    </row>
    <row r="18" spans="3:8">
      <c r="C18" s="1445" t="s">
        <v>285</v>
      </c>
      <c r="D18" s="1446"/>
      <c r="E18" s="1451" t="s">
        <v>55</v>
      </c>
      <c r="F18" s="1451"/>
      <c r="G18" s="1451" t="s">
        <v>56</v>
      </c>
      <c r="H18" s="1451"/>
    </row>
    <row r="19" spans="3:8">
      <c r="C19" s="1447"/>
      <c r="D19" s="1448"/>
      <c r="E19" s="1451">
        <v>60</v>
      </c>
      <c r="F19" s="1451"/>
      <c r="G19" s="1452">
        <v>0.25</v>
      </c>
      <c r="H19" s="1451"/>
    </row>
    <row r="20" spans="3:8">
      <c r="C20" s="1447"/>
      <c r="D20" s="1448"/>
      <c r="E20" s="1451">
        <v>61</v>
      </c>
      <c r="F20" s="1451"/>
      <c r="G20" s="1453">
        <v>0.33333000000000002</v>
      </c>
      <c r="H20" s="1451"/>
    </row>
    <row r="21" spans="3:8">
      <c r="C21" s="1449"/>
      <c r="D21" s="1450"/>
      <c r="E21" s="1451">
        <v>62</v>
      </c>
      <c r="F21" s="1451"/>
      <c r="G21" s="1452">
        <v>1</v>
      </c>
      <c r="H21" s="1451"/>
    </row>
    <row r="22" spans="3:8">
      <c r="C22" s="1440" t="s">
        <v>340</v>
      </c>
      <c r="D22" s="1441"/>
      <c r="E22" s="1440" t="s">
        <v>59</v>
      </c>
      <c r="F22" s="1442"/>
      <c r="G22" s="1442"/>
      <c r="H22" s="1441"/>
    </row>
    <row r="23" spans="3:8">
      <c r="C23" s="1440" t="s">
        <v>237</v>
      </c>
      <c r="D23" s="1441"/>
      <c r="E23" s="1440" t="s">
        <v>341</v>
      </c>
      <c r="F23" s="1442"/>
      <c r="G23" s="1442"/>
      <c r="H23" s="1441"/>
    </row>
    <row r="25" spans="3:8">
      <c r="C25" s="57" t="s">
        <v>320</v>
      </c>
    </row>
    <row r="26" spans="3:8">
      <c r="C26" s="74"/>
      <c r="D26" s="157" t="s">
        <v>67</v>
      </c>
      <c r="E26" s="157" t="s">
        <v>68</v>
      </c>
      <c r="F26" s="157" t="s">
        <v>240</v>
      </c>
      <c r="G26" s="77"/>
      <c r="H26" s="77"/>
    </row>
    <row r="27" spans="3:8">
      <c r="C27" s="74" t="s">
        <v>272</v>
      </c>
      <c r="D27" s="156">
        <v>40</v>
      </c>
      <c r="E27" s="156">
        <v>50</v>
      </c>
      <c r="F27" s="156">
        <v>60</v>
      </c>
      <c r="G27" s="80"/>
      <c r="H27" s="80"/>
    </row>
    <row r="28" spans="3:8">
      <c r="C28" s="74" t="s">
        <v>321</v>
      </c>
      <c r="D28" s="156">
        <v>15</v>
      </c>
      <c r="E28" s="156">
        <v>20</v>
      </c>
      <c r="F28" s="156">
        <v>25</v>
      </c>
      <c r="G28" s="80"/>
      <c r="H28" s="80"/>
    </row>
    <row r="29" spans="3:8">
      <c r="C29" s="74" t="s">
        <v>342</v>
      </c>
      <c r="D29" s="250">
        <v>70000</v>
      </c>
      <c r="E29" s="250">
        <v>90000</v>
      </c>
      <c r="F29" s="250">
        <v>100000</v>
      </c>
      <c r="G29" s="80"/>
      <c r="H29" s="80"/>
    </row>
    <row r="30" spans="3:8">
      <c r="C30" s="80"/>
      <c r="D30" s="1454"/>
      <c r="E30" s="1454"/>
      <c r="F30" s="1454"/>
      <c r="G30" s="1454"/>
      <c r="H30" s="80"/>
    </row>
    <row r="31" spans="3:8">
      <c r="C31" s="88" t="s">
        <v>322</v>
      </c>
      <c r="D31" s="80"/>
      <c r="E31" s="80"/>
      <c r="F31" s="80"/>
      <c r="G31" s="80"/>
      <c r="H31" s="80"/>
    </row>
    <row r="32" spans="3:8" ht="19.8">
      <c r="C32" s="90" t="s">
        <v>343</v>
      </c>
      <c r="D32" s="91">
        <v>14.8</v>
      </c>
      <c r="E32" s="90" t="s">
        <v>344</v>
      </c>
      <c r="F32" s="91">
        <v>14.5</v>
      </c>
      <c r="G32" s="80"/>
      <c r="H32" s="80"/>
    </row>
    <row r="33" spans="2:10" ht="19.8">
      <c r="C33" s="90" t="s">
        <v>74</v>
      </c>
      <c r="D33" s="91">
        <v>14.3</v>
      </c>
      <c r="E33" s="251"/>
      <c r="F33" s="252"/>
      <c r="G33" s="80"/>
      <c r="H33" s="80"/>
    </row>
    <row r="34" spans="2:10">
      <c r="C34" s="80"/>
      <c r="D34" s="80"/>
      <c r="E34" s="80"/>
      <c r="F34" s="80"/>
      <c r="G34" s="80"/>
      <c r="H34" s="80"/>
    </row>
    <row r="35" spans="2:10">
      <c r="C35" s="88" t="s">
        <v>325</v>
      </c>
      <c r="D35" s="80"/>
      <c r="E35" s="80"/>
      <c r="F35" s="80"/>
      <c r="G35" s="80"/>
      <c r="H35" s="80"/>
    </row>
    <row r="36" spans="2:10">
      <c r="C36" s="98" t="s">
        <v>326</v>
      </c>
      <c r="D36" s="99"/>
      <c r="E36" s="91"/>
      <c r="F36" s="253">
        <v>750000</v>
      </c>
      <c r="G36" s="80"/>
      <c r="H36" s="80"/>
    </row>
    <row r="37" spans="2:10">
      <c r="C37" s="80"/>
      <c r="D37" s="80"/>
      <c r="E37" s="80"/>
      <c r="F37" s="80"/>
      <c r="G37" s="80"/>
      <c r="H37" s="80"/>
    </row>
    <row r="39" spans="2:10">
      <c r="B39" s="52" t="s">
        <v>246</v>
      </c>
      <c r="C39" s="55" t="s">
        <v>276</v>
      </c>
      <c r="D39" s="52" t="s">
        <v>327</v>
      </c>
    </row>
    <row r="40" spans="2:10">
      <c r="C40" s="55"/>
      <c r="D40" s="107" t="s">
        <v>328</v>
      </c>
    </row>
    <row r="42" spans="2:10">
      <c r="D42" s="1455" t="s">
        <v>95</v>
      </c>
      <c r="E42" s="1456"/>
      <c r="F42" s="1456"/>
      <c r="G42" s="1456"/>
      <c r="H42" s="1456"/>
      <c r="I42" s="1456"/>
      <c r="J42" s="1457"/>
    </row>
    <row r="43" spans="2:10">
      <c r="D43" s="1458"/>
      <c r="E43" s="1459"/>
      <c r="F43" s="1459"/>
      <c r="G43" s="1459"/>
      <c r="H43" s="1459"/>
      <c r="I43" s="1459"/>
      <c r="J43" s="1460"/>
    </row>
    <row r="45" spans="2:10">
      <c r="C45" s="52" t="s">
        <v>78</v>
      </c>
    </row>
    <row r="46" spans="2:10">
      <c r="C46" s="254" t="s">
        <v>345</v>
      </c>
    </row>
    <row r="47" spans="2:10">
      <c r="C47" s="254" t="s">
        <v>346</v>
      </c>
    </row>
    <row r="48" spans="2:10">
      <c r="C48" s="254"/>
      <c r="D48" s="52" t="s">
        <v>347</v>
      </c>
    </row>
    <row r="49" spans="2:10">
      <c r="C49" s="254" t="s">
        <v>348</v>
      </c>
    </row>
    <row r="51" spans="2:10">
      <c r="B51" s="52" t="s">
        <v>6</v>
      </c>
      <c r="C51" s="55" t="s">
        <v>257</v>
      </c>
      <c r="D51" s="52" t="s">
        <v>332</v>
      </c>
    </row>
    <row r="53" spans="2:10">
      <c r="D53" s="1455" t="s">
        <v>95</v>
      </c>
      <c r="E53" s="1456"/>
      <c r="F53" s="1456"/>
      <c r="G53" s="1456"/>
      <c r="H53" s="1456"/>
      <c r="I53" s="1456"/>
      <c r="J53" s="1457"/>
    </row>
    <row r="54" spans="2:10">
      <c r="D54" s="1458"/>
      <c r="E54" s="1459"/>
      <c r="F54" s="1459"/>
      <c r="G54" s="1459"/>
      <c r="H54" s="1459"/>
      <c r="I54" s="1459"/>
      <c r="J54" s="1460"/>
    </row>
    <row r="56" spans="2:10">
      <c r="B56" s="52" t="s">
        <v>256</v>
      </c>
      <c r="C56" s="55" t="s">
        <v>247</v>
      </c>
      <c r="D56" s="52" t="s">
        <v>333</v>
      </c>
    </row>
    <row r="57" spans="2:10">
      <c r="D57" s="52" t="s">
        <v>349</v>
      </c>
    </row>
    <row r="59" spans="2:10">
      <c r="D59" s="1455" t="s">
        <v>95</v>
      </c>
      <c r="E59" s="1456"/>
      <c r="F59" s="1456"/>
      <c r="G59" s="1456"/>
      <c r="H59" s="1456"/>
      <c r="I59" s="1456"/>
      <c r="J59" s="1457"/>
    </row>
    <row r="60" spans="2:10">
      <c r="D60" s="1458"/>
      <c r="E60" s="1459"/>
      <c r="F60" s="1459"/>
      <c r="G60" s="1459"/>
      <c r="H60" s="1459"/>
      <c r="I60" s="1459"/>
      <c r="J60" s="1460"/>
    </row>
  </sheetData>
  <mergeCells count="28">
    <mergeCell ref="D59:J60"/>
    <mergeCell ref="E22:H22"/>
    <mergeCell ref="D30:E30"/>
    <mergeCell ref="F30:G30"/>
    <mergeCell ref="D42:J43"/>
    <mergeCell ref="D53:J54"/>
    <mergeCell ref="C23:D23"/>
    <mergeCell ref="E23:H23"/>
    <mergeCell ref="C12:D13"/>
    <mergeCell ref="E12:G13"/>
    <mergeCell ref="C16:D16"/>
    <mergeCell ref="F16:H16"/>
    <mergeCell ref="C18:D21"/>
    <mergeCell ref="E18:F18"/>
    <mergeCell ref="G18:H18"/>
    <mergeCell ref="E19:F19"/>
    <mergeCell ref="G19:H19"/>
    <mergeCell ref="E20:F20"/>
    <mergeCell ref="G20:H20"/>
    <mergeCell ref="E21:F21"/>
    <mergeCell ref="G21:H21"/>
    <mergeCell ref="C22:D22"/>
    <mergeCell ref="C8:D9"/>
    <mergeCell ref="E8:G9"/>
    <mergeCell ref="C10:D10"/>
    <mergeCell ref="E10:G10"/>
    <mergeCell ref="C11:D11"/>
    <mergeCell ref="E11:G11"/>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4C14-C684-4257-B254-40A6719BDADA}">
  <sheetPr>
    <outlinePr summaryBelow="0" summaryRight="0"/>
  </sheetPr>
  <dimension ref="A1:U1027"/>
  <sheetViews>
    <sheetView zoomScaleNormal="100" workbookViewId="0">
      <selection sqref="A1:XFD1048576"/>
    </sheetView>
  </sheetViews>
  <sheetFormatPr defaultColWidth="12.5546875" defaultRowHeight="15.75" customHeight="1"/>
  <cols>
    <col min="1" max="1" width="4.44140625" style="1253" customWidth="1"/>
    <col min="2" max="2" width="16" style="1253" customWidth="1"/>
    <col min="3" max="3" width="13.5546875" style="1252" customWidth="1"/>
    <col min="4" max="4" width="31.5546875" style="1252" customWidth="1"/>
    <col min="5" max="5" width="27.5546875" style="1252" customWidth="1"/>
    <col min="6" max="6" width="78" style="1252" customWidth="1"/>
    <col min="7" max="7" width="3.44140625" style="1251" customWidth="1"/>
    <col min="8" max="8" width="3.44140625" style="1250" customWidth="1"/>
    <col min="9" max="9" width="5" style="1250" customWidth="1"/>
    <col min="10" max="16384" width="12.5546875" style="1250"/>
  </cols>
  <sheetData>
    <row r="1" spans="1:21" ht="15.75" customHeight="1">
      <c r="A1" s="1252" t="s">
        <v>1801</v>
      </c>
      <c r="B1" s="1252"/>
      <c r="G1" s="1255"/>
      <c r="H1" s="1254"/>
      <c r="I1" s="1268" t="str">
        <f>A1</f>
        <v>RETRPIRM Fall 2024</v>
      </c>
      <c r="J1" s="1287"/>
      <c r="K1" s="1254"/>
      <c r="L1" s="1254"/>
      <c r="M1" s="1254"/>
      <c r="N1" s="1254"/>
      <c r="O1" s="1254"/>
      <c r="P1" s="1254"/>
      <c r="Q1" s="1254"/>
      <c r="R1" s="1254"/>
      <c r="S1" s="1254"/>
      <c r="T1" s="1254"/>
      <c r="U1" s="1254"/>
    </row>
    <row r="2" spans="1:21" ht="15.75" customHeight="1">
      <c r="A2" s="1252" t="s">
        <v>373</v>
      </c>
      <c r="B2" s="1252"/>
      <c r="G2" s="1255"/>
      <c r="H2" s="1254"/>
      <c r="I2" s="1268" t="str">
        <f>A2</f>
        <v>Question 3</v>
      </c>
      <c r="J2" s="1287"/>
      <c r="K2" s="1254"/>
      <c r="L2" s="1254"/>
      <c r="M2" s="1254"/>
      <c r="N2" s="1254"/>
      <c r="O2" s="1254"/>
      <c r="P2" s="1254"/>
      <c r="Q2" s="1254"/>
      <c r="R2" s="1254"/>
      <c r="S2" s="1254"/>
      <c r="T2" s="1254"/>
      <c r="U2" s="1254"/>
    </row>
    <row r="3" spans="1:21" ht="15.75" customHeight="1">
      <c r="G3" s="1255"/>
      <c r="H3" s="1254"/>
      <c r="I3" s="1254"/>
      <c r="J3" s="1254"/>
      <c r="K3" s="1254"/>
      <c r="L3" s="1254"/>
      <c r="M3" s="1254"/>
      <c r="N3" s="1254"/>
      <c r="O3" s="1254"/>
      <c r="P3" s="1254"/>
      <c r="Q3" s="1254"/>
      <c r="R3" s="1254"/>
      <c r="S3" s="1254"/>
      <c r="T3" s="1254"/>
      <c r="U3" s="1254"/>
    </row>
    <row r="4" spans="1:21" ht="15.75" customHeight="1">
      <c r="B4" s="1267" t="s">
        <v>1800</v>
      </c>
      <c r="G4" s="1255"/>
      <c r="H4" s="1254"/>
      <c r="I4" s="1286" t="s">
        <v>1824</v>
      </c>
      <c r="J4" s="1254"/>
      <c r="K4" s="1254"/>
      <c r="L4" s="1254"/>
      <c r="M4" s="1254"/>
      <c r="N4" s="1254"/>
      <c r="O4" s="1254"/>
      <c r="P4" s="1254"/>
      <c r="Q4" s="1254"/>
      <c r="R4" s="1254"/>
      <c r="S4" s="1254"/>
      <c r="T4" s="1254"/>
      <c r="U4" s="1254"/>
    </row>
    <row r="5" spans="1:21" ht="15.75" customHeight="1">
      <c r="B5" s="1252"/>
      <c r="G5" s="1255"/>
      <c r="H5" s="1254"/>
      <c r="T5" s="1254"/>
      <c r="U5" s="1254"/>
    </row>
    <row r="6" spans="1:21" ht="15.75" customHeight="1">
      <c r="B6" s="1252" t="s">
        <v>1799</v>
      </c>
      <c r="G6" s="1255"/>
      <c r="H6" s="1254"/>
      <c r="I6" s="1268" t="s">
        <v>1823</v>
      </c>
      <c r="J6" s="1268"/>
      <c r="K6" s="1268"/>
      <c r="L6" s="1268"/>
      <c r="M6" s="1268"/>
      <c r="N6" s="1268"/>
      <c r="O6" s="1268"/>
      <c r="P6" s="1268"/>
      <c r="Q6" s="1268"/>
      <c r="R6" s="1260"/>
      <c r="S6" s="1260"/>
      <c r="T6" s="1254"/>
      <c r="U6" s="1254"/>
    </row>
    <row r="7" spans="1:21" ht="15.75" customHeight="1">
      <c r="B7" s="1252"/>
      <c r="G7" s="1255"/>
      <c r="H7" s="1254"/>
      <c r="I7" s="1268"/>
      <c r="J7" s="1268" t="s">
        <v>1822</v>
      </c>
      <c r="K7" s="1268"/>
      <c r="L7" s="1268"/>
      <c r="M7" s="1268"/>
      <c r="N7" s="1268"/>
      <c r="O7" s="1268"/>
      <c r="P7" s="1268"/>
      <c r="Q7" s="1268"/>
      <c r="R7" s="1260"/>
      <c r="S7" s="1260"/>
      <c r="T7" s="1254"/>
      <c r="U7" s="1254"/>
    </row>
    <row r="8" spans="1:21" ht="15.75" customHeight="1">
      <c r="B8" s="1252" t="s">
        <v>78</v>
      </c>
      <c r="G8" s="1255"/>
      <c r="H8" s="1254"/>
      <c r="I8" s="1268"/>
      <c r="J8" s="1268" t="s">
        <v>1821</v>
      </c>
      <c r="K8" s="1268"/>
      <c r="L8" s="1268"/>
      <c r="M8" s="1268"/>
      <c r="N8" s="1268"/>
      <c r="O8" s="1268"/>
      <c r="P8" s="1268"/>
      <c r="Q8" s="1268"/>
      <c r="R8" s="1260"/>
      <c r="S8" s="1260"/>
      <c r="T8" s="1254"/>
      <c r="U8" s="1254"/>
    </row>
    <row r="9" spans="1:21" ht="15.75" customHeight="1">
      <c r="B9" s="1252"/>
      <c r="G9" s="1255"/>
      <c r="H9" s="1254"/>
      <c r="I9" s="1268"/>
      <c r="J9" s="1268"/>
      <c r="K9" s="1268"/>
      <c r="L9" s="1268"/>
      <c r="M9" s="1268"/>
      <c r="N9" s="1268"/>
      <c r="O9" s="1268"/>
      <c r="P9" s="1268"/>
      <c r="Q9" s="1268"/>
      <c r="R9" s="1260"/>
      <c r="S9" s="1260"/>
      <c r="T9" s="1254"/>
      <c r="U9" s="1254"/>
    </row>
    <row r="10" spans="1:21" ht="15.75" customHeight="1">
      <c r="B10" s="1689" t="s">
        <v>1798</v>
      </c>
      <c r="C10" s="1689"/>
      <c r="D10" s="1689"/>
      <c r="E10" s="1271">
        <v>6000</v>
      </c>
      <c r="G10" s="1255"/>
      <c r="H10" s="1254"/>
      <c r="I10" s="1268"/>
      <c r="J10" s="1280" t="s">
        <v>1820</v>
      </c>
      <c r="K10" s="1268"/>
      <c r="L10" s="1268"/>
      <c r="M10" s="1268"/>
      <c r="N10" s="1268"/>
      <c r="O10" s="1268"/>
      <c r="P10" s="1268"/>
      <c r="Q10" s="1268"/>
      <c r="R10" s="1260"/>
      <c r="S10" s="1260"/>
      <c r="T10" s="1254"/>
      <c r="U10" s="1254"/>
    </row>
    <row r="11" spans="1:21" ht="15.75" customHeight="1">
      <c r="B11" s="1689" t="s">
        <v>1797</v>
      </c>
      <c r="C11" s="1689"/>
      <c r="D11" s="1689"/>
      <c r="E11" s="1271">
        <v>3500</v>
      </c>
      <c r="G11" s="1255"/>
      <c r="H11" s="1254"/>
      <c r="I11" s="1268"/>
      <c r="J11" s="1277" t="s">
        <v>1819</v>
      </c>
      <c r="K11" s="1268"/>
      <c r="L11" s="1268"/>
      <c r="M11" s="1268"/>
      <c r="N11" s="1268"/>
      <c r="O11" s="1268"/>
      <c r="P11" s="1268"/>
      <c r="Q11" s="1268"/>
      <c r="R11" s="1260"/>
      <c r="S11" s="1260"/>
      <c r="T11" s="1254"/>
      <c r="U11" s="1254"/>
    </row>
    <row r="12" spans="1:21" ht="15.75" customHeight="1">
      <c r="B12" s="1689" t="s">
        <v>1776</v>
      </c>
      <c r="C12" s="1689"/>
      <c r="D12" s="1689"/>
      <c r="E12" s="1271">
        <v>2500</v>
      </c>
      <c r="G12" s="1255"/>
      <c r="H12" s="1254"/>
      <c r="I12" s="1268"/>
      <c r="J12" s="1270" t="s">
        <v>1818</v>
      </c>
      <c r="K12" s="1268"/>
      <c r="L12" s="1268"/>
      <c r="M12" s="1268"/>
      <c r="N12" s="1268"/>
      <c r="O12" s="1268"/>
      <c r="P12" s="1268"/>
      <c r="Q12" s="1268"/>
      <c r="R12" s="1260"/>
      <c r="S12" s="1260"/>
      <c r="T12" s="1254"/>
      <c r="U12" s="1254"/>
    </row>
    <row r="13" spans="1:21" ht="15.75" customHeight="1">
      <c r="B13" s="1689" t="s">
        <v>1796</v>
      </c>
      <c r="C13" s="1689"/>
      <c r="D13" s="1689"/>
      <c r="E13" s="1271">
        <v>1000</v>
      </c>
      <c r="G13" s="1255"/>
      <c r="H13" s="1254"/>
      <c r="I13" s="1268"/>
      <c r="J13" s="1277">
        <f>1.5*2500/6000</f>
        <v>0.625</v>
      </c>
      <c r="K13" s="1268"/>
      <c r="L13" s="1268"/>
      <c r="M13" s="1268"/>
      <c r="N13" s="1268"/>
      <c r="O13" s="1268"/>
      <c r="P13" s="1268"/>
      <c r="Q13" s="1268"/>
      <c r="R13" s="1260"/>
      <c r="S13" s="1260"/>
      <c r="T13" s="1254"/>
      <c r="U13" s="1254"/>
    </row>
    <row r="14" spans="1:21" ht="15.75" customHeight="1">
      <c r="B14" s="1689" t="s">
        <v>1775</v>
      </c>
      <c r="C14" s="1689"/>
      <c r="D14" s="1689"/>
      <c r="E14" s="1285">
        <v>1.5</v>
      </c>
      <c r="G14" s="1255"/>
      <c r="H14" s="1254"/>
      <c r="I14" s="1268"/>
      <c r="J14" s="1275"/>
      <c r="K14" s="1268"/>
      <c r="L14" s="1268"/>
      <c r="M14" s="1268"/>
      <c r="N14" s="1268"/>
      <c r="O14" s="1268"/>
      <c r="P14" s="1268"/>
      <c r="Q14" s="1268"/>
      <c r="R14" s="1260"/>
      <c r="S14" s="1260"/>
      <c r="T14" s="1254"/>
      <c r="U14" s="1254"/>
    </row>
    <row r="15" spans="1:21" ht="15.75" customHeight="1">
      <c r="B15" s="1689" t="s">
        <v>1795</v>
      </c>
      <c r="C15" s="1689"/>
      <c r="D15" s="1689"/>
      <c r="E15" s="1271">
        <v>2000</v>
      </c>
      <c r="G15" s="1255"/>
      <c r="H15" s="1254"/>
      <c r="I15" s="1268"/>
      <c r="J15" s="1268" t="s">
        <v>1811</v>
      </c>
      <c r="K15" s="1268"/>
      <c r="L15" s="1268"/>
      <c r="M15" s="1268"/>
      <c r="N15" s="1268"/>
      <c r="O15" s="1268"/>
      <c r="P15" s="1268"/>
      <c r="Q15" s="1268"/>
      <c r="R15" s="1260"/>
      <c r="S15" s="1260"/>
      <c r="T15" s="1254"/>
      <c r="U15" s="1254"/>
    </row>
    <row r="16" spans="1:21" ht="15.75" customHeight="1">
      <c r="B16" s="1689" t="s">
        <v>1794</v>
      </c>
      <c r="C16" s="1689"/>
      <c r="D16" s="1689"/>
      <c r="E16" s="1271">
        <v>2250</v>
      </c>
      <c r="G16" s="1255"/>
      <c r="H16" s="1254"/>
      <c r="I16" s="1268"/>
      <c r="J16" s="1270" t="s">
        <v>1817</v>
      </c>
      <c r="K16" s="1268"/>
      <c r="L16" s="1268"/>
      <c r="M16" s="1268"/>
      <c r="N16" s="1268"/>
      <c r="O16" s="1268"/>
      <c r="P16" s="1268"/>
      <c r="Q16" s="1268"/>
      <c r="R16" s="1260"/>
      <c r="S16" s="1260"/>
      <c r="T16" s="1254"/>
      <c r="U16" s="1254"/>
    </row>
    <row r="17" spans="2:21" ht="15.75" customHeight="1">
      <c r="B17" s="1690" t="s">
        <v>1774</v>
      </c>
      <c r="C17" s="1690"/>
      <c r="D17" s="1690"/>
      <c r="E17" s="1284">
        <v>1500</v>
      </c>
      <c r="G17" s="1255"/>
      <c r="H17" s="1254"/>
      <c r="I17" s="1268"/>
      <c r="J17" s="1274">
        <f>3%+J13*(7-3)%</f>
        <v>5.5E-2</v>
      </c>
      <c r="K17" s="1268"/>
      <c r="L17" s="1268"/>
      <c r="M17" s="1268"/>
      <c r="N17" s="1268"/>
      <c r="O17" s="1268"/>
      <c r="P17" s="1268"/>
      <c r="Q17" s="1268"/>
      <c r="R17" s="1260"/>
      <c r="S17" s="1260"/>
      <c r="T17" s="1254"/>
      <c r="U17" s="1254"/>
    </row>
    <row r="18" spans="2:21" ht="15.75" customHeight="1">
      <c r="B18" s="1691" t="s">
        <v>1793</v>
      </c>
      <c r="C18" s="1692"/>
      <c r="D18" s="1692"/>
      <c r="E18" s="1283" t="s">
        <v>1792</v>
      </c>
      <c r="G18" s="1255"/>
      <c r="H18" s="1254"/>
      <c r="I18" s="1268"/>
      <c r="J18" s="1268"/>
      <c r="K18" s="1268"/>
      <c r="L18" s="1268"/>
      <c r="M18" s="1268"/>
      <c r="N18" s="1268"/>
      <c r="O18" s="1268"/>
      <c r="P18" s="1268"/>
      <c r="Q18" s="1268"/>
      <c r="R18" s="1260"/>
      <c r="S18" s="1260"/>
      <c r="T18" s="1254"/>
      <c r="U18" s="1254"/>
    </row>
    <row r="19" spans="2:21" ht="15.75" customHeight="1">
      <c r="B19" s="1693"/>
      <c r="C19" s="1694"/>
      <c r="D19" s="1694"/>
      <c r="E19" s="1282" t="s">
        <v>1791</v>
      </c>
      <c r="G19" s="1255"/>
      <c r="H19" s="1254"/>
      <c r="I19" s="1268"/>
      <c r="J19" s="1268"/>
      <c r="K19" s="1268"/>
      <c r="L19" s="1268"/>
      <c r="M19" s="1268"/>
      <c r="N19" s="1268"/>
      <c r="O19" s="1268"/>
      <c r="P19" s="1268"/>
      <c r="Q19" s="1268"/>
      <c r="R19" s="1260"/>
      <c r="S19" s="1260"/>
      <c r="T19" s="1254"/>
      <c r="U19" s="1254"/>
    </row>
    <row r="20" spans="2:21" ht="15.6">
      <c r="B20" s="1695" t="s">
        <v>1790</v>
      </c>
      <c r="C20" s="1695"/>
      <c r="D20" s="1695"/>
      <c r="E20" s="1281">
        <v>0.03</v>
      </c>
      <c r="G20" s="1255"/>
      <c r="H20" s="1254"/>
      <c r="I20" s="1268"/>
      <c r="J20" s="1280" t="s">
        <v>1816</v>
      </c>
      <c r="K20" s="1268"/>
      <c r="L20" s="1268"/>
      <c r="M20" s="1268"/>
      <c r="N20" s="1268"/>
      <c r="O20" s="1268"/>
      <c r="P20" s="1268"/>
      <c r="Q20" s="1268"/>
      <c r="R20" s="1260"/>
      <c r="S20" s="1260"/>
      <c r="T20" s="1254"/>
      <c r="U20" s="1254"/>
    </row>
    <row r="21" spans="2:21" ht="15.6">
      <c r="B21" s="1689" t="s">
        <v>1789</v>
      </c>
      <c r="C21" s="1689"/>
      <c r="D21" s="1689"/>
      <c r="E21" s="1279">
        <v>7.0000000000000007E-2</v>
      </c>
      <c r="G21" s="1255"/>
      <c r="H21" s="1254"/>
      <c r="I21" s="1268"/>
      <c r="J21" s="1277" t="s">
        <v>1815</v>
      </c>
      <c r="K21" s="1268"/>
      <c r="L21" s="1268"/>
      <c r="M21" s="1268"/>
      <c r="N21" s="1268"/>
      <c r="O21" s="1268"/>
      <c r="P21" s="1268"/>
      <c r="Q21" s="1268"/>
      <c r="R21" s="1260"/>
      <c r="S21" s="1260"/>
      <c r="T21" s="1254"/>
      <c r="U21" s="1254"/>
    </row>
    <row r="22" spans="2:21" ht="15.6">
      <c r="B22" s="1252"/>
      <c r="G22" s="1255"/>
      <c r="H22" s="1254"/>
      <c r="I22" s="1268"/>
      <c r="J22" s="1278" t="s">
        <v>1814</v>
      </c>
      <c r="K22" s="1268"/>
      <c r="L22" s="1268"/>
      <c r="M22" s="1268"/>
      <c r="N22" s="1268"/>
      <c r="O22" s="1268"/>
      <c r="P22" s="1268"/>
      <c r="Q22" s="1268"/>
      <c r="R22" s="1260"/>
      <c r="S22" s="1260"/>
      <c r="T22" s="1254"/>
      <c r="U22" s="1254"/>
    </row>
    <row r="23" spans="2:21" ht="15.6">
      <c r="B23" s="1252" t="s">
        <v>1788</v>
      </c>
      <c r="G23" s="1255"/>
      <c r="H23" s="1254"/>
      <c r="I23" s="1268"/>
      <c r="J23" s="1277">
        <f>3500-(2000-1500)</f>
        <v>3000</v>
      </c>
      <c r="K23" s="1268"/>
      <c r="L23" s="1268"/>
      <c r="M23" s="1268"/>
      <c r="N23" s="1268"/>
      <c r="O23" s="1268"/>
      <c r="P23" s="1268"/>
      <c r="Q23" s="1268"/>
      <c r="R23" s="1260"/>
      <c r="S23" s="1260"/>
      <c r="T23" s="1254"/>
      <c r="U23" s="1254"/>
    </row>
    <row r="24" spans="2:21" ht="15.6">
      <c r="B24" s="1252"/>
      <c r="G24" s="1255"/>
      <c r="H24" s="1254"/>
      <c r="I24" s="1268"/>
      <c r="J24" s="1277"/>
      <c r="K24" s="1268"/>
      <c r="L24" s="1268"/>
      <c r="M24" s="1268"/>
      <c r="N24" s="1268"/>
      <c r="O24" s="1268"/>
      <c r="P24" s="1268"/>
      <c r="Q24" s="1268"/>
      <c r="R24" s="1260"/>
      <c r="S24" s="1260"/>
      <c r="T24" s="1254"/>
      <c r="U24" s="1254"/>
    </row>
    <row r="25" spans="2:21" ht="15.6">
      <c r="B25" s="1253" t="s">
        <v>246</v>
      </c>
      <c r="C25" s="1267" t="s">
        <v>1780</v>
      </c>
      <c r="D25" s="1252" t="s">
        <v>1787</v>
      </c>
      <c r="G25" s="1255"/>
      <c r="H25" s="1254"/>
      <c r="I25" s="1268"/>
      <c r="J25" s="1277" t="s">
        <v>1813</v>
      </c>
      <c r="K25" s="1268"/>
      <c r="L25" s="1268"/>
      <c r="M25" s="1268"/>
      <c r="N25" s="1268"/>
      <c r="O25" s="1268"/>
      <c r="P25" s="1268"/>
      <c r="Q25" s="1268"/>
      <c r="R25" s="1260"/>
      <c r="S25" s="1260"/>
      <c r="T25" s="1254"/>
      <c r="U25" s="1254"/>
    </row>
    <row r="26" spans="2:21" ht="15.6">
      <c r="C26" s="1267"/>
      <c r="G26" s="1255"/>
      <c r="H26" s="1254"/>
      <c r="I26" s="1268"/>
      <c r="J26" s="1270" t="s">
        <v>1812</v>
      </c>
      <c r="K26" s="1268"/>
      <c r="L26" s="1268"/>
      <c r="M26" s="1268"/>
      <c r="N26" s="1268"/>
      <c r="O26" s="1268"/>
      <c r="P26" s="1268"/>
      <c r="Q26" s="1268"/>
      <c r="R26" s="1260"/>
      <c r="S26" s="1260"/>
      <c r="T26" s="1254"/>
      <c r="U26" s="1254"/>
    </row>
    <row r="27" spans="2:21" ht="15.6">
      <c r="C27" s="1273" t="s">
        <v>1778</v>
      </c>
      <c r="D27" s="1263"/>
      <c r="E27" s="1263"/>
      <c r="F27" s="1262"/>
      <c r="G27" s="1255"/>
      <c r="H27" s="1254"/>
      <c r="I27" s="1268"/>
      <c r="J27" s="1276">
        <f>(1.5*2500-0.6*1500)/6000</f>
        <v>0.47499999999999998</v>
      </c>
      <c r="K27" s="1268"/>
      <c r="L27" s="1268"/>
      <c r="M27" s="1268"/>
      <c r="N27" s="1268"/>
      <c r="O27" s="1268"/>
      <c r="P27" s="1268"/>
      <c r="Q27" s="1268"/>
      <c r="R27" s="1260"/>
      <c r="S27" s="1260"/>
      <c r="T27" s="1254"/>
      <c r="U27" s="1254"/>
    </row>
    <row r="28" spans="2:21" ht="15.6">
      <c r="G28" s="1255"/>
      <c r="H28" s="1254"/>
      <c r="I28" s="1268"/>
      <c r="J28" s="1268"/>
      <c r="K28" s="1268"/>
      <c r="L28" s="1268"/>
      <c r="M28" s="1268"/>
      <c r="N28" s="1268"/>
      <c r="O28" s="1268"/>
      <c r="P28" s="1268"/>
      <c r="Q28" s="1268"/>
      <c r="R28" s="1260"/>
      <c r="S28" s="1260"/>
      <c r="T28" s="1254"/>
      <c r="U28" s="1254"/>
    </row>
    <row r="29" spans="2:21" ht="15.6">
      <c r="B29" s="1253" t="s">
        <v>6</v>
      </c>
      <c r="C29" s="1267" t="s">
        <v>1786</v>
      </c>
      <c r="D29" s="1252" t="s">
        <v>1785</v>
      </c>
      <c r="G29" s="1255"/>
      <c r="H29" s="1254"/>
      <c r="I29" s="1268"/>
      <c r="J29" s="1268" t="s">
        <v>1811</v>
      </c>
      <c r="K29" s="1268"/>
      <c r="L29" s="1268"/>
      <c r="M29" s="1268"/>
      <c r="N29" s="1268"/>
      <c r="O29" s="1268"/>
      <c r="P29" s="1268"/>
      <c r="Q29" s="1268"/>
      <c r="R29" s="1260"/>
      <c r="S29" s="1260"/>
      <c r="T29" s="1254"/>
      <c r="U29" s="1254"/>
    </row>
    <row r="30" spans="2:21" ht="15.6">
      <c r="C30" s="1267"/>
      <c r="G30" s="1255"/>
      <c r="H30" s="1254"/>
      <c r="I30" s="1268"/>
      <c r="J30" s="1270" t="s">
        <v>1810</v>
      </c>
      <c r="K30" s="1268"/>
      <c r="L30" s="1268"/>
      <c r="M30" s="1268"/>
      <c r="N30" s="1268"/>
      <c r="O30" s="1268"/>
      <c r="P30" s="1268"/>
      <c r="Q30" s="1268"/>
      <c r="R30" s="1260"/>
      <c r="S30" s="1260"/>
      <c r="T30" s="1254"/>
      <c r="U30" s="1254"/>
    </row>
    <row r="31" spans="2:21" ht="15.6">
      <c r="C31" s="1273" t="s">
        <v>1778</v>
      </c>
      <c r="D31" s="1263"/>
      <c r="E31" s="1263"/>
      <c r="F31" s="1262"/>
      <c r="G31" s="1255"/>
      <c r="H31" s="1254"/>
      <c r="I31" s="1275"/>
      <c r="J31" s="1274">
        <f>3%+J27*(7-3)%</f>
        <v>4.9000000000000002E-2</v>
      </c>
      <c r="K31" s="1268"/>
      <c r="L31" s="1268"/>
      <c r="M31" s="1268"/>
      <c r="N31" s="1268"/>
      <c r="O31" s="1268"/>
      <c r="P31" s="1268"/>
      <c r="Q31" s="1268"/>
      <c r="R31" s="1260"/>
      <c r="S31" s="1260"/>
      <c r="T31" s="1254"/>
      <c r="U31" s="1254"/>
    </row>
    <row r="32" spans="2:21" ht="15.6">
      <c r="G32" s="1255"/>
      <c r="H32" s="1254"/>
      <c r="I32" s="1275"/>
      <c r="J32" s="1274"/>
      <c r="K32" s="1268"/>
      <c r="L32" s="1268"/>
      <c r="M32" s="1268"/>
      <c r="N32" s="1268"/>
      <c r="O32" s="1268"/>
      <c r="P32" s="1268"/>
      <c r="Q32" s="1268"/>
      <c r="R32" s="1260"/>
      <c r="S32" s="1260"/>
      <c r="T32" s="1254"/>
      <c r="U32" s="1254"/>
    </row>
    <row r="33" spans="2:21" ht="15.6">
      <c r="B33" s="1253" t="s">
        <v>1784</v>
      </c>
      <c r="C33" s="1267" t="s">
        <v>1780</v>
      </c>
      <c r="D33" s="1252" t="s">
        <v>1783</v>
      </c>
      <c r="G33" s="1255"/>
      <c r="H33" s="1254"/>
      <c r="I33" s="1275"/>
      <c r="J33" s="1274"/>
      <c r="K33" s="1268"/>
      <c r="L33" s="1268"/>
      <c r="M33" s="1268"/>
      <c r="N33" s="1268"/>
      <c r="O33" s="1268"/>
      <c r="P33" s="1268"/>
      <c r="Q33" s="1268"/>
      <c r="R33" s="1260"/>
      <c r="S33" s="1260"/>
      <c r="T33" s="1254"/>
      <c r="U33" s="1254"/>
    </row>
    <row r="34" spans="2:21" ht="15.6">
      <c r="G34" s="1255"/>
      <c r="H34" s="1254"/>
      <c r="I34" s="1268"/>
      <c r="J34" s="1268"/>
      <c r="K34" s="1268"/>
      <c r="L34" s="1268"/>
      <c r="M34" s="1268"/>
      <c r="N34" s="1268"/>
      <c r="O34" s="1268"/>
      <c r="P34" s="1268"/>
      <c r="Q34" s="1268"/>
      <c r="R34" s="1260"/>
      <c r="S34" s="1260"/>
      <c r="T34" s="1254"/>
      <c r="U34" s="1254"/>
    </row>
    <row r="35" spans="2:21" ht="15.6">
      <c r="C35" s="1252" t="s">
        <v>26</v>
      </c>
      <c r="D35" s="1252" t="s">
        <v>1782</v>
      </c>
      <c r="G35" s="1255"/>
      <c r="H35" s="1254"/>
      <c r="I35" s="1268"/>
      <c r="J35" s="1268"/>
      <c r="K35" s="1268"/>
      <c r="L35" s="1268"/>
      <c r="M35" s="1268"/>
      <c r="N35" s="1268"/>
      <c r="O35" s="1268"/>
      <c r="P35" s="1268"/>
      <c r="Q35" s="1268"/>
      <c r="R35" s="1260"/>
      <c r="S35" s="1260"/>
      <c r="T35" s="1254"/>
      <c r="U35" s="1254"/>
    </row>
    <row r="36" spans="2:21" ht="15.6">
      <c r="C36" s="1252" t="s">
        <v>27</v>
      </c>
      <c r="D36" s="1252" t="s">
        <v>1781</v>
      </c>
      <c r="G36" s="1255"/>
      <c r="H36" s="1254"/>
      <c r="I36" s="1268" t="s">
        <v>1809</v>
      </c>
      <c r="J36" s="1268"/>
      <c r="K36" s="1268"/>
      <c r="L36" s="1268"/>
      <c r="M36" s="1268"/>
      <c r="N36" s="1268"/>
      <c r="O36" s="1268"/>
      <c r="P36" s="1268"/>
      <c r="Q36" s="1268"/>
      <c r="R36" s="1260"/>
      <c r="S36" s="1260"/>
      <c r="T36" s="1254"/>
      <c r="U36" s="1254"/>
    </row>
    <row r="37" spans="2:21" ht="15.6">
      <c r="G37" s="1255"/>
      <c r="H37" s="1254"/>
      <c r="I37" s="1268"/>
      <c r="J37" s="1268"/>
      <c r="K37" s="1268"/>
      <c r="L37" s="1268"/>
      <c r="M37" s="1268"/>
      <c r="N37" s="1268"/>
      <c r="O37" s="1268"/>
      <c r="P37" s="1268"/>
      <c r="Q37" s="1268"/>
      <c r="R37" s="1260"/>
      <c r="S37" s="1260"/>
      <c r="T37" s="1254"/>
      <c r="U37" s="1254"/>
    </row>
    <row r="38" spans="2:21" ht="15.6">
      <c r="C38" s="1264" t="s">
        <v>1770</v>
      </c>
      <c r="D38" s="1263"/>
      <c r="E38" s="1263"/>
      <c r="F38" s="1262"/>
      <c r="G38" s="1255"/>
      <c r="H38" s="1254"/>
      <c r="I38" s="1268"/>
      <c r="J38" s="1268" t="s">
        <v>1808</v>
      </c>
      <c r="K38" s="1268"/>
      <c r="L38" s="1268"/>
      <c r="M38" s="1268"/>
      <c r="N38" s="1268"/>
      <c r="O38" s="1268"/>
      <c r="P38" s="1268"/>
      <c r="Q38" s="1268"/>
      <c r="R38" s="1260"/>
      <c r="S38" s="1260"/>
      <c r="T38" s="1254"/>
      <c r="U38" s="1254"/>
    </row>
    <row r="39" spans="2:21" ht="15.6">
      <c r="G39" s="1255"/>
      <c r="H39" s="1254"/>
      <c r="I39" s="1268"/>
      <c r="J39" s="1268"/>
      <c r="K39" s="1268"/>
      <c r="L39" s="1268"/>
      <c r="M39" s="1268"/>
      <c r="N39" s="1268"/>
      <c r="O39" s="1268"/>
      <c r="P39" s="1268"/>
      <c r="Q39" s="1268"/>
      <c r="R39" s="1260"/>
      <c r="S39" s="1260"/>
      <c r="T39" s="1254"/>
      <c r="U39" s="1254"/>
    </row>
    <row r="40" spans="2:21" ht="15.6">
      <c r="B40" s="1253" t="s">
        <v>449</v>
      </c>
      <c r="C40" s="1267" t="s">
        <v>1780</v>
      </c>
      <c r="D40" s="1252" t="s">
        <v>1779</v>
      </c>
      <c r="G40" s="1255"/>
      <c r="H40" s="1254"/>
      <c r="I40" s="1268"/>
      <c r="J40" s="1268" t="s">
        <v>1807</v>
      </c>
      <c r="K40" s="1268"/>
      <c r="L40" s="1268"/>
      <c r="M40" s="1268"/>
      <c r="N40" s="1268"/>
      <c r="O40" s="1268"/>
      <c r="P40" s="1268"/>
      <c r="Q40" s="1268"/>
      <c r="R40" s="1260"/>
      <c r="S40" s="1260"/>
      <c r="T40" s="1254"/>
      <c r="U40" s="1254"/>
    </row>
    <row r="41" spans="2:21" ht="15.6">
      <c r="C41" s="1267"/>
      <c r="G41" s="1255"/>
      <c r="H41" s="1254"/>
      <c r="I41" s="1268"/>
      <c r="J41" s="1268" t="s">
        <v>1806</v>
      </c>
      <c r="K41" s="1268"/>
      <c r="L41" s="1268"/>
      <c r="M41" s="1268"/>
      <c r="N41" s="1268"/>
      <c r="O41" s="1268"/>
      <c r="P41" s="1268"/>
      <c r="Q41" s="1268"/>
      <c r="R41" s="1260"/>
      <c r="S41" s="1260"/>
      <c r="T41" s="1254"/>
      <c r="U41" s="1254"/>
    </row>
    <row r="42" spans="2:21" ht="15.6">
      <c r="C42" s="1273" t="s">
        <v>1778</v>
      </c>
      <c r="D42" s="1263"/>
      <c r="E42" s="1263"/>
      <c r="F42" s="1262"/>
      <c r="G42" s="1255"/>
      <c r="H42" s="1254"/>
      <c r="I42" s="1268"/>
      <c r="J42" s="1268"/>
      <c r="K42" s="1268"/>
      <c r="L42" s="1268"/>
      <c r="M42" s="1268"/>
      <c r="N42" s="1268"/>
      <c r="O42" s="1268"/>
      <c r="P42" s="1268"/>
      <c r="Q42" s="1268"/>
      <c r="R42" s="1260"/>
      <c r="S42" s="1260"/>
      <c r="T42" s="1254"/>
      <c r="U42" s="1254"/>
    </row>
    <row r="43" spans="2:21" ht="15.6">
      <c r="B43" s="1252"/>
      <c r="G43" s="1255"/>
      <c r="H43" s="1254"/>
      <c r="I43" s="1268"/>
      <c r="J43" s="1268" t="s">
        <v>1805</v>
      </c>
      <c r="K43" s="1268"/>
      <c r="L43" s="1268"/>
      <c r="M43" s="1268"/>
      <c r="N43" s="1268"/>
      <c r="O43" s="1268"/>
      <c r="P43" s="1268"/>
      <c r="Q43" s="1268"/>
      <c r="R43" s="1260"/>
      <c r="S43" s="1260"/>
      <c r="T43" s="1254"/>
      <c r="U43" s="1254"/>
    </row>
    <row r="44" spans="2:21" ht="15.6">
      <c r="B44" s="1252" t="s">
        <v>1777</v>
      </c>
      <c r="G44" s="1255"/>
      <c r="H44" s="1254"/>
      <c r="I44" s="1268"/>
      <c r="J44" s="1270" t="s">
        <v>1804</v>
      </c>
      <c r="K44" s="1268"/>
      <c r="L44" s="1268"/>
      <c r="M44" s="1268"/>
      <c r="N44" s="1268"/>
      <c r="O44" s="1268"/>
      <c r="P44" s="1268"/>
      <c r="Q44" s="1268"/>
      <c r="R44" s="1260"/>
      <c r="S44" s="1260"/>
      <c r="T44" s="1254"/>
      <c r="U44" s="1254"/>
    </row>
    <row r="45" spans="2:21" ht="15.6">
      <c r="B45" s="1252"/>
      <c r="G45" s="1255"/>
      <c r="H45" s="1254"/>
      <c r="I45" s="1268"/>
      <c r="J45" s="1268">
        <f>1800*(0-0.6)/1.5</f>
        <v>-720</v>
      </c>
      <c r="K45" s="1268"/>
      <c r="L45" s="1268"/>
      <c r="M45" s="1268"/>
      <c r="N45" s="1268"/>
      <c r="O45" s="1268"/>
      <c r="P45" s="1268"/>
      <c r="Q45" s="1268"/>
      <c r="R45" s="1260"/>
      <c r="S45" s="1260"/>
      <c r="T45" s="1254"/>
      <c r="U45" s="1254"/>
    </row>
    <row r="46" spans="2:21" ht="15.6">
      <c r="B46" s="1689" t="s">
        <v>1776</v>
      </c>
      <c r="C46" s="1689"/>
      <c r="D46" s="1271">
        <v>2200</v>
      </c>
      <c r="G46" s="1255"/>
      <c r="H46" s="1254"/>
      <c r="I46" s="1268"/>
      <c r="J46" s="1268"/>
      <c r="K46" s="1268"/>
      <c r="L46" s="1268"/>
      <c r="M46" s="1268"/>
      <c r="N46" s="1268"/>
      <c r="O46" s="1268"/>
      <c r="P46" s="1268"/>
      <c r="Q46" s="1268"/>
      <c r="R46" s="1260"/>
      <c r="S46" s="1260"/>
      <c r="T46" s="1254"/>
      <c r="U46" s="1254"/>
    </row>
    <row r="47" spans="2:21" ht="15.6">
      <c r="B47" s="1689" t="s">
        <v>1775</v>
      </c>
      <c r="C47" s="1689"/>
      <c r="D47" s="1272">
        <v>1.5</v>
      </c>
      <c r="G47" s="1255"/>
      <c r="H47" s="1254"/>
      <c r="I47" s="1268"/>
      <c r="J47" s="1268" t="s">
        <v>1803</v>
      </c>
      <c r="K47" s="1268"/>
      <c r="L47" s="1268"/>
      <c r="M47" s="1268"/>
      <c r="N47" s="1268"/>
      <c r="O47" s="1268"/>
      <c r="P47" s="1268"/>
      <c r="Q47" s="1268"/>
      <c r="R47" s="1260"/>
      <c r="S47" s="1260"/>
      <c r="T47" s="1254"/>
      <c r="U47" s="1254"/>
    </row>
    <row r="48" spans="2:21" ht="15.6">
      <c r="B48" s="1689" t="s">
        <v>1774</v>
      </c>
      <c r="C48" s="1689"/>
      <c r="D48" s="1271">
        <v>1800</v>
      </c>
      <c r="G48" s="1255"/>
      <c r="H48" s="1254"/>
      <c r="I48" s="1268"/>
      <c r="J48" s="1270" t="s">
        <v>1802</v>
      </c>
      <c r="K48" s="1268"/>
      <c r="L48" s="1268"/>
      <c r="M48" s="1268"/>
      <c r="N48" s="1268"/>
      <c r="O48" s="1268"/>
      <c r="P48" s="1268"/>
      <c r="Q48" s="1268"/>
      <c r="R48" s="1260"/>
      <c r="S48" s="1260"/>
      <c r="T48" s="1254"/>
      <c r="U48" s="1254"/>
    </row>
    <row r="49" spans="2:21" ht="15.6">
      <c r="B49" s="1689" t="s">
        <v>1773</v>
      </c>
      <c r="C49" s="1689"/>
      <c r="D49" s="1269">
        <v>1</v>
      </c>
      <c r="G49" s="1255"/>
      <c r="H49" s="1254"/>
      <c r="I49" s="1268"/>
      <c r="J49" s="1268">
        <f>2200-720</f>
        <v>1480</v>
      </c>
      <c r="K49" s="1268"/>
      <c r="L49" s="1268"/>
      <c r="M49" s="1268"/>
      <c r="N49" s="1268"/>
      <c r="O49" s="1268"/>
      <c r="P49" s="1268"/>
      <c r="Q49" s="1268"/>
      <c r="R49" s="1260"/>
      <c r="S49" s="1260"/>
      <c r="T49" s="1254"/>
      <c r="U49" s="1254"/>
    </row>
    <row r="50" spans="2:21" ht="15.6">
      <c r="B50" s="1252"/>
      <c r="G50" s="1255"/>
      <c r="H50" s="1254"/>
      <c r="I50" s="1260"/>
      <c r="J50" s="1261"/>
      <c r="K50" s="1260"/>
      <c r="L50" s="1260"/>
      <c r="M50" s="1260"/>
      <c r="N50" s="1260"/>
      <c r="O50" s="1260"/>
      <c r="P50" s="1260"/>
      <c r="Q50" s="1260"/>
      <c r="R50" s="1260"/>
      <c r="S50" s="1260"/>
      <c r="T50" s="1254"/>
      <c r="U50" s="1254"/>
    </row>
    <row r="51" spans="2:21" ht="15.6">
      <c r="B51" s="1252"/>
      <c r="G51" s="1255"/>
      <c r="H51" s="1254"/>
      <c r="I51" s="1260"/>
      <c r="J51" s="1260"/>
      <c r="K51" s="1260"/>
      <c r="L51" s="1260"/>
      <c r="M51" s="1260"/>
      <c r="N51" s="1260"/>
      <c r="O51" s="1260"/>
      <c r="P51" s="1260"/>
      <c r="Q51" s="1260"/>
      <c r="R51" s="1260"/>
      <c r="S51" s="1260"/>
      <c r="T51" s="1254"/>
      <c r="U51" s="1254"/>
    </row>
    <row r="52" spans="2:21" ht="15.6">
      <c r="B52" s="1253" t="s">
        <v>1772</v>
      </c>
      <c r="C52" s="1267" t="s">
        <v>680</v>
      </c>
      <c r="D52" s="1252" t="s">
        <v>1771</v>
      </c>
      <c r="G52" s="1255"/>
      <c r="H52" s="1254"/>
      <c r="I52" s="1260"/>
      <c r="J52" s="1266"/>
      <c r="K52" s="1260"/>
      <c r="L52" s="1260"/>
      <c r="M52" s="1260"/>
      <c r="N52" s="1260"/>
      <c r="O52" s="1260"/>
      <c r="P52" s="1260"/>
      <c r="Q52" s="1260"/>
      <c r="R52" s="1260"/>
      <c r="S52" s="1260"/>
      <c r="T52" s="1254"/>
      <c r="U52" s="1254"/>
    </row>
    <row r="53" spans="2:21" ht="15.6">
      <c r="B53" s="1252"/>
      <c r="G53" s="1255"/>
      <c r="H53" s="1254"/>
      <c r="I53" s="1260"/>
      <c r="J53" s="1265"/>
      <c r="K53" s="1260"/>
      <c r="L53" s="1260"/>
      <c r="M53" s="1260"/>
      <c r="N53" s="1260"/>
      <c r="O53" s="1260"/>
      <c r="P53" s="1260"/>
      <c r="Q53" s="1260"/>
      <c r="R53" s="1260"/>
      <c r="S53" s="1260"/>
      <c r="T53" s="1254"/>
      <c r="U53" s="1254"/>
    </row>
    <row r="54" spans="2:21" ht="15.6">
      <c r="B54" s="1252"/>
      <c r="C54" s="1264" t="s">
        <v>1770</v>
      </c>
      <c r="D54" s="1263"/>
      <c r="E54" s="1263"/>
      <c r="F54" s="1262"/>
      <c r="G54" s="1255"/>
      <c r="H54" s="1254"/>
      <c r="I54" s="1260"/>
      <c r="J54" s="1260"/>
      <c r="K54" s="1260"/>
      <c r="L54" s="1260"/>
      <c r="M54" s="1260"/>
      <c r="N54" s="1260"/>
      <c r="O54" s="1260"/>
      <c r="P54" s="1260"/>
      <c r="Q54" s="1260"/>
      <c r="R54" s="1260"/>
      <c r="S54" s="1260"/>
      <c r="T54" s="1254"/>
      <c r="U54" s="1254"/>
    </row>
    <row r="55" spans="2:21" ht="15.6">
      <c r="B55" s="1252"/>
      <c r="G55" s="1255"/>
      <c r="H55" s="1254"/>
      <c r="I55" s="1260"/>
      <c r="J55" s="1260"/>
      <c r="K55" s="1260"/>
      <c r="L55" s="1260"/>
      <c r="M55" s="1260"/>
      <c r="N55" s="1260"/>
      <c r="O55" s="1260"/>
      <c r="P55" s="1260"/>
      <c r="Q55" s="1260"/>
      <c r="R55" s="1260"/>
      <c r="S55" s="1260"/>
      <c r="T55" s="1254"/>
      <c r="U55" s="1254"/>
    </row>
    <row r="56" spans="2:21" ht="15.6">
      <c r="B56" s="1252"/>
      <c r="G56" s="1255"/>
      <c r="H56" s="1254"/>
      <c r="I56" s="1260"/>
      <c r="J56" s="1260"/>
      <c r="K56" s="1260"/>
      <c r="L56" s="1260"/>
      <c r="M56" s="1260"/>
      <c r="N56" s="1260"/>
      <c r="O56" s="1260"/>
      <c r="P56" s="1260"/>
      <c r="Q56" s="1260"/>
      <c r="R56" s="1260"/>
      <c r="S56" s="1260"/>
      <c r="T56" s="1254"/>
      <c r="U56" s="1254"/>
    </row>
    <row r="57" spans="2:21" ht="15.6">
      <c r="B57" s="1252"/>
      <c r="G57" s="1255"/>
      <c r="H57" s="1254"/>
      <c r="I57" s="1260"/>
      <c r="J57" s="1261"/>
      <c r="K57" s="1260"/>
      <c r="L57" s="1260"/>
      <c r="M57" s="1260"/>
      <c r="N57" s="1260"/>
      <c r="O57" s="1260"/>
      <c r="P57" s="1260"/>
      <c r="Q57" s="1260"/>
      <c r="R57" s="1260"/>
      <c r="S57" s="1260"/>
      <c r="T57" s="1254"/>
      <c r="U57" s="1254"/>
    </row>
    <row r="58" spans="2:21" ht="15.6">
      <c r="B58" s="1252"/>
      <c r="G58" s="1255"/>
      <c r="H58" s="1254"/>
      <c r="I58" s="1254"/>
      <c r="J58" s="1254"/>
      <c r="K58" s="1254"/>
      <c r="L58" s="1254"/>
      <c r="M58" s="1254"/>
      <c r="N58" s="1254"/>
      <c r="O58" s="1254"/>
      <c r="P58" s="1254"/>
      <c r="Q58" s="1254"/>
      <c r="R58" s="1254"/>
      <c r="S58" s="1254"/>
      <c r="T58" s="1254"/>
      <c r="U58" s="1254"/>
    </row>
    <row r="59" spans="2:21" ht="15.6">
      <c r="B59" s="1252"/>
      <c r="G59" s="1255"/>
      <c r="H59" s="1254"/>
      <c r="I59" s="1254"/>
      <c r="K59" s="1254"/>
      <c r="L59" s="1254"/>
      <c r="M59" s="1254"/>
      <c r="N59" s="1254"/>
      <c r="O59" s="1254"/>
      <c r="P59" s="1254"/>
      <c r="Q59" s="1254"/>
      <c r="R59" s="1254"/>
      <c r="S59" s="1254"/>
      <c r="T59" s="1254"/>
      <c r="U59" s="1254"/>
    </row>
    <row r="60" spans="2:21" ht="15.6">
      <c r="B60" s="1252"/>
      <c r="G60" s="1255"/>
      <c r="H60" s="1254"/>
      <c r="I60" s="1254"/>
      <c r="J60" s="1254"/>
      <c r="K60" s="1254"/>
      <c r="L60" s="1254"/>
      <c r="M60" s="1254"/>
      <c r="N60" s="1254"/>
      <c r="O60" s="1254"/>
      <c r="P60" s="1254"/>
      <c r="Q60" s="1254"/>
      <c r="R60" s="1254"/>
      <c r="S60" s="1254"/>
      <c r="T60" s="1254"/>
      <c r="U60" s="1254"/>
    </row>
    <row r="61" spans="2:21" ht="15.6">
      <c r="B61" s="1252"/>
      <c r="G61" s="1255"/>
      <c r="H61" s="1254"/>
      <c r="I61" s="1254"/>
      <c r="J61" s="1256"/>
      <c r="K61" s="1254"/>
      <c r="L61" s="1254"/>
      <c r="M61" s="1254"/>
      <c r="N61" s="1254"/>
      <c r="O61" s="1254"/>
      <c r="P61" s="1254"/>
      <c r="Q61" s="1254"/>
      <c r="R61" s="1254"/>
      <c r="S61" s="1254"/>
      <c r="T61" s="1254"/>
      <c r="U61" s="1254"/>
    </row>
    <row r="62" spans="2:21" ht="15.6">
      <c r="B62" s="1252"/>
      <c r="G62" s="1255"/>
      <c r="H62" s="1254"/>
      <c r="I62" s="1254"/>
      <c r="J62" s="1254"/>
      <c r="K62" s="1254"/>
      <c r="L62" s="1254"/>
      <c r="M62" s="1254"/>
      <c r="N62" s="1254"/>
      <c r="O62" s="1254"/>
      <c r="P62" s="1254"/>
      <c r="Q62" s="1254"/>
      <c r="R62" s="1254"/>
      <c r="S62" s="1254"/>
      <c r="T62" s="1254"/>
      <c r="U62" s="1254"/>
    </row>
    <row r="63" spans="2:21" ht="15.6">
      <c r="B63" s="1252"/>
      <c r="G63" s="1255"/>
      <c r="H63" s="1254"/>
      <c r="I63" s="1254"/>
      <c r="J63" s="1254"/>
      <c r="K63" s="1254"/>
      <c r="L63" s="1254"/>
      <c r="M63" s="1254"/>
      <c r="N63" s="1254"/>
      <c r="O63" s="1254"/>
      <c r="P63" s="1254"/>
      <c r="Q63" s="1254"/>
      <c r="R63" s="1254"/>
      <c r="S63" s="1254"/>
      <c r="T63" s="1254"/>
      <c r="U63" s="1254"/>
    </row>
    <row r="64" spans="2:21" ht="15.6">
      <c r="G64" s="1255"/>
      <c r="H64" s="1254"/>
      <c r="I64" s="1254"/>
      <c r="J64" s="1259"/>
      <c r="K64" s="1254"/>
      <c r="L64" s="1254"/>
      <c r="M64" s="1254"/>
      <c r="N64" s="1254"/>
      <c r="O64" s="1254"/>
      <c r="P64" s="1254"/>
      <c r="Q64" s="1254"/>
      <c r="R64" s="1254"/>
      <c r="S64" s="1254"/>
      <c r="T64" s="1254"/>
      <c r="U64" s="1254"/>
    </row>
    <row r="65" spans="7:21" ht="15.6">
      <c r="G65" s="1255"/>
      <c r="H65" s="1254"/>
      <c r="I65" s="1254"/>
      <c r="J65" s="1254"/>
      <c r="K65" s="1254"/>
      <c r="L65" s="1254"/>
      <c r="M65" s="1254"/>
      <c r="N65" s="1254"/>
      <c r="O65" s="1254"/>
      <c r="P65" s="1254"/>
      <c r="Q65" s="1254"/>
      <c r="R65" s="1254"/>
      <c r="S65" s="1254"/>
      <c r="T65" s="1254"/>
      <c r="U65" s="1254"/>
    </row>
    <row r="66" spans="7:21" ht="15.6">
      <c r="G66" s="1255"/>
      <c r="H66" s="1254"/>
      <c r="I66" s="1254"/>
      <c r="J66" s="1258"/>
      <c r="K66" s="1254"/>
      <c r="L66" s="1254"/>
      <c r="M66" s="1254"/>
      <c r="N66" s="1254"/>
      <c r="O66" s="1254"/>
      <c r="P66" s="1254"/>
      <c r="Q66" s="1254"/>
      <c r="R66" s="1254"/>
      <c r="S66" s="1254"/>
      <c r="T66" s="1254"/>
      <c r="U66" s="1254"/>
    </row>
    <row r="67" spans="7:21" ht="15.6">
      <c r="G67" s="1255"/>
      <c r="H67" s="1254"/>
      <c r="I67" s="1254"/>
      <c r="J67" s="1254"/>
      <c r="K67" s="1254"/>
      <c r="L67" s="1254"/>
      <c r="M67" s="1254"/>
      <c r="N67" s="1254"/>
      <c r="O67" s="1254"/>
      <c r="P67" s="1254"/>
      <c r="Q67" s="1254"/>
      <c r="R67" s="1254"/>
      <c r="S67" s="1254"/>
      <c r="T67" s="1254"/>
      <c r="U67" s="1254"/>
    </row>
    <row r="68" spans="7:21" ht="15.6">
      <c r="G68" s="1255"/>
      <c r="H68" s="1254"/>
      <c r="I68" s="1254"/>
      <c r="J68" s="1254"/>
      <c r="K68" s="1254"/>
      <c r="L68" s="1254"/>
      <c r="M68" s="1254"/>
      <c r="N68" s="1254"/>
      <c r="O68" s="1254"/>
      <c r="P68" s="1254"/>
      <c r="Q68" s="1254"/>
      <c r="R68" s="1254"/>
      <c r="S68" s="1254"/>
      <c r="T68" s="1254"/>
      <c r="U68" s="1254"/>
    </row>
    <row r="69" spans="7:21" ht="15.6">
      <c r="G69" s="1255"/>
      <c r="H69" s="1254"/>
      <c r="I69" s="1254"/>
      <c r="J69" s="1254"/>
      <c r="K69" s="1254"/>
      <c r="L69" s="1254"/>
      <c r="M69" s="1254"/>
      <c r="N69" s="1254"/>
      <c r="O69" s="1254"/>
      <c r="P69" s="1254"/>
      <c r="Q69" s="1254"/>
      <c r="R69" s="1254"/>
      <c r="S69" s="1254"/>
      <c r="T69" s="1254"/>
      <c r="U69" s="1254"/>
    </row>
    <row r="70" spans="7:21" ht="15.6">
      <c r="G70" s="1255"/>
      <c r="H70" s="1254"/>
      <c r="I70" s="1254"/>
      <c r="J70" s="1254"/>
      <c r="K70" s="1254"/>
      <c r="L70" s="1254"/>
      <c r="M70" s="1254"/>
      <c r="N70" s="1254"/>
      <c r="O70" s="1254"/>
      <c r="P70" s="1254"/>
      <c r="Q70" s="1254"/>
      <c r="R70" s="1254"/>
      <c r="S70" s="1254"/>
      <c r="T70" s="1254"/>
      <c r="U70" s="1254"/>
    </row>
    <row r="71" spans="7:21" ht="15.6">
      <c r="G71" s="1255"/>
      <c r="H71" s="1254"/>
      <c r="I71" s="1254"/>
      <c r="J71" s="1257"/>
      <c r="K71" s="1254"/>
      <c r="L71" s="1254"/>
      <c r="M71" s="1254"/>
      <c r="N71" s="1254"/>
      <c r="O71" s="1254"/>
      <c r="P71" s="1254"/>
      <c r="Q71" s="1254"/>
      <c r="R71" s="1254"/>
      <c r="S71" s="1254"/>
      <c r="T71" s="1254"/>
      <c r="U71" s="1254"/>
    </row>
    <row r="72" spans="7:21" ht="15.6">
      <c r="G72" s="1255"/>
      <c r="H72" s="1254"/>
      <c r="I72" s="1254"/>
      <c r="J72" s="1254"/>
      <c r="K72" s="1254"/>
      <c r="L72" s="1254"/>
      <c r="M72" s="1254"/>
      <c r="N72" s="1254"/>
      <c r="O72" s="1254"/>
      <c r="P72" s="1254"/>
      <c r="Q72" s="1254"/>
      <c r="R72" s="1254"/>
      <c r="S72" s="1254"/>
      <c r="T72" s="1254"/>
      <c r="U72" s="1254"/>
    </row>
    <row r="73" spans="7:21" ht="15.6">
      <c r="G73" s="1255"/>
      <c r="H73" s="1254"/>
      <c r="I73" s="1254"/>
      <c r="J73" s="1254"/>
      <c r="K73" s="1254"/>
      <c r="L73" s="1254"/>
      <c r="M73" s="1254"/>
      <c r="N73" s="1254"/>
      <c r="O73" s="1254"/>
      <c r="P73" s="1254"/>
      <c r="Q73" s="1254"/>
      <c r="R73" s="1254"/>
      <c r="S73" s="1254"/>
      <c r="T73" s="1254"/>
      <c r="U73" s="1254"/>
    </row>
    <row r="74" spans="7:21" ht="15.6">
      <c r="G74" s="1255"/>
      <c r="H74" s="1254"/>
      <c r="I74" s="1254"/>
      <c r="J74" s="1254"/>
      <c r="K74" s="1254"/>
      <c r="L74" s="1254"/>
      <c r="M74" s="1254"/>
      <c r="N74" s="1254"/>
      <c r="O74" s="1254"/>
      <c r="P74" s="1254"/>
      <c r="Q74" s="1254"/>
      <c r="R74" s="1254"/>
      <c r="S74" s="1254"/>
      <c r="T74" s="1254"/>
      <c r="U74" s="1254"/>
    </row>
    <row r="75" spans="7:21" ht="15.6">
      <c r="G75" s="1255"/>
      <c r="H75" s="1254"/>
      <c r="I75" s="1254"/>
      <c r="J75" s="1254"/>
      <c r="K75" s="1254"/>
      <c r="L75" s="1254"/>
      <c r="M75" s="1254"/>
      <c r="N75" s="1254"/>
      <c r="O75" s="1254"/>
      <c r="P75" s="1254"/>
      <c r="Q75" s="1254"/>
      <c r="R75" s="1254"/>
      <c r="S75" s="1254"/>
      <c r="T75" s="1254"/>
      <c r="U75" s="1254"/>
    </row>
    <row r="76" spans="7:21" ht="15.6">
      <c r="G76" s="1255"/>
      <c r="H76" s="1254"/>
      <c r="I76" s="1254"/>
      <c r="J76" s="1254"/>
      <c r="K76" s="1254"/>
      <c r="L76" s="1254"/>
      <c r="M76" s="1254"/>
      <c r="N76" s="1254"/>
      <c r="O76" s="1254"/>
      <c r="P76" s="1254"/>
      <c r="Q76" s="1254"/>
      <c r="R76" s="1254"/>
      <c r="S76" s="1254"/>
      <c r="T76" s="1254"/>
      <c r="U76" s="1254"/>
    </row>
    <row r="77" spans="7:21" ht="15.6">
      <c r="G77" s="1255"/>
      <c r="H77" s="1254"/>
      <c r="I77" s="1254"/>
      <c r="J77" s="1254"/>
      <c r="K77" s="1254"/>
      <c r="L77" s="1254"/>
      <c r="M77" s="1254"/>
      <c r="N77" s="1254"/>
      <c r="O77" s="1254"/>
      <c r="P77" s="1254"/>
      <c r="Q77" s="1254"/>
      <c r="R77" s="1254"/>
      <c r="S77" s="1254"/>
      <c r="T77" s="1254"/>
      <c r="U77" s="1254"/>
    </row>
    <row r="78" spans="7:21" ht="15.6">
      <c r="G78" s="1255"/>
      <c r="H78" s="1254"/>
      <c r="I78" s="1254"/>
      <c r="J78" s="1256"/>
      <c r="K78" s="1254"/>
      <c r="L78" s="1254"/>
      <c r="M78" s="1254"/>
      <c r="N78" s="1254"/>
      <c r="O78" s="1254"/>
      <c r="P78" s="1254"/>
      <c r="Q78" s="1254"/>
      <c r="R78" s="1254"/>
      <c r="S78" s="1254"/>
      <c r="T78" s="1254"/>
      <c r="U78" s="1254"/>
    </row>
    <row r="79" spans="7:21" ht="15.6">
      <c r="G79" s="1255"/>
      <c r="H79" s="1254"/>
      <c r="I79" s="1254"/>
      <c r="J79" s="1254"/>
      <c r="K79" s="1254"/>
      <c r="L79" s="1254"/>
      <c r="M79" s="1254"/>
      <c r="N79" s="1254"/>
      <c r="O79" s="1254"/>
      <c r="P79" s="1254"/>
      <c r="Q79" s="1254"/>
      <c r="R79" s="1254"/>
      <c r="S79" s="1254"/>
      <c r="T79" s="1254"/>
      <c r="U79" s="1254"/>
    </row>
    <row r="80" spans="7:21" ht="15.6">
      <c r="G80" s="1255"/>
      <c r="H80" s="1254"/>
      <c r="I80" s="1254"/>
      <c r="J80" s="1254"/>
      <c r="K80" s="1254"/>
      <c r="L80" s="1254"/>
      <c r="M80" s="1254"/>
      <c r="N80" s="1254"/>
      <c r="O80" s="1254"/>
      <c r="P80" s="1254"/>
      <c r="Q80" s="1254"/>
      <c r="R80" s="1254"/>
      <c r="S80" s="1254"/>
      <c r="T80" s="1254"/>
      <c r="U80" s="1254"/>
    </row>
    <row r="81" spans="7:21" ht="15.6">
      <c r="G81" s="1255"/>
      <c r="H81" s="1254"/>
      <c r="I81" s="1254"/>
      <c r="J81" s="1254"/>
      <c r="K81" s="1254"/>
      <c r="L81" s="1254"/>
      <c r="M81" s="1254"/>
      <c r="N81" s="1254"/>
      <c r="O81" s="1254"/>
      <c r="P81" s="1254"/>
      <c r="Q81" s="1254"/>
      <c r="R81" s="1254"/>
      <c r="S81" s="1254"/>
      <c r="T81" s="1254"/>
      <c r="U81" s="1254"/>
    </row>
    <row r="82" spans="7:21" ht="15.6">
      <c r="G82" s="1255"/>
      <c r="H82" s="1254"/>
      <c r="I82" s="1254"/>
      <c r="J82" s="1256"/>
      <c r="K82" s="1254"/>
      <c r="L82" s="1254"/>
      <c r="M82" s="1254"/>
      <c r="N82" s="1254"/>
      <c r="O82" s="1254"/>
      <c r="P82" s="1254"/>
      <c r="Q82" s="1254"/>
      <c r="R82" s="1254"/>
      <c r="S82" s="1254"/>
      <c r="T82" s="1254"/>
      <c r="U82" s="1254"/>
    </row>
    <row r="83" spans="7:21" ht="15.6">
      <c r="G83" s="1255"/>
      <c r="H83" s="1254"/>
      <c r="I83" s="1254"/>
      <c r="J83" s="1254"/>
      <c r="K83" s="1254"/>
      <c r="L83" s="1254"/>
      <c r="M83" s="1254"/>
      <c r="N83" s="1254"/>
      <c r="O83" s="1254"/>
      <c r="P83" s="1254"/>
      <c r="Q83" s="1254"/>
      <c r="R83" s="1254"/>
      <c r="S83" s="1254"/>
      <c r="T83" s="1254"/>
      <c r="U83" s="1254"/>
    </row>
    <row r="84" spans="7:21" ht="15.6">
      <c r="G84" s="1255"/>
      <c r="H84" s="1254"/>
      <c r="I84" s="1254"/>
      <c r="J84" s="1254"/>
      <c r="K84" s="1254"/>
      <c r="L84" s="1254"/>
      <c r="M84" s="1254"/>
      <c r="N84" s="1254"/>
      <c r="O84" s="1254"/>
      <c r="P84" s="1254"/>
      <c r="Q84" s="1254"/>
      <c r="R84" s="1254"/>
      <c r="S84" s="1254"/>
      <c r="T84" s="1254"/>
      <c r="U84" s="1254"/>
    </row>
    <row r="85" spans="7:21" ht="15.6">
      <c r="G85" s="1255"/>
      <c r="H85" s="1254"/>
      <c r="I85" s="1254"/>
      <c r="J85" s="1254"/>
      <c r="K85" s="1254"/>
      <c r="L85" s="1254"/>
      <c r="M85" s="1254"/>
      <c r="N85" s="1254"/>
      <c r="O85" s="1254"/>
      <c r="P85" s="1254"/>
      <c r="Q85" s="1254"/>
      <c r="R85" s="1254"/>
      <c r="S85" s="1254"/>
      <c r="T85" s="1254"/>
      <c r="U85" s="1254"/>
    </row>
    <row r="86" spans="7:21" ht="15.6">
      <c r="G86" s="1255"/>
      <c r="H86" s="1254"/>
      <c r="I86" s="1254"/>
      <c r="J86" s="1254"/>
      <c r="K86" s="1254"/>
      <c r="L86" s="1254"/>
      <c r="M86" s="1254"/>
      <c r="N86" s="1254"/>
      <c r="O86" s="1254"/>
      <c r="P86" s="1254"/>
      <c r="Q86" s="1254"/>
      <c r="R86" s="1254"/>
      <c r="S86" s="1254"/>
      <c r="T86" s="1254"/>
      <c r="U86" s="1254"/>
    </row>
    <row r="87" spans="7:21" ht="15.6">
      <c r="G87" s="1255"/>
      <c r="H87" s="1254"/>
      <c r="I87" s="1254"/>
      <c r="J87" s="1254"/>
      <c r="K87" s="1254"/>
      <c r="L87" s="1254"/>
      <c r="M87" s="1254"/>
      <c r="N87" s="1254"/>
      <c r="O87" s="1254"/>
      <c r="P87" s="1254"/>
      <c r="Q87" s="1254"/>
      <c r="R87" s="1254"/>
      <c r="S87" s="1254"/>
      <c r="T87" s="1254"/>
      <c r="U87" s="1254"/>
    </row>
    <row r="88" spans="7:21" ht="15.6">
      <c r="G88" s="1255"/>
      <c r="H88" s="1254"/>
      <c r="I88" s="1254"/>
      <c r="J88" s="1254"/>
      <c r="K88" s="1254"/>
      <c r="L88" s="1254"/>
      <c r="M88" s="1254"/>
      <c r="N88" s="1254"/>
      <c r="O88" s="1254"/>
      <c r="P88" s="1254"/>
      <c r="Q88" s="1254"/>
      <c r="R88" s="1254"/>
      <c r="S88" s="1254"/>
      <c r="T88" s="1254"/>
      <c r="U88" s="1254"/>
    </row>
    <row r="89" spans="7:21" ht="15.6">
      <c r="G89" s="1255"/>
      <c r="H89" s="1254"/>
      <c r="I89" s="1254"/>
      <c r="J89" s="1254"/>
      <c r="K89" s="1254"/>
      <c r="L89" s="1254"/>
      <c r="M89" s="1254"/>
      <c r="N89" s="1254"/>
      <c r="O89" s="1254"/>
      <c r="P89" s="1254"/>
      <c r="Q89" s="1254"/>
      <c r="R89" s="1254"/>
      <c r="S89" s="1254"/>
      <c r="T89" s="1254"/>
      <c r="U89" s="1254"/>
    </row>
    <row r="90" spans="7:21" ht="15.6">
      <c r="G90" s="1255"/>
      <c r="H90" s="1254"/>
      <c r="I90" s="1254"/>
      <c r="J90" s="1254"/>
      <c r="K90" s="1254"/>
      <c r="L90" s="1254"/>
      <c r="M90" s="1254"/>
      <c r="N90" s="1254"/>
      <c r="O90" s="1254"/>
      <c r="P90" s="1254"/>
      <c r="Q90" s="1254"/>
      <c r="R90" s="1254"/>
      <c r="S90" s="1254"/>
      <c r="T90" s="1254"/>
      <c r="U90" s="1254"/>
    </row>
    <row r="91" spans="7:21" ht="15.6">
      <c r="G91" s="1255"/>
      <c r="H91" s="1254"/>
      <c r="I91" s="1254"/>
      <c r="J91" s="1254"/>
      <c r="K91" s="1254"/>
      <c r="L91" s="1254"/>
      <c r="M91" s="1254"/>
      <c r="N91" s="1254"/>
      <c r="O91" s="1254"/>
      <c r="P91" s="1254"/>
      <c r="Q91" s="1254"/>
      <c r="R91" s="1254"/>
      <c r="S91" s="1254"/>
      <c r="T91" s="1254"/>
      <c r="U91" s="1254"/>
    </row>
    <row r="92" spans="7:21" ht="15.6">
      <c r="G92" s="1255"/>
      <c r="H92" s="1254"/>
      <c r="I92" s="1254"/>
      <c r="J92" s="1254"/>
      <c r="K92" s="1254"/>
      <c r="L92" s="1254"/>
      <c r="M92" s="1254"/>
      <c r="N92" s="1254"/>
      <c r="O92" s="1254"/>
      <c r="P92" s="1254"/>
      <c r="Q92" s="1254"/>
      <c r="R92" s="1254"/>
      <c r="S92" s="1254"/>
      <c r="T92" s="1254"/>
      <c r="U92" s="1254"/>
    </row>
    <row r="93" spans="7:21" ht="15.6">
      <c r="G93" s="1255"/>
      <c r="H93" s="1254"/>
      <c r="I93" s="1254"/>
      <c r="J93" s="1254"/>
      <c r="K93" s="1254"/>
      <c r="L93" s="1254"/>
      <c r="M93" s="1254"/>
      <c r="N93" s="1254"/>
      <c r="O93" s="1254"/>
      <c r="P93" s="1254"/>
      <c r="Q93" s="1254"/>
      <c r="R93" s="1254"/>
      <c r="S93" s="1254"/>
      <c r="T93" s="1254"/>
      <c r="U93" s="1254"/>
    </row>
    <row r="94" spans="7:21" ht="15.6">
      <c r="G94" s="1255"/>
      <c r="H94" s="1254"/>
      <c r="I94" s="1254"/>
      <c r="J94" s="1254"/>
      <c r="K94" s="1254"/>
      <c r="L94" s="1254"/>
      <c r="M94" s="1254"/>
      <c r="N94" s="1254"/>
      <c r="O94" s="1254"/>
      <c r="P94" s="1254"/>
      <c r="Q94" s="1254"/>
      <c r="R94" s="1254"/>
      <c r="S94" s="1254"/>
      <c r="T94" s="1254"/>
      <c r="U94" s="1254"/>
    </row>
    <row r="95" spans="7:21" ht="15.6">
      <c r="G95" s="1255"/>
      <c r="H95" s="1254"/>
      <c r="I95" s="1254"/>
      <c r="J95" s="1254"/>
      <c r="K95" s="1254"/>
      <c r="L95" s="1254"/>
      <c r="M95" s="1254"/>
      <c r="N95" s="1254"/>
      <c r="O95" s="1254"/>
      <c r="P95" s="1254"/>
      <c r="Q95" s="1254"/>
      <c r="R95" s="1254"/>
      <c r="S95" s="1254"/>
      <c r="T95" s="1254"/>
      <c r="U95" s="1254"/>
    </row>
    <row r="96" spans="7:21" ht="15.6">
      <c r="G96" s="1255"/>
      <c r="H96" s="1254"/>
      <c r="I96" s="1254"/>
      <c r="J96" s="1254"/>
      <c r="K96" s="1254"/>
      <c r="L96" s="1254"/>
      <c r="M96" s="1254"/>
      <c r="N96" s="1254"/>
      <c r="O96" s="1254"/>
      <c r="P96" s="1254"/>
      <c r="Q96" s="1254"/>
      <c r="R96" s="1254"/>
      <c r="S96" s="1254"/>
      <c r="T96" s="1254"/>
      <c r="U96" s="1254"/>
    </row>
    <row r="97" spans="7:21" ht="15.6">
      <c r="G97" s="1255"/>
      <c r="H97" s="1254"/>
      <c r="I97" s="1254"/>
      <c r="J97" s="1254"/>
      <c r="K97" s="1254"/>
      <c r="L97" s="1254"/>
      <c r="M97" s="1254"/>
      <c r="N97" s="1254"/>
      <c r="O97" s="1254"/>
      <c r="P97" s="1254"/>
      <c r="Q97" s="1254"/>
      <c r="R97" s="1254"/>
      <c r="S97" s="1254"/>
      <c r="T97" s="1254"/>
      <c r="U97" s="1254"/>
    </row>
    <row r="98" spans="7:21" ht="15.6">
      <c r="G98" s="1255"/>
      <c r="H98" s="1254"/>
      <c r="I98" s="1254"/>
      <c r="J98" s="1254"/>
      <c r="K98" s="1254"/>
      <c r="L98" s="1254"/>
      <c r="M98" s="1254"/>
      <c r="N98" s="1254"/>
      <c r="O98" s="1254"/>
      <c r="P98" s="1254"/>
      <c r="Q98" s="1254"/>
      <c r="R98" s="1254"/>
      <c r="S98" s="1254"/>
      <c r="T98" s="1254"/>
      <c r="U98" s="1254"/>
    </row>
    <row r="99" spans="7:21" ht="15.6">
      <c r="G99" s="1255"/>
      <c r="H99" s="1254"/>
      <c r="I99" s="1254"/>
      <c r="J99" s="1254"/>
      <c r="K99" s="1254"/>
      <c r="L99" s="1254"/>
      <c r="M99" s="1254"/>
      <c r="N99" s="1254"/>
      <c r="O99" s="1254"/>
      <c r="P99" s="1254"/>
      <c r="Q99" s="1254"/>
      <c r="R99" s="1254"/>
      <c r="S99" s="1254"/>
      <c r="T99" s="1254"/>
      <c r="U99" s="1254"/>
    </row>
    <row r="100" spans="7:21" ht="15.6">
      <c r="G100" s="1255"/>
      <c r="H100" s="1254"/>
      <c r="I100" s="1254"/>
      <c r="J100" s="1254"/>
      <c r="K100" s="1254"/>
      <c r="L100" s="1254"/>
      <c r="M100" s="1254"/>
      <c r="N100" s="1254"/>
      <c r="O100" s="1254"/>
      <c r="P100" s="1254"/>
      <c r="Q100" s="1254"/>
      <c r="R100" s="1254"/>
      <c r="S100" s="1254"/>
      <c r="T100" s="1254"/>
      <c r="U100" s="1254"/>
    </row>
    <row r="101" spans="7:21" ht="15.6">
      <c r="G101" s="1255"/>
      <c r="H101" s="1254"/>
      <c r="I101" s="1254"/>
      <c r="J101" s="1254"/>
      <c r="K101" s="1254"/>
      <c r="L101" s="1254"/>
      <c r="M101" s="1254"/>
      <c r="N101" s="1254"/>
      <c r="O101" s="1254"/>
      <c r="P101" s="1254"/>
      <c r="Q101" s="1254"/>
      <c r="R101" s="1254"/>
      <c r="S101" s="1254"/>
      <c r="T101" s="1254"/>
      <c r="U101" s="1254"/>
    </row>
    <row r="102" spans="7:21" ht="15.6">
      <c r="G102" s="1255"/>
      <c r="H102" s="1254"/>
      <c r="I102" s="1254"/>
      <c r="J102" s="1254"/>
      <c r="K102" s="1254"/>
      <c r="L102" s="1254"/>
      <c r="M102" s="1254"/>
      <c r="N102" s="1254"/>
      <c r="O102" s="1254"/>
      <c r="P102" s="1254"/>
      <c r="Q102" s="1254"/>
      <c r="R102" s="1254"/>
      <c r="S102" s="1254"/>
      <c r="T102" s="1254"/>
      <c r="U102" s="1254"/>
    </row>
    <row r="103" spans="7:21" ht="15.6">
      <c r="G103" s="1255"/>
      <c r="H103" s="1254"/>
      <c r="I103" s="1254"/>
      <c r="J103" s="1254"/>
      <c r="K103" s="1254"/>
      <c r="L103" s="1254"/>
      <c r="M103" s="1254"/>
      <c r="N103" s="1254"/>
      <c r="O103" s="1254"/>
      <c r="P103" s="1254"/>
      <c r="Q103" s="1254"/>
      <c r="R103" s="1254"/>
      <c r="S103" s="1254"/>
      <c r="T103" s="1254"/>
      <c r="U103" s="1254"/>
    </row>
    <row r="104" spans="7:21" ht="15.6">
      <c r="G104" s="1255"/>
      <c r="H104" s="1254"/>
      <c r="I104" s="1254"/>
      <c r="J104" s="1254"/>
      <c r="K104" s="1254"/>
      <c r="L104" s="1254"/>
      <c r="M104" s="1254"/>
      <c r="N104" s="1254"/>
      <c r="O104" s="1254"/>
      <c r="P104" s="1254"/>
      <c r="Q104" s="1254"/>
      <c r="R104" s="1254"/>
      <c r="S104" s="1254"/>
      <c r="T104" s="1254"/>
      <c r="U104" s="1254"/>
    </row>
    <row r="105" spans="7:21" ht="15.6">
      <c r="G105" s="1255"/>
      <c r="H105" s="1254"/>
      <c r="I105" s="1254"/>
      <c r="J105" s="1254"/>
      <c r="K105" s="1254"/>
      <c r="L105" s="1254"/>
      <c r="M105" s="1254"/>
      <c r="N105" s="1254"/>
      <c r="O105" s="1254"/>
      <c r="P105" s="1254"/>
      <c r="Q105" s="1254"/>
      <c r="R105" s="1254"/>
      <c r="S105" s="1254"/>
      <c r="T105" s="1254"/>
      <c r="U105" s="1254"/>
    </row>
    <row r="106" spans="7:21" ht="15.6">
      <c r="G106" s="1255"/>
      <c r="H106" s="1254"/>
      <c r="I106" s="1254"/>
      <c r="J106" s="1254"/>
      <c r="K106" s="1254"/>
      <c r="L106" s="1254"/>
      <c r="M106" s="1254"/>
      <c r="N106" s="1254"/>
      <c r="O106" s="1254"/>
      <c r="P106" s="1254"/>
      <c r="Q106" s="1254"/>
      <c r="R106" s="1254"/>
      <c r="S106" s="1254"/>
      <c r="T106" s="1254"/>
      <c r="U106" s="1254"/>
    </row>
    <row r="107" spans="7:21" ht="15.6">
      <c r="G107" s="1255"/>
      <c r="H107" s="1254"/>
      <c r="I107" s="1254"/>
      <c r="J107" s="1254"/>
      <c r="K107" s="1254"/>
      <c r="L107" s="1254"/>
      <c r="M107" s="1254"/>
      <c r="N107" s="1254"/>
      <c r="O107" s="1254"/>
      <c r="P107" s="1254"/>
      <c r="Q107" s="1254"/>
      <c r="R107" s="1254"/>
      <c r="S107" s="1254"/>
      <c r="T107" s="1254"/>
      <c r="U107" s="1254"/>
    </row>
    <row r="108" spans="7:21" ht="15.6">
      <c r="G108" s="1255"/>
      <c r="H108" s="1254"/>
      <c r="I108" s="1254"/>
      <c r="J108" s="1254"/>
      <c r="K108" s="1254"/>
      <c r="L108" s="1254"/>
      <c r="M108" s="1254"/>
      <c r="N108" s="1254"/>
      <c r="O108" s="1254"/>
      <c r="P108" s="1254"/>
      <c r="Q108" s="1254"/>
      <c r="R108" s="1254"/>
      <c r="S108" s="1254"/>
      <c r="T108" s="1254"/>
      <c r="U108" s="1254"/>
    </row>
    <row r="109" spans="7:21" ht="15.6">
      <c r="G109" s="1255"/>
      <c r="H109" s="1254"/>
      <c r="I109" s="1254"/>
      <c r="J109" s="1254"/>
      <c r="K109" s="1254"/>
      <c r="L109" s="1254"/>
      <c r="M109" s="1254"/>
      <c r="N109" s="1254"/>
      <c r="O109" s="1254"/>
      <c r="P109" s="1254"/>
      <c r="Q109" s="1254"/>
      <c r="R109" s="1254"/>
      <c r="S109" s="1254"/>
      <c r="T109" s="1254"/>
      <c r="U109" s="1254"/>
    </row>
    <row r="110" spans="7:21" ht="15.6">
      <c r="G110" s="1255"/>
      <c r="H110" s="1254"/>
      <c r="I110" s="1254"/>
      <c r="J110" s="1254"/>
      <c r="K110" s="1254"/>
      <c r="L110" s="1254"/>
      <c r="M110" s="1254"/>
      <c r="N110" s="1254"/>
      <c r="O110" s="1254"/>
      <c r="P110" s="1254"/>
      <c r="Q110" s="1254"/>
      <c r="R110" s="1254"/>
      <c r="S110" s="1254"/>
      <c r="T110" s="1254"/>
      <c r="U110" s="1254"/>
    </row>
    <row r="111" spans="7:21" ht="15.6">
      <c r="G111" s="1255"/>
      <c r="H111" s="1254"/>
      <c r="I111" s="1254"/>
      <c r="J111" s="1254"/>
      <c r="K111" s="1254"/>
      <c r="L111" s="1254"/>
      <c r="M111" s="1254"/>
      <c r="N111" s="1254"/>
      <c r="O111" s="1254"/>
      <c r="P111" s="1254"/>
      <c r="Q111" s="1254"/>
      <c r="R111" s="1254"/>
      <c r="S111" s="1254"/>
      <c r="T111" s="1254"/>
      <c r="U111" s="1254"/>
    </row>
    <row r="112" spans="7:21" ht="15.6">
      <c r="G112" s="1255"/>
      <c r="H112" s="1254"/>
      <c r="I112" s="1254"/>
      <c r="J112" s="1254"/>
      <c r="K112" s="1254"/>
      <c r="L112" s="1254"/>
      <c r="M112" s="1254"/>
      <c r="N112" s="1254"/>
      <c r="O112" s="1254"/>
      <c r="P112" s="1254"/>
      <c r="Q112" s="1254"/>
      <c r="R112" s="1254"/>
      <c r="S112" s="1254"/>
      <c r="T112" s="1254"/>
      <c r="U112" s="1254"/>
    </row>
    <row r="113" spans="7:21" ht="15.6">
      <c r="G113" s="1255"/>
      <c r="H113" s="1254"/>
      <c r="I113" s="1254"/>
      <c r="J113" s="1254"/>
      <c r="K113" s="1254"/>
      <c r="L113" s="1254"/>
      <c r="M113" s="1254"/>
      <c r="N113" s="1254"/>
      <c r="O113" s="1254"/>
      <c r="P113" s="1254"/>
      <c r="Q113" s="1254"/>
      <c r="R113" s="1254"/>
      <c r="S113" s="1254"/>
      <c r="T113" s="1254"/>
      <c r="U113" s="1254"/>
    </row>
    <row r="114" spans="7:21" ht="15.6">
      <c r="G114" s="1255"/>
      <c r="H114" s="1254"/>
      <c r="I114" s="1254"/>
      <c r="J114" s="1254"/>
      <c r="K114" s="1254"/>
      <c r="L114" s="1254"/>
      <c r="M114" s="1254"/>
      <c r="N114" s="1254"/>
      <c r="O114" s="1254"/>
      <c r="P114" s="1254"/>
      <c r="Q114" s="1254"/>
      <c r="R114" s="1254"/>
      <c r="S114" s="1254"/>
      <c r="T114" s="1254"/>
      <c r="U114" s="1254"/>
    </row>
    <row r="115" spans="7:21" ht="15.6">
      <c r="G115" s="1255"/>
      <c r="H115" s="1254"/>
      <c r="I115" s="1254"/>
      <c r="J115" s="1254"/>
      <c r="K115" s="1254"/>
      <c r="L115" s="1254"/>
      <c r="M115" s="1254"/>
      <c r="N115" s="1254"/>
      <c r="O115" s="1254"/>
      <c r="P115" s="1254"/>
      <c r="Q115" s="1254"/>
      <c r="R115" s="1254"/>
      <c r="S115" s="1254"/>
      <c r="T115" s="1254"/>
      <c r="U115" s="1254"/>
    </row>
    <row r="116" spans="7:21" ht="15.6">
      <c r="G116" s="1255"/>
      <c r="H116" s="1254"/>
      <c r="I116" s="1254"/>
      <c r="J116" s="1254"/>
      <c r="K116" s="1254"/>
      <c r="L116" s="1254"/>
      <c r="M116" s="1254"/>
      <c r="N116" s="1254"/>
      <c r="O116" s="1254"/>
      <c r="P116" s="1254"/>
      <c r="Q116" s="1254"/>
      <c r="R116" s="1254"/>
      <c r="S116" s="1254"/>
      <c r="T116" s="1254"/>
      <c r="U116" s="1254"/>
    </row>
    <row r="117" spans="7:21" ht="15.6">
      <c r="G117" s="1255"/>
      <c r="H117" s="1254"/>
      <c r="I117" s="1254"/>
      <c r="J117" s="1254"/>
      <c r="K117" s="1254"/>
      <c r="L117" s="1254"/>
      <c r="M117" s="1254"/>
      <c r="N117" s="1254"/>
      <c r="O117" s="1254"/>
      <c r="P117" s="1254"/>
      <c r="Q117" s="1254"/>
      <c r="R117" s="1254"/>
      <c r="S117" s="1254"/>
      <c r="T117" s="1254"/>
      <c r="U117" s="1254"/>
    </row>
    <row r="118" spans="7:21" ht="15.6">
      <c r="G118" s="1255"/>
      <c r="H118" s="1254"/>
      <c r="I118" s="1254"/>
      <c r="J118" s="1254"/>
      <c r="K118" s="1254"/>
      <c r="L118" s="1254"/>
      <c r="M118" s="1254"/>
      <c r="N118" s="1254"/>
      <c r="O118" s="1254"/>
      <c r="P118" s="1254"/>
      <c r="Q118" s="1254"/>
      <c r="R118" s="1254"/>
      <c r="S118" s="1254"/>
      <c r="T118" s="1254"/>
      <c r="U118" s="1254"/>
    </row>
    <row r="119" spans="7:21" ht="15.6">
      <c r="G119" s="1255"/>
      <c r="H119" s="1254"/>
      <c r="I119" s="1254"/>
      <c r="J119" s="1254"/>
      <c r="K119" s="1254"/>
      <c r="L119" s="1254"/>
      <c r="M119" s="1254"/>
      <c r="N119" s="1254"/>
      <c r="O119" s="1254"/>
      <c r="P119" s="1254"/>
      <c r="Q119" s="1254"/>
      <c r="R119" s="1254"/>
      <c r="S119" s="1254"/>
      <c r="T119" s="1254"/>
      <c r="U119" s="1254"/>
    </row>
    <row r="120" spans="7:21" ht="15.6">
      <c r="G120" s="1255"/>
      <c r="H120" s="1254"/>
      <c r="I120" s="1254"/>
      <c r="J120" s="1254"/>
      <c r="K120" s="1254"/>
      <c r="L120" s="1254"/>
      <c r="M120" s="1254"/>
      <c r="N120" s="1254"/>
      <c r="O120" s="1254"/>
      <c r="P120" s="1254"/>
      <c r="Q120" s="1254"/>
      <c r="R120" s="1254"/>
      <c r="S120" s="1254"/>
      <c r="T120" s="1254"/>
      <c r="U120" s="1254"/>
    </row>
    <row r="121" spans="7:21" ht="15.6">
      <c r="G121" s="1255"/>
      <c r="H121" s="1254"/>
      <c r="I121" s="1254"/>
      <c r="J121" s="1254"/>
      <c r="K121" s="1254"/>
      <c r="L121" s="1254"/>
      <c r="M121" s="1254"/>
      <c r="N121" s="1254"/>
      <c r="O121" s="1254"/>
      <c r="P121" s="1254"/>
      <c r="Q121" s="1254"/>
      <c r="R121" s="1254"/>
      <c r="S121" s="1254"/>
      <c r="T121" s="1254"/>
      <c r="U121" s="1254"/>
    </row>
    <row r="122" spans="7:21" ht="15.6">
      <c r="G122" s="1255"/>
      <c r="H122" s="1254"/>
      <c r="I122" s="1254"/>
      <c r="J122" s="1254"/>
      <c r="K122" s="1254"/>
      <c r="L122" s="1254"/>
      <c r="M122" s="1254"/>
      <c r="N122" s="1254"/>
      <c r="O122" s="1254"/>
      <c r="P122" s="1254"/>
      <c r="Q122" s="1254"/>
      <c r="R122" s="1254"/>
      <c r="S122" s="1254"/>
      <c r="T122" s="1254"/>
      <c r="U122" s="1254"/>
    </row>
    <row r="123" spans="7:21" ht="15.6">
      <c r="G123" s="1255"/>
      <c r="H123" s="1254"/>
      <c r="I123" s="1254"/>
      <c r="J123" s="1254"/>
      <c r="K123" s="1254"/>
      <c r="L123" s="1254"/>
      <c r="M123" s="1254"/>
      <c r="N123" s="1254"/>
      <c r="O123" s="1254"/>
      <c r="P123" s="1254"/>
      <c r="Q123" s="1254"/>
      <c r="R123" s="1254"/>
      <c r="S123" s="1254"/>
      <c r="T123" s="1254"/>
      <c r="U123" s="1254"/>
    </row>
    <row r="124" spans="7:21" ht="15.6">
      <c r="G124" s="1255"/>
      <c r="H124" s="1254"/>
      <c r="I124" s="1254"/>
      <c r="J124" s="1254"/>
      <c r="K124" s="1254"/>
      <c r="L124" s="1254"/>
      <c r="M124" s="1254"/>
      <c r="N124" s="1254"/>
      <c r="O124" s="1254"/>
      <c r="P124" s="1254"/>
      <c r="Q124" s="1254"/>
      <c r="R124" s="1254"/>
      <c r="S124" s="1254"/>
      <c r="T124" s="1254"/>
      <c r="U124" s="1254"/>
    </row>
    <row r="125" spans="7:21" ht="15.6">
      <c r="G125" s="1255"/>
      <c r="H125" s="1254"/>
      <c r="I125" s="1254"/>
      <c r="J125" s="1254"/>
      <c r="K125" s="1254"/>
      <c r="L125" s="1254"/>
      <c r="M125" s="1254"/>
      <c r="N125" s="1254"/>
      <c r="O125" s="1254"/>
      <c r="P125" s="1254"/>
      <c r="Q125" s="1254"/>
      <c r="R125" s="1254"/>
      <c r="S125" s="1254"/>
      <c r="T125" s="1254"/>
      <c r="U125" s="1254"/>
    </row>
    <row r="126" spans="7:21" ht="15.6">
      <c r="G126" s="1255"/>
      <c r="H126" s="1254"/>
      <c r="I126" s="1254"/>
      <c r="J126" s="1254"/>
      <c r="K126" s="1254"/>
      <c r="L126" s="1254"/>
      <c r="M126" s="1254"/>
      <c r="N126" s="1254"/>
      <c r="O126" s="1254"/>
      <c r="P126" s="1254"/>
      <c r="Q126" s="1254"/>
      <c r="R126" s="1254"/>
      <c r="S126" s="1254"/>
      <c r="T126" s="1254"/>
      <c r="U126" s="1254"/>
    </row>
    <row r="127" spans="7:21" ht="15.6">
      <c r="G127" s="1255"/>
      <c r="H127" s="1254"/>
      <c r="I127" s="1254"/>
      <c r="J127" s="1254"/>
      <c r="K127" s="1254"/>
      <c r="L127" s="1254"/>
      <c r="M127" s="1254"/>
      <c r="N127" s="1254"/>
      <c r="O127" s="1254"/>
      <c r="P127" s="1254"/>
      <c r="Q127" s="1254"/>
      <c r="R127" s="1254"/>
      <c r="S127" s="1254"/>
      <c r="T127" s="1254"/>
      <c r="U127" s="1254"/>
    </row>
    <row r="128" spans="7:21" ht="15.6">
      <c r="G128" s="1255"/>
      <c r="H128" s="1254"/>
      <c r="I128" s="1254"/>
      <c r="J128" s="1254"/>
      <c r="K128" s="1254"/>
      <c r="L128" s="1254"/>
      <c r="M128" s="1254"/>
      <c r="N128" s="1254"/>
      <c r="O128" s="1254"/>
      <c r="P128" s="1254"/>
      <c r="Q128" s="1254"/>
      <c r="R128" s="1254"/>
      <c r="S128" s="1254"/>
      <c r="T128" s="1254"/>
      <c r="U128" s="1254"/>
    </row>
    <row r="129" spans="7:21" ht="15.6">
      <c r="G129" s="1255"/>
      <c r="H129" s="1254"/>
      <c r="I129" s="1254"/>
      <c r="J129" s="1254"/>
      <c r="K129" s="1254"/>
      <c r="L129" s="1254"/>
      <c r="M129" s="1254"/>
      <c r="N129" s="1254"/>
      <c r="O129" s="1254"/>
      <c r="P129" s="1254"/>
      <c r="Q129" s="1254"/>
      <c r="R129" s="1254"/>
      <c r="S129" s="1254"/>
      <c r="T129" s="1254"/>
      <c r="U129" s="1254"/>
    </row>
    <row r="130" spans="7:21" ht="15.6">
      <c r="G130" s="1255"/>
      <c r="H130" s="1254"/>
      <c r="I130" s="1254"/>
      <c r="J130" s="1254"/>
      <c r="K130" s="1254"/>
      <c r="L130" s="1254"/>
      <c r="M130" s="1254"/>
      <c r="N130" s="1254"/>
      <c r="O130" s="1254"/>
      <c r="P130" s="1254"/>
      <c r="Q130" s="1254"/>
      <c r="R130" s="1254"/>
      <c r="S130" s="1254"/>
      <c r="T130" s="1254"/>
      <c r="U130" s="1254"/>
    </row>
    <row r="131" spans="7:21" ht="15.6">
      <c r="G131" s="1255"/>
      <c r="H131" s="1254"/>
      <c r="I131" s="1254"/>
      <c r="J131" s="1254"/>
      <c r="K131" s="1254"/>
      <c r="L131" s="1254"/>
      <c r="M131" s="1254"/>
      <c r="N131" s="1254"/>
      <c r="O131" s="1254"/>
      <c r="P131" s="1254"/>
      <c r="Q131" s="1254"/>
      <c r="R131" s="1254"/>
      <c r="S131" s="1254"/>
      <c r="T131" s="1254"/>
      <c r="U131" s="1254"/>
    </row>
    <row r="132" spans="7:21" ht="15.6">
      <c r="G132" s="1255"/>
      <c r="H132" s="1254"/>
      <c r="I132" s="1254"/>
      <c r="J132" s="1254"/>
      <c r="K132" s="1254"/>
      <c r="L132" s="1254"/>
      <c r="M132" s="1254"/>
      <c r="N132" s="1254"/>
      <c r="O132" s="1254"/>
      <c r="P132" s="1254"/>
      <c r="Q132" s="1254"/>
      <c r="R132" s="1254"/>
      <c r="S132" s="1254"/>
      <c r="T132" s="1254"/>
      <c r="U132" s="1254"/>
    </row>
    <row r="133" spans="7:21" ht="15.6">
      <c r="G133" s="1255"/>
      <c r="H133" s="1254"/>
      <c r="I133" s="1254"/>
      <c r="J133" s="1254"/>
      <c r="K133" s="1254"/>
      <c r="L133" s="1254"/>
      <c r="M133" s="1254"/>
      <c r="N133" s="1254"/>
      <c r="O133" s="1254"/>
      <c r="P133" s="1254"/>
      <c r="Q133" s="1254"/>
      <c r="R133" s="1254"/>
      <c r="S133" s="1254"/>
      <c r="T133" s="1254"/>
      <c r="U133" s="1254"/>
    </row>
    <row r="134" spans="7:21" ht="15.6">
      <c r="G134" s="1255"/>
      <c r="H134" s="1254"/>
      <c r="I134" s="1254"/>
      <c r="J134" s="1254"/>
      <c r="K134" s="1254"/>
      <c r="L134" s="1254"/>
      <c r="M134" s="1254"/>
      <c r="N134" s="1254"/>
      <c r="O134" s="1254"/>
      <c r="P134" s="1254"/>
      <c r="Q134" s="1254"/>
      <c r="R134" s="1254"/>
      <c r="S134" s="1254"/>
      <c r="T134" s="1254"/>
      <c r="U134" s="1254"/>
    </row>
    <row r="135" spans="7:21" ht="15.6">
      <c r="G135" s="1255"/>
      <c r="H135" s="1254"/>
      <c r="I135" s="1254"/>
      <c r="J135" s="1254"/>
      <c r="K135" s="1254"/>
      <c r="L135" s="1254"/>
      <c r="M135" s="1254"/>
      <c r="N135" s="1254"/>
      <c r="O135" s="1254"/>
      <c r="P135" s="1254"/>
      <c r="Q135" s="1254"/>
      <c r="R135" s="1254"/>
      <c r="S135" s="1254"/>
      <c r="T135" s="1254"/>
      <c r="U135" s="1254"/>
    </row>
    <row r="136" spans="7:21" ht="15.6">
      <c r="G136" s="1255"/>
      <c r="H136" s="1254"/>
      <c r="I136" s="1254"/>
      <c r="J136" s="1254"/>
      <c r="K136" s="1254"/>
      <c r="L136" s="1254"/>
      <c r="M136" s="1254"/>
      <c r="N136" s="1254"/>
      <c r="O136" s="1254"/>
      <c r="P136" s="1254"/>
      <c r="Q136" s="1254"/>
      <c r="R136" s="1254"/>
      <c r="S136" s="1254"/>
      <c r="T136" s="1254"/>
      <c r="U136" s="1254"/>
    </row>
    <row r="137" spans="7:21" ht="15.6">
      <c r="G137" s="1255"/>
      <c r="H137" s="1254"/>
      <c r="I137" s="1254"/>
      <c r="J137" s="1254"/>
      <c r="K137" s="1254"/>
      <c r="L137" s="1254"/>
      <c r="M137" s="1254"/>
      <c r="N137" s="1254"/>
      <c r="O137" s="1254"/>
      <c r="P137" s="1254"/>
      <c r="Q137" s="1254"/>
      <c r="R137" s="1254"/>
      <c r="S137" s="1254"/>
      <c r="T137" s="1254"/>
      <c r="U137" s="1254"/>
    </row>
    <row r="138" spans="7:21" ht="15.6">
      <c r="G138" s="1255"/>
      <c r="H138" s="1254"/>
      <c r="I138" s="1254"/>
      <c r="J138" s="1254"/>
      <c r="K138" s="1254"/>
      <c r="L138" s="1254"/>
      <c r="M138" s="1254"/>
      <c r="N138" s="1254"/>
      <c r="O138" s="1254"/>
      <c r="P138" s="1254"/>
      <c r="Q138" s="1254"/>
      <c r="R138" s="1254"/>
      <c r="S138" s="1254"/>
      <c r="T138" s="1254"/>
      <c r="U138" s="1254"/>
    </row>
    <row r="139" spans="7:21" ht="15.6">
      <c r="G139" s="1255"/>
      <c r="H139" s="1254"/>
      <c r="I139" s="1254"/>
      <c r="J139" s="1254"/>
      <c r="K139" s="1254"/>
      <c r="L139" s="1254"/>
      <c r="M139" s="1254"/>
      <c r="N139" s="1254"/>
      <c r="O139" s="1254"/>
      <c r="P139" s="1254"/>
      <c r="Q139" s="1254"/>
      <c r="R139" s="1254"/>
      <c r="S139" s="1254"/>
      <c r="T139" s="1254"/>
      <c r="U139" s="1254"/>
    </row>
    <row r="140" spans="7:21" ht="15.6">
      <c r="G140" s="1255"/>
      <c r="H140" s="1254"/>
      <c r="I140" s="1254"/>
      <c r="J140" s="1254"/>
      <c r="K140" s="1254"/>
      <c r="L140" s="1254"/>
      <c r="M140" s="1254"/>
      <c r="N140" s="1254"/>
      <c r="O140" s="1254"/>
      <c r="P140" s="1254"/>
      <c r="Q140" s="1254"/>
      <c r="R140" s="1254"/>
      <c r="S140" s="1254"/>
      <c r="T140" s="1254"/>
      <c r="U140" s="1254"/>
    </row>
    <row r="141" spans="7:21" ht="15.6">
      <c r="G141" s="1255"/>
      <c r="H141" s="1254"/>
      <c r="I141" s="1254"/>
      <c r="J141" s="1254"/>
      <c r="K141" s="1254"/>
      <c r="L141" s="1254"/>
      <c r="M141" s="1254"/>
      <c r="N141" s="1254"/>
      <c r="O141" s="1254"/>
      <c r="P141" s="1254"/>
      <c r="Q141" s="1254"/>
      <c r="R141" s="1254"/>
      <c r="S141" s="1254"/>
      <c r="T141" s="1254"/>
      <c r="U141" s="1254"/>
    </row>
    <row r="142" spans="7:21" ht="15.6">
      <c r="G142" s="1255"/>
      <c r="H142" s="1254"/>
      <c r="I142" s="1254"/>
      <c r="J142" s="1254"/>
      <c r="K142" s="1254"/>
      <c r="L142" s="1254"/>
      <c r="M142" s="1254"/>
      <c r="N142" s="1254"/>
      <c r="O142" s="1254"/>
      <c r="P142" s="1254"/>
      <c r="Q142" s="1254"/>
      <c r="R142" s="1254"/>
      <c r="S142" s="1254"/>
      <c r="T142" s="1254"/>
      <c r="U142" s="1254"/>
    </row>
    <row r="143" spans="7:21" ht="15.6">
      <c r="G143" s="1255"/>
      <c r="H143" s="1254"/>
      <c r="I143" s="1254"/>
      <c r="J143" s="1254"/>
      <c r="K143" s="1254"/>
      <c r="L143" s="1254"/>
      <c r="M143" s="1254"/>
      <c r="N143" s="1254"/>
      <c r="O143" s="1254"/>
      <c r="P143" s="1254"/>
      <c r="Q143" s="1254"/>
      <c r="R143" s="1254"/>
      <c r="S143" s="1254"/>
      <c r="T143" s="1254"/>
      <c r="U143" s="1254"/>
    </row>
    <row r="144" spans="7:21" ht="15.6">
      <c r="G144" s="1255"/>
      <c r="H144" s="1254"/>
      <c r="I144" s="1254"/>
      <c r="J144" s="1254"/>
      <c r="K144" s="1254"/>
      <c r="L144" s="1254"/>
      <c r="M144" s="1254"/>
      <c r="N144" s="1254"/>
      <c r="O144" s="1254"/>
      <c r="P144" s="1254"/>
      <c r="Q144" s="1254"/>
      <c r="R144" s="1254"/>
      <c r="S144" s="1254"/>
      <c r="T144" s="1254"/>
      <c r="U144" s="1254"/>
    </row>
    <row r="145" spans="7:21" ht="15.6">
      <c r="G145" s="1255"/>
      <c r="H145" s="1254"/>
      <c r="I145" s="1254"/>
      <c r="J145" s="1254"/>
      <c r="K145" s="1254"/>
      <c r="L145" s="1254"/>
      <c r="M145" s="1254"/>
      <c r="N145" s="1254"/>
      <c r="O145" s="1254"/>
      <c r="P145" s="1254"/>
      <c r="Q145" s="1254"/>
      <c r="R145" s="1254"/>
      <c r="S145" s="1254"/>
      <c r="T145" s="1254"/>
      <c r="U145" s="1254"/>
    </row>
    <row r="146" spans="7:21" ht="15.6">
      <c r="G146" s="1255"/>
      <c r="H146" s="1254"/>
      <c r="I146" s="1254"/>
      <c r="J146" s="1254"/>
      <c r="K146" s="1254"/>
      <c r="L146" s="1254"/>
      <c r="M146" s="1254"/>
      <c r="N146" s="1254"/>
      <c r="O146" s="1254"/>
      <c r="P146" s="1254"/>
      <c r="Q146" s="1254"/>
      <c r="R146" s="1254"/>
      <c r="S146" s="1254"/>
      <c r="T146" s="1254"/>
      <c r="U146" s="1254"/>
    </row>
    <row r="147" spans="7:21" ht="15.6">
      <c r="G147" s="1255"/>
      <c r="H147" s="1254"/>
      <c r="I147" s="1254"/>
      <c r="J147" s="1254"/>
      <c r="K147" s="1254"/>
      <c r="L147" s="1254"/>
      <c r="M147" s="1254"/>
      <c r="N147" s="1254"/>
      <c r="O147" s="1254"/>
      <c r="P147" s="1254"/>
      <c r="Q147" s="1254"/>
      <c r="R147" s="1254"/>
      <c r="S147" s="1254"/>
      <c r="T147" s="1254"/>
      <c r="U147" s="1254"/>
    </row>
    <row r="148" spans="7:21" ht="15.6">
      <c r="G148" s="1255"/>
      <c r="H148" s="1254"/>
      <c r="I148" s="1254"/>
      <c r="J148" s="1254"/>
      <c r="K148" s="1254"/>
      <c r="L148" s="1254"/>
      <c r="M148" s="1254"/>
      <c r="N148" s="1254"/>
      <c r="O148" s="1254"/>
      <c r="P148" s="1254"/>
      <c r="Q148" s="1254"/>
      <c r="R148" s="1254"/>
      <c r="S148" s="1254"/>
      <c r="T148" s="1254"/>
      <c r="U148" s="1254"/>
    </row>
    <row r="149" spans="7:21" ht="15.6">
      <c r="G149" s="1255"/>
      <c r="H149" s="1254"/>
      <c r="I149" s="1254"/>
      <c r="J149" s="1254"/>
      <c r="K149" s="1254"/>
      <c r="L149" s="1254"/>
      <c r="M149" s="1254"/>
      <c r="N149" s="1254"/>
      <c r="O149" s="1254"/>
      <c r="P149" s="1254"/>
      <c r="Q149" s="1254"/>
      <c r="R149" s="1254"/>
      <c r="S149" s="1254"/>
      <c r="T149" s="1254"/>
      <c r="U149" s="1254"/>
    </row>
    <row r="150" spans="7:21" ht="15.6">
      <c r="G150" s="1255"/>
      <c r="H150" s="1254"/>
      <c r="I150" s="1254"/>
      <c r="J150" s="1254"/>
      <c r="K150" s="1254"/>
      <c r="L150" s="1254"/>
      <c r="M150" s="1254"/>
      <c r="N150" s="1254"/>
      <c r="O150" s="1254"/>
      <c r="P150" s="1254"/>
      <c r="Q150" s="1254"/>
      <c r="R150" s="1254"/>
      <c r="S150" s="1254"/>
      <c r="T150" s="1254"/>
      <c r="U150" s="1254"/>
    </row>
    <row r="151" spans="7:21" ht="15.6">
      <c r="G151" s="1255"/>
      <c r="H151" s="1254"/>
      <c r="I151" s="1254"/>
      <c r="J151" s="1254"/>
      <c r="K151" s="1254"/>
      <c r="L151" s="1254"/>
      <c r="M151" s="1254"/>
      <c r="N151" s="1254"/>
      <c r="O151" s="1254"/>
      <c r="P151" s="1254"/>
      <c r="Q151" s="1254"/>
      <c r="R151" s="1254"/>
      <c r="S151" s="1254"/>
      <c r="T151" s="1254"/>
      <c r="U151" s="1254"/>
    </row>
    <row r="152" spans="7:21" ht="15.6">
      <c r="G152" s="1255"/>
      <c r="H152" s="1254"/>
      <c r="I152" s="1254"/>
      <c r="J152" s="1254"/>
      <c r="K152" s="1254"/>
      <c r="L152" s="1254"/>
      <c r="M152" s="1254"/>
      <c r="N152" s="1254"/>
      <c r="O152" s="1254"/>
      <c r="P152" s="1254"/>
      <c r="Q152" s="1254"/>
      <c r="R152" s="1254"/>
      <c r="S152" s="1254"/>
      <c r="T152" s="1254"/>
      <c r="U152" s="1254"/>
    </row>
    <row r="153" spans="7:21" ht="15.6">
      <c r="G153" s="1255"/>
      <c r="H153" s="1254"/>
      <c r="I153" s="1254"/>
      <c r="J153" s="1254"/>
      <c r="K153" s="1254"/>
      <c r="L153" s="1254"/>
      <c r="M153" s="1254"/>
      <c r="N153" s="1254"/>
      <c r="O153" s="1254"/>
      <c r="P153" s="1254"/>
      <c r="Q153" s="1254"/>
      <c r="R153" s="1254"/>
      <c r="S153" s="1254"/>
      <c r="T153" s="1254"/>
      <c r="U153" s="1254"/>
    </row>
    <row r="154" spans="7:21" ht="15.6">
      <c r="G154" s="1255"/>
      <c r="H154" s="1254"/>
      <c r="I154" s="1254"/>
      <c r="J154" s="1254"/>
      <c r="K154" s="1254"/>
      <c r="L154" s="1254"/>
      <c r="M154" s="1254"/>
      <c r="N154" s="1254"/>
      <c r="O154" s="1254"/>
      <c r="P154" s="1254"/>
      <c r="Q154" s="1254"/>
      <c r="R154" s="1254"/>
      <c r="S154" s="1254"/>
      <c r="T154" s="1254"/>
      <c r="U154" s="1254"/>
    </row>
    <row r="155" spans="7:21" ht="15.6">
      <c r="G155" s="1255"/>
      <c r="H155" s="1254"/>
      <c r="I155" s="1254"/>
      <c r="J155" s="1254"/>
      <c r="K155" s="1254"/>
      <c r="L155" s="1254"/>
      <c r="M155" s="1254"/>
      <c r="N155" s="1254"/>
      <c r="O155" s="1254"/>
      <c r="P155" s="1254"/>
      <c r="Q155" s="1254"/>
      <c r="R155" s="1254"/>
      <c r="S155" s="1254"/>
      <c r="T155" s="1254"/>
      <c r="U155" s="1254"/>
    </row>
    <row r="156" spans="7:21" ht="15.6">
      <c r="G156" s="1255"/>
      <c r="H156" s="1254"/>
      <c r="I156" s="1254"/>
      <c r="J156" s="1254"/>
      <c r="K156" s="1254"/>
      <c r="L156" s="1254"/>
      <c r="M156" s="1254"/>
      <c r="N156" s="1254"/>
      <c r="O156" s="1254"/>
      <c r="P156" s="1254"/>
      <c r="Q156" s="1254"/>
      <c r="R156" s="1254"/>
      <c r="S156" s="1254"/>
      <c r="T156" s="1254"/>
      <c r="U156" s="1254"/>
    </row>
    <row r="157" spans="7:21" ht="15.6">
      <c r="G157" s="1255"/>
      <c r="H157" s="1254"/>
      <c r="I157" s="1254"/>
      <c r="J157" s="1254"/>
      <c r="K157" s="1254"/>
      <c r="L157" s="1254"/>
      <c r="M157" s="1254"/>
      <c r="N157" s="1254"/>
      <c r="O157" s="1254"/>
      <c r="P157" s="1254"/>
      <c r="Q157" s="1254"/>
      <c r="R157" s="1254"/>
      <c r="S157" s="1254"/>
      <c r="T157" s="1254"/>
      <c r="U157" s="1254"/>
    </row>
    <row r="158" spans="7:21" ht="15.6">
      <c r="G158" s="1255"/>
      <c r="H158" s="1254"/>
      <c r="I158" s="1254"/>
      <c r="J158" s="1254"/>
      <c r="K158" s="1254"/>
      <c r="L158" s="1254"/>
      <c r="M158" s="1254"/>
      <c r="N158" s="1254"/>
      <c r="O158" s="1254"/>
      <c r="P158" s="1254"/>
      <c r="Q158" s="1254"/>
      <c r="R158" s="1254"/>
      <c r="S158" s="1254"/>
      <c r="T158" s="1254"/>
      <c r="U158" s="1254"/>
    </row>
    <row r="159" spans="7:21" ht="15.6">
      <c r="G159" s="1255"/>
      <c r="H159" s="1254"/>
      <c r="I159" s="1254"/>
      <c r="J159" s="1254"/>
      <c r="K159" s="1254"/>
      <c r="L159" s="1254"/>
      <c r="M159" s="1254"/>
      <c r="N159" s="1254"/>
      <c r="O159" s="1254"/>
      <c r="P159" s="1254"/>
      <c r="Q159" s="1254"/>
      <c r="R159" s="1254"/>
      <c r="S159" s="1254"/>
      <c r="T159" s="1254"/>
      <c r="U159" s="1254"/>
    </row>
    <row r="160" spans="7:21" ht="15.6">
      <c r="G160" s="1255"/>
      <c r="H160" s="1254"/>
      <c r="I160" s="1254"/>
      <c r="J160" s="1254"/>
      <c r="K160" s="1254"/>
      <c r="L160" s="1254"/>
      <c r="M160" s="1254"/>
      <c r="N160" s="1254"/>
      <c r="O160" s="1254"/>
      <c r="P160" s="1254"/>
      <c r="Q160" s="1254"/>
      <c r="R160" s="1254"/>
      <c r="S160" s="1254"/>
      <c r="T160" s="1254"/>
      <c r="U160" s="1254"/>
    </row>
    <row r="161" spans="7:21" ht="15.6">
      <c r="G161" s="1255"/>
      <c r="H161" s="1254"/>
      <c r="I161" s="1254"/>
      <c r="J161" s="1254"/>
      <c r="K161" s="1254"/>
      <c r="L161" s="1254"/>
      <c r="M161" s="1254"/>
      <c r="N161" s="1254"/>
      <c r="O161" s="1254"/>
      <c r="P161" s="1254"/>
      <c r="Q161" s="1254"/>
      <c r="R161" s="1254"/>
      <c r="S161" s="1254"/>
      <c r="T161" s="1254"/>
      <c r="U161" s="1254"/>
    </row>
    <row r="162" spans="7:21" ht="15.6">
      <c r="G162" s="1255"/>
      <c r="H162" s="1254"/>
      <c r="I162" s="1254"/>
      <c r="J162" s="1254"/>
      <c r="K162" s="1254"/>
      <c r="L162" s="1254"/>
      <c r="M162" s="1254"/>
      <c r="N162" s="1254"/>
      <c r="O162" s="1254"/>
      <c r="P162" s="1254"/>
      <c r="Q162" s="1254"/>
      <c r="R162" s="1254"/>
      <c r="S162" s="1254"/>
      <c r="T162" s="1254"/>
      <c r="U162" s="1254"/>
    </row>
    <row r="163" spans="7:21" ht="15.6">
      <c r="G163" s="1255"/>
      <c r="H163" s="1254"/>
      <c r="I163" s="1254"/>
      <c r="J163" s="1254"/>
      <c r="K163" s="1254"/>
      <c r="L163" s="1254"/>
      <c r="M163" s="1254"/>
      <c r="N163" s="1254"/>
      <c r="O163" s="1254"/>
      <c r="P163" s="1254"/>
      <c r="Q163" s="1254"/>
      <c r="R163" s="1254"/>
      <c r="S163" s="1254"/>
      <c r="T163" s="1254"/>
      <c r="U163" s="1254"/>
    </row>
    <row r="164" spans="7:21" ht="15.6">
      <c r="G164" s="1255"/>
      <c r="H164" s="1254"/>
      <c r="I164" s="1254"/>
      <c r="J164" s="1254"/>
      <c r="K164" s="1254"/>
      <c r="L164" s="1254"/>
      <c r="M164" s="1254"/>
      <c r="N164" s="1254"/>
      <c r="O164" s="1254"/>
      <c r="P164" s="1254"/>
      <c r="Q164" s="1254"/>
      <c r="R164" s="1254"/>
      <c r="S164" s="1254"/>
      <c r="T164" s="1254"/>
      <c r="U164" s="1254"/>
    </row>
    <row r="165" spans="7:21" ht="15.6">
      <c r="G165" s="1255"/>
      <c r="H165" s="1254"/>
      <c r="I165" s="1254"/>
      <c r="J165" s="1254"/>
      <c r="K165" s="1254"/>
      <c r="L165" s="1254"/>
      <c r="M165" s="1254"/>
      <c r="N165" s="1254"/>
      <c r="O165" s="1254"/>
      <c r="P165" s="1254"/>
      <c r="Q165" s="1254"/>
      <c r="R165" s="1254"/>
      <c r="S165" s="1254"/>
      <c r="T165" s="1254"/>
      <c r="U165" s="1254"/>
    </row>
    <row r="166" spans="7:21" ht="15.6">
      <c r="G166" s="1255"/>
      <c r="H166" s="1254"/>
      <c r="I166" s="1254"/>
      <c r="J166" s="1254"/>
      <c r="K166" s="1254"/>
      <c r="L166" s="1254"/>
      <c r="M166" s="1254"/>
      <c r="N166" s="1254"/>
      <c r="O166" s="1254"/>
      <c r="P166" s="1254"/>
      <c r="Q166" s="1254"/>
      <c r="R166" s="1254"/>
      <c r="S166" s="1254"/>
      <c r="T166" s="1254"/>
      <c r="U166" s="1254"/>
    </row>
    <row r="167" spans="7:21" ht="15.6">
      <c r="G167" s="1255"/>
      <c r="H167" s="1254"/>
      <c r="I167" s="1254"/>
      <c r="J167" s="1254"/>
      <c r="K167" s="1254"/>
      <c r="L167" s="1254"/>
      <c r="M167" s="1254"/>
      <c r="N167" s="1254"/>
      <c r="O167" s="1254"/>
      <c r="P167" s="1254"/>
      <c r="Q167" s="1254"/>
      <c r="R167" s="1254"/>
      <c r="S167" s="1254"/>
      <c r="T167" s="1254"/>
      <c r="U167" s="1254"/>
    </row>
    <row r="168" spans="7:21" ht="15.6">
      <c r="G168" s="1255"/>
      <c r="H168" s="1254"/>
      <c r="I168" s="1254"/>
      <c r="J168" s="1254"/>
      <c r="K168" s="1254"/>
      <c r="L168" s="1254"/>
      <c r="M168" s="1254"/>
      <c r="N168" s="1254"/>
      <c r="O168" s="1254"/>
      <c r="P168" s="1254"/>
      <c r="Q168" s="1254"/>
      <c r="R168" s="1254"/>
      <c r="S168" s="1254"/>
      <c r="T168" s="1254"/>
      <c r="U168" s="1254"/>
    </row>
    <row r="169" spans="7:21" ht="15.6">
      <c r="G169" s="1255"/>
      <c r="H169" s="1254"/>
      <c r="I169" s="1254"/>
      <c r="J169" s="1254"/>
      <c r="K169" s="1254"/>
      <c r="L169" s="1254"/>
      <c r="M169" s="1254"/>
      <c r="N169" s="1254"/>
      <c r="O169" s="1254"/>
      <c r="P169" s="1254"/>
      <c r="Q169" s="1254"/>
      <c r="R169" s="1254"/>
      <c r="S169" s="1254"/>
      <c r="T169" s="1254"/>
      <c r="U169" s="1254"/>
    </row>
    <row r="170" spans="7:21" ht="15.6">
      <c r="G170" s="1255"/>
      <c r="H170" s="1254"/>
      <c r="I170" s="1254"/>
      <c r="J170" s="1254"/>
      <c r="K170" s="1254"/>
      <c r="L170" s="1254"/>
      <c r="M170" s="1254"/>
      <c r="N170" s="1254"/>
      <c r="O170" s="1254"/>
      <c r="P170" s="1254"/>
      <c r="Q170" s="1254"/>
      <c r="R170" s="1254"/>
      <c r="S170" s="1254"/>
      <c r="T170" s="1254"/>
      <c r="U170" s="1254"/>
    </row>
    <row r="171" spans="7:21" ht="15.6">
      <c r="G171" s="1255"/>
      <c r="H171" s="1254"/>
      <c r="I171" s="1254"/>
      <c r="J171" s="1254"/>
      <c r="K171" s="1254"/>
      <c r="L171" s="1254"/>
      <c r="M171" s="1254"/>
      <c r="N171" s="1254"/>
      <c r="O171" s="1254"/>
      <c r="P171" s="1254"/>
      <c r="Q171" s="1254"/>
      <c r="R171" s="1254"/>
      <c r="S171" s="1254"/>
      <c r="T171" s="1254"/>
      <c r="U171" s="1254"/>
    </row>
    <row r="172" spans="7:21" ht="15.6">
      <c r="G172" s="1255"/>
      <c r="H172" s="1254"/>
      <c r="I172" s="1254"/>
      <c r="J172" s="1254"/>
      <c r="K172" s="1254"/>
      <c r="L172" s="1254"/>
      <c r="M172" s="1254"/>
      <c r="N172" s="1254"/>
      <c r="O172" s="1254"/>
      <c r="P172" s="1254"/>
      <c r="Q172" s="1254"/>
      <c r="R172" s="1254"/>
      <c r="S172" s="1254"/>
      <c r="T172" s="1254"/>
      <c r="U172" s="1254"/>
    </row>
    <row r="173" spans="7:21" ht="15.6">
      <c r="G173" s="1255"/>
      <c r="H173" s="1254"/>
      <c r="I173" s="1254"/>
      <c r="J173" s="1254"/>
      <c r="K173" s="1254"/>
      <c r="L173" s="1254"/>
      <c r="M173" s="1254"/>
      <c r="N173" s="1254"/>
      <c r="O173" s="1254"/>
      <c r="P173" s="1254"/>
      <c r="Q173" s="1254"/>
      <c r="R173" s="1254"/>
      <c r="S173" s="1254"/>
      <c r="T173" s="1254"/>
      <c r="U173" s="1254"/>
    </row>
    <row r="174" spans="7:21" ht="15.6">
      <c r="G174" s="1255"/>
      <c r="H174" s="1254"/>
      <c r="I174" s="1254"/>
      <c r="J174" s="1254"/>
      <c r="K174" s="1254"/>
      <c r="L174" s="1254"/>
      <c r="M174" s="1254"/>
      <c r="N174" s="1254"/>
      <c r="O174" s="1254"/>
      <c r="P174" s="1254"/>
      <c r="Q174" s="1254"/>
      <c r="R174" s="1254"/>
      <c r="S174" s="1254"/>
      <c r="T174" s="1254"/>
      <c r="U174" s="1254"/>
    </row>
    <row r="175" spans="7:21" ht="15.6">
      <c r="G175" s="1255"/>
      <c r="H175" s="1254"/>
      <c r="I175" s="1254"/>
      <c r="J175" s="1254"/>
      <c r="K175" s="1254"/>
      <c r="L175" s="1254"/>
      <c r="M175" s="1254"/>
      <c r="N175" s="1254"/>
      <c r="O175" s="1254"/>
      <c r="P175" s="1254"/>
      <c r="Q175" s="1254"/>
      <c r="R175" s="1254"/>
      <c r="S175" s="1254"/>
      <c r="T175" s="1254"/>
      <c r="U175" s="1254"/>
    </row>
    <row r="176" spans="7:21" ht="15.6">
      <c r="G176" s="1255"/>
      <c r="H176" s="1254"/>
      <c r="I176" s="1254"/>
      <c r="J176" s="1254"/>
      <c r="K176" s="1254"/>
      <c r="L176" s="1254"/>
      <c r="M176" s="1254"/>
      <c r="N176" s="1254"/>
      <c r="O176" s="1254"/>
      <c r="P176" s="1254"/>
      <c r="Q176" s="1254"/>
      <c r="R176" s="1254"/>
      <c r="S176" s="1254"/>
      <c r="T176" s="1254"/>
      <c r="U176" s="1254"/>
    </row>
    <row r="177" spans="7:21" ht="15.6">
      <c r="G177" s="1255"/>
      <c r="H177" s="1254"/>
      <c r="I177" s="1254"/>
      <c r="J177" s="1254"/>
      <c r="K177" s="1254"/>
      <c r="L177" s="1254"/>
      <c r="M177" s="1254"/>
      <c r="N177" s="1254"/>
      <c r="O177" s="1254"/>
      <c r="P177" s="1254"/>
      <c r="Q177" s="1254"/>
      <c r="R177" s="1254"/>
      <c r="S177" s="1254"/>
      <c r="T177" s="1254"/>
      <c r="U177" s="1254"/>
    </row>
    <row r="178" spans="7:21" ht="15.6">
      <c r="G178" s="1255"/>
      <c r="H178" s="1254"/>
      <c r="I178" s="1254"/>
      <c r="J178" s="1254"/>
      <c r="K178" s="1254"/>
      <c r="L178" s="1254"/>
      <c r="M178" s="1254"/>
      <c r="N178" s="1254"/>
      <c r="O178" s="1254"/>
      <c r="P178" s="1254"/>
      <c r="Q178" s="1254"/>
      <c r="R178" s="1254"/>
      <c r="S178" s="1254"/>
      <c r="T178" s="1254"/>
      <c r="U178" s="1254"/>
    </row>
    <row r="179" spans="7:21" ht="15.6">
      <c r="G179" s="1255"/>
      <c r="H179" s="1254"/>
      <c r="I179" s="1254"/>
      <c r="J179" s="1254"/>
      <c r="K179" s="1254"/>
      <c r="L179" s="1254"/>
      <c r="M179" s="1254"/>
      <c r="N179" s="1254"/>
      <c r="O179" s="1254"/>
      <c r="P179" s="1254"/>
      <c r="Q179" s="1254"/>
      <c r="R179" s="1254"/>
      <c r="S179" s="1254"/>
      <c r="T179" s="1254"/>
      <c r="U179" s="1254"/>
    </row>
    <row r="180" spans="7:21" ht="15.6">
      <c r="G180" s="1255"/>
      <c r="H180" s="1254"/>
      <c r="I180" s="1254"/>
      <c r="J180" s="1254"/>
      <c r="K180" s="1254"/>
      <c r="L180" s="1254"/>
      <c r="M180" s="1254"/>
      <c r="N180" s="1254"/>
      <c r="O180" s="1254"/>
      <c r="P180" s="1254"/>
      <c r="Q180" s="1254"/>
      <c r="R180" s="1254"/>
      <c r="S180" s="1254"/>
      <c r="T180" s="1254"/>
      <c r="U180" s="1254"/>
    </row>
    <row r="181" spans="7:21" ht="15.6">
      <c r="G181" s="1255"/>
      <c r="H181" s="1254"/>
      <c r="I181" s="1254"/>
      <c r="J181" s="1254"/>
      <c r="K181" s="1254"/>
      <c r="L181" s="1254"/>
      <c r="M181" s="1254"/>
      <c r="N181" s="1254"/>
      <c r="O181" s="1254"/>
      <c r="P181" s="1254"/>
      <c r="Q181" s="1254"/>
      <c r="R181" s="1254"/>
      <c r="S181" s="1254"/>
      <c r="T181" s="1254"/>
      <c r="U181" s="1254"/>
    </row>
    <row r="182" spans="7:21" ht="15.6">
      <c r="G182" s="1255"/>
      <c r="H182" s="1254"/>
      <c r="I182" s="1254"/>
      <c r="J182" s="1254"/>
      <c r="K182" s="1254"/>
      <c r="L182" s="1254"/>
      <c r="M182" s="1254"/>
      <c r="N182" s="1254"/>
      <c r="O182" s="1254"/>
      <c r="P182" s="1254"/>
      <c r="Q182" s="1254"/>
      <c r="R182" s="1254"/>
      <c r="S182" s="1254"/>
      <c r="T182" s="1254"/>
      <c r="U182" s="1254"/>
    </row>
    <row r="183" spans="7:21" ht="15.6">
      <c r="G183" s="1255"/>
      <c r="H183" s="1254"/>
      <c r="I183" s="1254"/>
      <c r="J183" s="1254"/>
      <c r="K183" s="1254"/>
      <c r="L183" s="1254"/>
      <c r="M183" s="1254"/>
      <c r="N183" s="1254"/>
      <c r="O183" s="1254"/>
      <c r="P183" s="1254"/>
      <c r="Q183" s="1254"/>
      <c r="R183" s="1254"/>
      <c r="S183" s="1254"/>
      <c r="T183" s="1254"/>
      <c r="U183" s="1254"/>
    </row>
    <row r="184" spans="7:21" ht="15.6">
      <c r="G184" s="1255"/>
      <c r="H184" s="1254"/>
      <c r="I184" s="1254"/>
      <c r="J184" s="1254"/>
      <c r="K184" s="1254"/>
      <c r="L184" s="1254"/>
      <c r="M184" s="1254"/>
      <c r="N184" s="1254"/>
      <c r="O184" s="1254"/>
      <c r="P184" s="1254"/>
      <c r="Q184" s="1254"/>
      <c r="R184" s="1254"/>
      <c r="S184" s="1254"/>
      <c r="T184" s="1254"/>
      <c r="U184" s="1254"/>
    </row>
    <row r="185" spans="7:21" ht="15.6">
      <c r="G185" s="1255"/>
      <c r="H185" s="1254"/>
      <c r="I185" s="1254"/>
      <c r="J185" s="1254"/>
      <c r="K185" s="1254"/>
      <c r="L185" s="1254"/>
      <c r="M185" s="1254"/>
      <c r="N185" s="1254"/>
      <c r="O185" s="1254"/>
      <c r="P185" s="1254"/>
      <c r="Q185" s="1254"/>
      <c r="R185" s="1254"/>
      <c r="S185" s="1254"/>
      <c r="T185" s="1254"/>
      <c r="U185" s="1254"/>
    </row>
    <row r="186" spans="7:21" ht="15.6">
      <c r="G186" s="1255"/>
      <c r="H186" s="1254"/>
      <c r="I186" s="1254"/>
      <c r="J186" s="1254"/>
      <c r="K186" s="1254"/>
      <c r="L186" s="1254"/>
      <c r="M186" s="1254"/>
      <c r="N186" s="1254"/>
      <c r="O186" s="1254"/>
      <c r="P186" s="1254"/>
      <c r="Q186" s="1254"/>
      <c r="R186" s="1254"/>
      <c r="S186" s="1254"/>
      <c r="T186" s="1254"/>
      <c r="U186" s="1254"/>
    </row>
    <row r="187" spans="7:21" ht="15.6">
      <c r="G187" s="1255"/>
      <c r="H187" s="1254"/>
      <c r="I187" s="1254"/>
      <c r="J187" s="1254"/>
      <c r="K187" s="1254"/>
      <c r="L187" s="1254"/>
      <c r="M187" s="1254"/>
      <c r="N187" s="1254"/>
      <c r="O187" s="1254"/>
      <c r="P187" s="1254"/>
      <c r="Q187" s="1254"/>
      <c r="R187" s="1254"/>
      <c r="S187" s="1254"/>
      <c r="T187" s="1254"/>
      <c r="U187" s="1254"/>
    </row>
    <row r="188" spans="7:21" ht="15.6">
      <c r="G188" s="1255"/>
      <c r="H188" s="1254"/>
      <c r="I188" s="1254"/>
      <c r="J188" s="1254"/>
      <c r="K188" s="1254"/>
      <c r="L188" s="1254"/>
      <c r="M188" s="1254"/>
      <c r="N188" s="1254"/>
      <c r="O188" s="1254"/>
      <c r="P188" s="1254"/>
      <c r="Q188" s="1254"/>
      <c r="R188" s="1254"/>
      <c r="S188" s="1254"/>
      <c r="T188" s="1254"/>
      <c r="U188" s="1254"/>
    </row>
    <row r="189" spans="7:21" ht="15.6">
      <c r="G189" s="1255"/>
      <c r="H189" s="1254"/>
      <c r="I189" s="1254"/>
      <c r="J189" s="1254"/>
      <c r="K189" s="1254"/>
      <c r="L189" s="1254"/>
      <c r="M189" s="1254"/>
      <c r="N189" s="1254"/>
      <c r="O189" s="1254"/>
      <c r="P189" s="1254"/>
      <c r="Q189" s="1254"/>
      <c r="R189" s="1254"/>
      <c r="S189" s="1254"/>
      <c r="T189" s="1254"/>
      <c r="U189" s="1254"/>
    </row>
    <row r="190" spans="7:21" ht="15.6">
      <c r="G190" s="1255"/>
      <c r="H190" s="1254"/>
      <c r="I190" s="1254"/>
      <c r="J190" s="1254"/>
      <c r="K190" s="1254"/>
      <c r="L190" s="1254"/>
      <c r="M190" s="1254"/>
      <c r="N190" s="1254"/>
      <c r="O190" s="1254"/>
      <c r="P190" s="1254"/>
      <c r="Q190" s="1254"/>
      <c r="R190" s="1254"/>
      <c r="S190" s="1254"/>
      <c r="T190" s="1254"/>
      <c r="U190" s="1254"/>
    </row>
    <row r="191" spans="7:21" ht="15.6">
      <c r="G191" s="1255"/>
      <c r="H191" s="1254"/>
      <c r="I191" s="1254"/>
      <c r="J191" s="1254"/>
      <c r="K191" s="1254"/>
      <c r="L191" s="1254"/>
      <c r="M191" s="1254"/>
      <c r="N191" s="1254"/>
      <c r="O191" s="1254"/>
      <c r="P191" s="1254"/>
      <c r="Q191" s="1254"/>
      <c r="R191" s="1254"/>
      <c r="S191" s="1254"/>
      <c r="T191" s="1254"/>
      <c r="U191" s="1254"/>
    </row>
    <row r="192" spans="7:21" ht="15.6">
      <c r="G192" s="1255"/>
      <c r="H192" s="1254"/>
      <c r="I192" s="1254"/>
      <c r="J192" s="1254"/>
      <c r="K192" s="1254"/>
      <c r="L192" s="1254"/>
      <c r="M192" s="1254"/>
      <c r="N192" s="1254"/>
      <c r="O192" s="1254"/>
      <c r="P192" s="1254"/>
      <c r="Q192" s="1254"/>
      <c r="R192" s="1254"/>
      <c r="S192" s="1254"/>
      <c r="T192" s="1254"/>
      <c r="U192" s="1254"/>
    </row>
    <row r="193" spans="7:21" ht="15.6">
      <c r="G193" s="1255"/>
      <c r="H193" s="1254"/>
      <c r="I193" s="1254"/>
      <c r="J193" s="1254"/>
      <c r="K193" s="1254"/>
      <c r="L193" s="1254"/>
      <c r="M193" s="1254"/>
      <c r="N193" s="1254"/>
      <c r="O193" s="1254"/>
      <c r="P193" s="1254"/>
      <c r="Q193" s="1254"/>
      <c r="R193" s="1254"/>
      <c r="S193" s="1254"/>
      <c r="T193" s="1254"/>
      <c r="U193" s="1254"/>
    </row>
    <row r="194" spans="7:21" ht="15.6">
      <c r="G194" s="1255"/>
      <c r="H194" s="1254"/>
      <c r="I194" s="1254"/>
      <c r="J194" s="1254"/>
      <c r="K194" s="1254"/>
      <c r="L194" s="1254"/>
      <c r="M194" s="1254"/>
      <c r="N194" s="1254"/>
      <c r="O194" s="1254"/>
      <c r="P194" s="1254"/>
      <c r="Q194" s="1254"/>
      <c r="R194" s="1254"/>
      <c r="S194" s="1254"/>
      <c r="T194" s="1254"/>
      <c r="U194" s="1254"/>
    </row>
    <row r="195" spans="7:21" ht="15.6">
      <c r="G195" s="1255"/>
      <c r="H195" s="1254"/>
      <c r="I195" s="1254"/>
      <c r="J195" s="1254"/>
      <c r="K195" s="1254"/>
      <c r="L195" s="1254"/>
      <c r="M195" s="1254"/>
      <c r="N195" s="1254"/>
      <c r="O195" s="1254"/>
      <c r="P195" s="1254"/>
      <c r="Q195" s="1254"/>
      <c r="R195" s="1254"/>
      <c r="S195" s="1254"/>
      <c r="T195" s="1254"/>
      <c r="U195" s="1254"/>
    </row>
    <row r="196" spans="7:21" ht="15.6">
      <c r="G196" s="1255"/>
      <c r="H196" s="1254"/>
      <c r="I196" s="1254"/>
      <c r="J196" s="1254"/>
      <c r="K196" s="1254"/>
      <c r="L196" s="1254"/>
      <c r="M196" s="1254"/>
      <c r="N196" s="1254"/>
      <c r="O196" s="1254"/>
      <c r="P196" s="1254"/>
      <c r="Q196" s="1254"/>
      <c r="R196" s="1254"/>
      <c r="S196" s="1254"/>
      <c r="T196" s="1254"/>
      <c r="U196" s="1254"/>
    </row>
    <row r="197" spans="7:21" ht="15.6">
      <c r="G197" s="1255"/>
      <c r="H197" s="1254"/>
      <c r="I197" s="1254"/>
      <c r="J197" s="1254"/>
      <c r="K197" s="1254"/>
      <c r="L197" s="1254"/>
      <c r="M197" s="1254"/>
      <c r="N197" s="1254"/>
      <c r="O197" s="1254"/>
      <c r="P197" s="1254"/>
      <c r="Q197" s="1254"/>
      <c r="R197" s="1254"/>
      <c r="S197" s="1254"/>
      <c r="T197" s="1254"/>
      <c r="U197" s="1254"/>
    </row>
    <row r="198" spans="7:21" ht="15.6">
      <c r="G198" s="1255"/>
      <c r="H198" s="1254"/>
      <c r="I198" s="1254"/>
      <c r="J198" s="1254"/>
      <c r="K198" s="1254"/>
      <c r="L198" s="1254"/>
      <c r="M198" s="1254"/>
      <c r="N198" s="1254"/>
      <c r="O198" s="1254"/>
      <c r="P198" s="1254"/>
      <c r="Q198" s="1254"/>
      <c r="R198" s="1254"/>
      <c r="S198" s="1254"/>
      <c r="T198" s="1254"/>
      <c r="U198" s="1254"/>
    </row>
    <row r="199" spans="7:21" ht="15.6">
      <c r="G199" s="1255"/>
      <c r="H199" s="1254"/>
      <c r="I199" s="1254"/>
      <c r="J199" s="1254"/>
      <c r="K199" s="1254"/>
      <c r="L199" s="1254"/>
      <c r="M199" s="1254"/>
      <c r="N199" s="1254"/>
      <c r="O199" s="1254"/>
      <c r="P199" s="1254"/>
      <c r="Q199" s="1254"/>
      <c r="R199" s="1254"/>
      <c r="S199" s="1254"/>
      <c r="T199" s="1254"/>
      <c r="U199" s="1254"/>
    </row>
    <row r="200" spans="7:21" ht="15.6">
      <c r="G200" s="1255"/>
      <c r="H200" s="1254"/>
      <c r="I200" s="1254"/>
      <c r="J200" s="1254"/>
      <c r="K200" s="1254"/>
      <c r="L200" s="1254"/>
      <c r="M200" s="1254"/>
      <c r="N200" s="1254"/>
      <c r="O200" s="1254"/>
      <c r="P200" s="1254"/>
      <c r="Q200" s="1254"/>
      <c r="R200" s="1254"/>
      <c r="S200" s="1254"/>
      <c r="T200" s="1254"/>
      <c r="U200" s="1254"/>
    </row>
    <row r="201" spans="7:21" ht="15.6">
      <c r="G201" s="1255"/>
      <c r="H201" s="1254"/>
      <c r="I201" s="1254"/>
      <c r="J201" s="1254"/>
      <c r="K201" s="1254"/>
      <c r="L201" s="1254"/>
      <c r="M201" s="1254"/>
      <c r="N201" s="1254"/>
      <c r="O201" s="1254"/>
      <c r="P201" s="1254"/>
      <c r="Q201" s="1254"/>
      <c r="R201" s="1254"/>
      <c r="S201" s="1254"/>
      <c r="T201" s="1254"/>
      <c r="U201" s="1254"/>
    </row>
    <row r="202" spans="7:21" ht="15.6">
      <c r="G202" s="1255"/>
      <c r="H202" s="1254"/>
      <c r="I202" s="1254"/>
      <c r="J202" s="1254"/>
      <c r="K202" s="1254"/>
      <c r="L202" s="1254"/>
      <c r="M202" s="1254"/>
      <c r="N202" s="1254"/>
      <c r="O202" s="1254"/>
      <c r="P202" s="1254"/>
      <c r="Q202" s="1254"/>
      <c r="R202" s="1254"/>
      <c r="S202" s="1254"/>
      <c r="T202" s="1254"/>
      <c r="U202" s="1254"/>
    </row>
    <row r="203" spans="7:21" ht="15.6">
      <c r="G203" s="1255"/>
      <c r="H203" s="1254"/>
      <c r="I203" s="1254"/>
      <c r="J203" s="1254"/>
      <c r="K203" s="1254"/>
      <c r="L203" s="1254"/>
      <c r="M203" s="1254"/>
      <c r="N203" s="1254"/>
      <c r="O203" s="1254"/>
      <c r="P203" s="1254"/>
      <c r="Q203" s="1254"/>
      <c r="R203" s="1254"/>
      <c r="S203" s="1254"/>
      <c r="T203" s="1254"/>
      <c r="U203" s="1254"/>
    </row>
    <row r="204" spans="7:21" ht="15.6">
      <c r="G204" s="1255"/>
      <c r="H204" s="1254"/>
      <c r="I204" s="1254"/>
      <c r="J204" s="1254"/>
      <c r="K204" s="1254"/>
      <c r="L204" s="1254"/>
      <c r="M204" s="1254"/>
      <c r="N204" s="1254"/>
      <c r="O204" s="1254"/>
      <c r="P204" s="1254"/>
      <c r="Q204" s="1254"/>
      <c r="R204" s="1254"/>
      <c r="S204" s="1254"/>
      <c r="T204" s="1254"/>
      <c r="U204" s="1254"/>
    </row>
    <row r="205" spans="7:21" ht="15.6">
      <c r="G205" s="1255"/>
      <c r="H205" s="1254"/>
      <c r="I205" s="1254"/>
      <c r="J205" s="1254"/>
      <c r="K205" s="1254"/>
      <c r="L205" s="1254"/>
      <c r="M205" s="1254"/>
      <c r="N205" s="1254"/>
      <c r="O205" s="1254"/>
      <c r="P205" s="1254"/>
      <c r="Q205" s="1254"/>
      <c r="R205" s="1254"/>
      <c r="S205" s="1254"/>
      <c r="T205" s="1254"/>
      <c r="U205" s="1254"/>
    </row>
    <row r="206" spans="7:21" ht="15.6">
      <c r="G206" s="1255"/>
      <c r="H206" s="1254"/>
      <c r="I206" s="1254"/>
      <c r="J206" s="1254"/>
      <c r="K206" s="1254"/>
      <c r="L206" s="1254"/>
      <c r="M206" s="1254"/>
      <c r="N206" s="1254"/>
      <c r="O206" s="1254"/>
      <c r="P206" s="1254"/>
      <c r="Q206" s="1254"/>
      <c r="R206" s="1254"/>
      <c r="S206" s="1254"/>
      <c r="T206" s="1254"/>
      <c r="U206" s="1254"/>
    </row>
    <row r="207" spans="7:21" ht="15.6">
      <c r="G207" s="1255"/>
      <c r="H207" s="1254"/>
      <c r="I207" s="1254"/>
      <c r="J207" s="1254"/>
      <c r="K207" s="1254"/>
      <c r="L207" s="1254"/>
      <c r="M207" s="1254"/>
      <c r="N207" s="1254"/>
      <c r="O207" s="1254"/>
      <c r="P207" s="1254"/>
      <c r="Q207" s="1254"/>
      <c r="R207" s="1254"/>
      <c r="S207" s="1254"/>
      <c r="T207" s="1254"/>
      <c r="U207" s="1254"/>
    </row>
    <row r="208" spans="7:21" ht="15.6">
      <c r="G208" s="1255"/>
      <c r="H208" s="1254"/>
      <c r="I208" s="1254"/>
      <c r="J208" s="1254"/>
      <c r="K208" s="1254"/>
      <c r="L208" s="1254"/>
      <c r="M208" s="1254"/>
      <c r="N208" s="1254"/>
      <c r="O208" s="1254"/>
      <c r="P208" s="1254"/>
      <c r="Q208" s="1254"/>
      <c r="R208" s="1254"/>
      <c r="S208" s="1254"/>
      <c r="T208" s="1254"/>
      <c r="U208" s="1254"/>
    </row>
    <row r="209" spans="7:21" ht="15.6">
      <c r="G209" s="1255"/>
      <c r="H209" s="1254"/>
      <c r="I209" s="1254"/>
      <c r="J209" s="1254"/>
      <c r="K209" s="1254"/>
      <c r="L209" s="1254"/>
      <c r="M209" s="1254"/>
      <c r="N209" s="1254"/>
      <c r="O209" s="1254"/>
      <c r="P209" s="1254"/>
      <c r="Q209" s="1254"/>
      <c r="R209" s="1254"/>
      <c r="S209" s="1254"/>
      <c r="T209" s="1254"/>
      <c r="U209" s="1254"/>
    </row>
    <row r="210" spans="7:21" ht="15.6">
      <c r="G210" s="1255"/>
      <c r="H210" s="1254"/>
      <c r="I210" s="1254"/>
      <c r="J210" s="1254"/>
      <c r="K210" s="1254"/>
      <c r="L210" s="1254"/>
      <c r="M210" s="1254"/>
      <c r="N210" s="1254"/>
      <c r="O210" s="1254"/>
      <c r="P210" s="1254"/>
      <c r="Q210" s="1254"/>
      <c r="R210" s="1254"/>
      <c r="S210" s="1254"/>
      <c r="T210" s="1254"/>
      <c r="U210" s="1254"/>
    </row>
    <row r="211" spans="7:21" ht="15.6">
      <c r="G211" s="1255"/>
      <c r="H211" s="1254"/>
      <c r="I211" s="1254"/>
      <c r="J211" s="1254"/>
      <c r="K211" s="1254"/>
      <c r="L211" s="1254"/>
      <c r="M211" s="1254"/>
      <c r="N211" s="1254"/>
      <c r="O211" s="1254"/>
      <c r="P211" s="1254"/>
      <c r="Q211" s="1254"/>
      <c r="R211" s="1254"/>
      <c r="S211" s="1254"/>
      <c r="T211" s="1254"/>
      <c r="U211" s="1254"/>
    </row>
    <row r="212" spans="7:21" ht="15.6">
      <c r="G212" s="1255"/>
      <c r="H212" s="1254"/>
      <c r="I212" s="1254"/>
      <c r="J212" s="1254"/>
      <c r="K212" s="1254"/>
      <c r="L212" s="1254"/>
      <c r="M212" s="1254"/>
      <c r="N212" s="1254"/>
      <c r="O212" s="1254"/>
      <c r="P212" s="1254"/>
      <c r="Q212" s="1254"/>
      <c r="R212" s="1254"/>
      <c r="S212" s="1254"/>
      <c r="T212" s="1254"/>
      <c r="U212" s="1254"/>
    </row>
    <row r="213" spans="7:21" ht="15.6">
      <c r="G213" s="1255"/>
      <c r="H213" s="1254"/>
      <c r="I213" s="1254"/>
      <c r="J213" s="1254"/>
      <c r="K213" s="1254"/>
      <c r="L213" s="1254"/>
      <c r="M213" s="1254"/>
      <c r="N213" s="1254"/>
      <c r="O213" s="1254"/>
      <c r="P213" s="1254"/>
      <c r="Q213" s="1254"/>
      <c r="R213" s="1254"/>
      <c r="S213" s="1254"/>
      <c r="T213" s="1254"/>
      <c r="U213" s="1254"/>
    </row>
    <row r="214" spans="7:21" ht="15.6">
      <c r="G214" s="1255"/>
      <c r="H214" s="1254"/>
      <c r="I214" s="1254"/>
      <c r="J214" s="1254"/>
      <c r="K214" s="1254"/>
      <c r="L214" s="1254"/>
      <c r="M214" s="1254"/>
      <c r="N214" s="1254"/>
      <c r="O214" s="1254"/>
      <c r="P214" s="1254"/>
      <c r="Q214" s="1254"/>
      <c r="R214" s="1254"/>
      <c r="S214" s="1254"/>
      <c r="T214" s="1254"/>
      <c r="U214" s="1254"/>
    </row>
    <row r="215" spans="7:21" ht="15.6">
      <c r="G215" s="1255"/>
      <c r="H215" s="1254"/>
      <c r="I215" s="1254"/>
      <c r="J215" s="1254"/>
      <c r="K215" s="1254"/>
      <c r="L215" s="1254"/>
      <c r="M215" s="1254"/>
      <c r="N215" s="1254"/>
      <c r="O215" s="1254"/>
      <c r="P215" s="1254"/>
      <c r="Q215" s="1254"/>
      <c r="R215" s="1254"/>
      <c r="S215" s="1254"/>
      <c r="T215" s="1254"/>
      <c r="U215" s="1254"/>
    </row>
    <row r="216" spans="7:21" ht="15.6">
      <c r="G216" s="1255"/>
      <c r="H216" s="1254"/>
      <c r="I216" s="1254"/>
      <c r="J216" s="1254"/>
      <c r="K216" s="1254"/>
      <c r="L216" s="1254"/>
      <c r="M216" s="1254"/>
      <c r="N216" s="1254"/>
      <c r="O216" s="1254"/>
      <c r="P216" s="1254"/>
      <c r="Q216" s="1254"/>
      <c r="R216" s="1254"/>
      <c r="S216" s="1254"/>
      <c r="T216" s="1254"/>
      <c r="U216" s="1254"/>
    </row>
    <row r="217" spans="7:21" ht="15.6">
      <c r="G217" s="1255"/>
      <c r="H217" s="1254"/>
      <c r="I217" s="1254"/>
      <c r="J217" s="1254"/>
      <c r="K217" s="1254"/>
      <c r="L217" s="1254"/>
      <c r="M217" s="1254"/>
      <c r="N217" s="1254"/>
      <c r="O217" s="1254"/>
      <c r="P217" s="1254"/>
      <c r="Q217" s="1254"/>
      <c r="R217" s="1254"/>
      <c r="S217" s="1254"/>
      <c r="T217" s="1254"/>
      <c r="U217" s="1254"/>
    </row>
    <row r="218" spans="7:21" ht="15.6">
      <c r="G218" s="1255"/>
      <c r="H218" s="1254"/>
      <c r="I218" s="1254"/>
      <c r="J218" s="1254"/>
      <c r="K218" s="1254"/>
      <c r="L218" s="1254"/>
      <c r="M218" s="1254"/>
      <c r="N218" s="1254"/>
      <c r="O218" s="1254"/>
      <c r="P218" s="1254"/>
      <c r="Q218" s="1254"/>
      <c r="R218" s="1254"/>
      <c r="S218" s="1254"/>
      <c r="T218" s="1254"/>
      <c r="U218" s="1254"/>
    </row>
    <row r="219" spans="7:21" ht="15.6">
      <c r="G219" s="1255"/>
      <c r="H219" s="1254"/>
      <c r="I219" s="1254"/>
      <c r="J219" s="1254"/>
      <c r="K219" s="1254"/>
      <c r="L219" s="1254"/>
      <c r="M219" s="1254"/>
      <c r="N219" s="1254"/>
      <c r="O219" s="1254"/>
      <c r="P219" s="1254"/>
      <c r="Q219" s="1254"/>
      <c r="R219" s="1254"/>
      <c r="S219" s="1254"/>
      <c r="T219" s="1254"/>
      <c r="U219" s="1254"/>
    </row>
    <row r="220" spans="7:21" ht="15.6">
      <c r="G220" s="1255"/>
      <c r="H220" s="1254"/>
      <c r="I220" s="1254"/>
      <c r="J220" s="1254"/>
      <c r="K220" s="1254"/>
      <c r="L220" s="1254"/>
      <c r="M220" s="1254"/>
      <c r="N220" s="1254"/>
      <c r="O220" s="1254"/>
      <c r="P220" s="1254"/>
      <c r="Q220" s="1254"/>
      <c r="R220" s="1254"/>
      <c r="S220" s="1254"/>
      <c r="T220" s="1254"/>
      <c r="U220" s="1254"/>
    </row>
    <row r="221" spans="7:21" ht="15.6">
      <c r="G221" s="1255"/>
      <c r="H221" s="1254"/>
      <c r="I221" s="1254"/>
      <c r="J221" s="1254"/>
      <c r="K221" s="1254"/>
      <c r="L221" s="1254"/>
      <c r="M221" s="1254"/>
      <c r="N221" s="1254"/>
      <c r="O221" s="1254"/>
      <c r="P221" s="1254"/>
      <c r="Q221" s="1254"/>
      <c r="R221" s="1254"/>
      <c r="S221" s="1254"/>
      <c r="T221" s="1254"/>
      <c r="U221" s="1254"/>
    </row>
    <row r="222" spans="7:21" ht="15.6">
      <c r="G222" s="1255"/>
      <c r="H222" s="1254"/>
      <c r="I222" s="1254"/>
      <c r="J222" s="1254"/>
      <c r="K222" s="1254"/>
      <c r="L222" s="1254"/>
      <c r="M222" s="1254"/>
      <c r="N222" s="1254"/>
      <c r="O222" s="1254"/>
      <c r="P222" s="1254"/>
      <c r="Q222" s="1254"/>
      <c r="R222" s="1254"/>
      <c r="S222" s="1254"/>
      <c r="T222" s="1254"/>
      <c r="U222" s="1254"/>
    </row>
    <row r="223" spans="7:21" ht="15.6">
      <c r="G223" s="1255"/>
      <c r="H223" s="1254"/>
      <c r="I223" s="1254"/>
      <c r="J223" s="1254"/>
      <c r="K223" s="1254"/>
      <c r="L223" s="1254"/>
      <c r="M223" s="1254"/>
      <c r="N223" s="1254"/>
      <c r="O223" s="1254"/>
      <c r="P223" s="1254"/>
      <c r="Q223" s="1254"/>
      <c r="R223" s="1254"/>
      <c r="S223" s="1254"/>
      <c r="T223" s="1254"/>
      <c r="U223" s="1254"/>
    </row>
    <row r="224" spans="7:21" ht="15.6">
      <c r="G224" s="1255"/>
      <c r="H224" s="1254"/>
      <c r="I224" s="1254"/>
      <c r="J224" s="1254"/>
      <c r="K224" s="1254"/>
      <c r="L224" s="1254"/>
      <c r="M224" s="1254"/>
      <c r="N224" s="1254"/>
      <c r="O224" s="1254"/>
      <c r="P224" s="1254"/>
      <c r="Q224" s="1254"/>
      <c r="R224" s="1254"/>
      <c r="S224" s="1254"/>
      <c r="T224" s="1254"/>
      <c r="U224" s="1254"/>
    </row>
    <row r="225" spans="7:21" ht="15.6">
      <c r="G225" s="1255"/>
      <c r="H225" s="1254"/>
      <c r="I225" s="1254"/>
      <c r="J225" s="1254"/>
      <c r="K225" s="1254"/>
      <c r="L225" s="1254"/>
      <c r="M225" s="1254"/>
      <c r="N225" s="1254"/>
      <c r="O225" s="1254"/>
      <c r="P225" s="1254"/>
      <c r="Q225" s="1254"/>
      <c r="R225" s="1254"/>
      <c r="S225" s="1254"/>
      <c r="T225" s="1254"/>
      <c r="U225" s="1254"/>
    </row>
    <row r="226" spans="7:21" ht="15.6">
      <c r="G226" s="1255"/>
      <c r="H226" s="1254"/>
      <c r="I226" s="1254"/>
      <c r="J226" s="1254"/>
      <c r="K226" s="1254"/>
      <c r="L226" s="1254"/>
      <c r="M226" s="1254"/>
      <c r="N226" s="1254"/>
      <c r="O226" s="1254"/>
      <c r="P226" s="1254"/>
      <c r="Q226" s="1254"/>
      <c r="R226" s="1254"/>
      <c r="S226" s="1254"/>
      <c r="T226" s="1254"/>
      <c r="U226" s="1254"/>
    </row>
    <row r="227" spans="7:21" ht="15.6">
      <c r="G227" s="1255"/>
      <c r="H227" s="1254"/>
      <c r="I227" s="1254"/>
      <c r="J227" s="1254"/>
      <c r="K227" s="1254"/>
      <c r="L227" s="1254"/>
      <c r="M227" s="1254"/>
      <c r="N227" s="1254"/>
      <c r="O227" s="1254"/>
      <c r="P227" s="1254"/>
      <c r="Q227" s="1254"/>
      <c r="R227" s="1254"/>
      <c r="S227" s="1254"/>
      <c r="T227" s="1254"/>
      <c r="U227" s="1254"/>
    </row>
    <row r="228" spans="7:21" ht="15.6">
      <c r="G228" s="1255"/>
      <c r="H228" s="1254"/>
      <c r="I228" s="1254"/>
      <c r="J228" s="1254"/>
      <c r="K228" s="1254"/>
      <c r="L228" s="1254"/>
      <c r="M228" s="1254"/>
      <c r="N228" s="1254"/>
      <c r="O228" s="1254"/>
      <c r="P228" s="1254"/>
      <c r="Q228" s="1254"/>
      <c r="R228" s="1254"/>
      <c r="S228" s="1254"/>
      <c r="T228" s="1254"/>
      <c r="U228" s="1254"/>
    </row>
    <row r="229" spans="7:21" ht="15.6">
      <c r="G229" s="1255"/>
      <c r="H229" s="1254"/>
      <c r="I229" s="1254"/>
      <c r="J229" s="1254"/>
      <c r="K229" s="1254"/>
      <c r="L229" s="1254"/>
      <c r="M229" s="1254"/>
      <c r="N229" s="1254"/>
      <c r="O229" s="1254"/>
      <c r="P229" s="1254"/>
      <c r="Q229" s="1254"/>
      <c r="R229" s="1254"/>
      <c r="S229" s="1254"/>
      <c r="T229" s="1254"/>
      <c r="U229" s="1254"/>
    </row>
    <row r="230" spans="7:21" ht="15.6">
      <c r="G230" s="1255"/>
      <c r="H230" s="1254"/>
      <c r="I230" s="1254"/>
      <c r="J230" s="1254"/>
      <c r="K230" s="1254"/>
      <c r="L230" s="1254"/>
      <c r="M230" s="1254"/>
      <c r="N230" s="1254"/>
      <c r="O230" s="1254"/>
      <c r="P230" s="1254"/>
      <c r="Q230" s="1254"/>
      <c r="R230" s="1254"/>
      <c r="S230" s="1254"/>
      <c r="T230" s="1254"/>
      <c r="U230" s="1254"/>
    </row>
    <row r="231" spans="7:21" ht="15.6">
      <c r="G231" s="1255"/>
      <c r="H231" s="1254"/>
      <c r="I231" s="1254"/>
      <c r="J231" s="1254"/>
      <c r="K231" s="1254"/>
      <c r="L231" s="1254"/>
      <c r="M231" s="1254"/>
      <c r="N231" s="1254"/>
      <c r="O231" s="1254"/>
      <c r="P231" s="1254"/>
      <c r="Q231" s="1254"/>
      <c r="R231" s="1254"/>
      <c r="S231" s="1254"/>
      <c r="T231" s="1254"/>
      <c r="U231" s="1254"/>
    </row>
    <row r="232" spans="7:21" ht="15.6">
      <c r="G232" s="1255"/>
      <c r="H232" s="1254"/>
      <c r="I232" s="1254"/>
      <c r="J232" s="1254"/>
      <c r="K232" s="1254"/>
      <c r="L232" s="1254"/>
      <c r="M232" s="1254"/>
      <c r="N232" s="1254"/>
      <c r="O232" s="1254"/>
      <c r="P232" s="1254"/>
      <c r="Q232" s="1254"/>
      <c r="R232" s="1254"/>
      <c r="S232" s="1254"/>
      <c r="T232" s="1254"/>
      <c r="U232" s="1254"/>
    </row>
    <row r="233" spans="7:21" ht="15.6">
      <c r="G233" s="1255"/>
      <c r="H233" s="1254"/>
      <c r="I233" s="1254"/>
      <c r="J233" s="1254"/>
      <c r="K233" s="1254"/>
      <c r="L233" s="1254"/>
      <c r="M233" s="1254"/>
      <c r="N233" s="1254"/>
      <c r="O233" s="1254"/>
      <c r="P233" s="1254"/>
      <c r="Q233" s="1254"/>
      <c r="R233" s="1254"/>
      <c r="S233" s="1254"/>
      <c r="T233" s="1254"/>
      <c r="U233" s="1254"/>
    </row>
    <row r="234" spans="7:21" ht="15.6">
      <c r="G234" s="1255"/>
      <c r="H234" s="1254"/>
      <c r="I234" s="1254"/>
      <c r="J234" s="1254"/>
      <c r="K234" s="1254"/>
      <c r="L234" s="1254"/>
      <c r="M234" s="1254"/>
      <c r="N234" s="1254"/>
      <c r="O234" s="1254"/>
      <c r="P234" s="1254"/>
      <c r="Q234" s="1254"/>
      <c r="R234" s="1254"/>
      <c r="S234" s="1254"/>
      <c r="T234" s="1254"/>
      <c r="U234" s="1254"/>
    </row>
    <row r="235" spans="7:21" ht="15.6">
      <c r="G235" s="1255"/>
      <c r="H235" s="1254"/>
      <c r="I235" s="1254"/>
      <c r="J235" s="1254"/>
      <c r="K235" s="1254"/>
      <c r="L235" s="1254"/>
      <c r="M235" s="1254"/>
      <c r="N235" s="1254"/>
      <c r="O235" s="1254"/>
      <c r="P235" s="1254"/>
      <c r="Q235" s="1254"/>
      <c r="R235" s="1254"/>
      <c r="S235" s="1254"/>
      <c r="T235" s="1254"/>
      <c r="U235" s="1254"/>
    </row>
    <row r="236" spans="7:21" ht="15.6">
      <c r="G236" s="1255"/>
      <c r="H236" s="1254"/>
      <c r="I236" s="1254"/>
      <c r="J236" s="1254"/>
      <c r="K236" s="1254"/>
      <c r="L236" s="1254"/>
      <c r="M236" s="1254"/>
      <c r="N236" s="1254"/>
      <c r="O236" s="1254"/>
      <c r="P236" s="1254"/>
      <c r="Q236" s="1254"/>
      <c r="R236" s="1254"/>
      <c r="S236" s="1254"/>
      <c r="T236" s="1254"/>
      <c r="U236" s="1254"/>
    </row>
    <row r="237" spans="7:21" ht="15.6">
      <c r="G237" s="1255"/>
      <c r="H237" s="1254"/>
      <c r="I237" s="1254"/>
      <c r="J237" s="1254"/>
      <c r="K237" s="1254"/>
      <c r="L237" s="1254"/>
      <c r="M237" s="1254"/>
      <c r="N237" s="1254"/>
      <c r="O237" s="1254"/>
      <c r="P237" s="1254"/>
      <c r="Q237" s="1254"/>
      <c r="R237" s="1254"/>
      <c r="S237" s="1254"/>
      <c r="T237" s="1254"/>
      <c r="U237" s="1254"/>
    </row>
    <row r="238" spans="7:21" ht="15.6">
      <c r="G238" s="1255"/>
      <c r="H238" s="1254"/>
      <c r="I238" s="1254"/>
      <c r="J238" s="1254"/>
      <c r="K238" s="1254"/>
      <c r="L238" s="1254"/>
      <c r="M238" s="1254"/>
      <c r="N238" s="1254"/>
      <c r="O238" s="1254"/>
      <c r="P238" s="1254"/>
      <c r="Q238" s="1254"/>
      <c r="R238" s="1254"/>
      <c r="S238" s="1254"/>
      <c r="T238" s="1254"/>
      <c r="U238" s="1254"/>
    </row>
    <row r="239" spans="7:21" ht="15.6">
      <c r="G239" s="1255"/>
      <c r="H239" s="1254"/>
      <c r="I239" s="1254"/>
      <c r="J239" s="1254"/>
      <c r="K239" s="1254"/>
      <c r="L239" s="1254"/>
      <c r="M239" s="1254"/>
      <c r="N239" s="1254"/>
      <c r="O239" s="1254"/>
      <c r="P239" s="1254"/>
      <c r="Q239" s="1254"/>
      <c r="R239" s="1254"/>
      <c r="S239" s="1254"/>
      <c r="T239" s="1254"/>
      <c r="U239" s="1254"/>
    </row>
    <row r="240" spans="7:21" ht="15.6">
      <c r="G240" s="1255"/>
      <c r="H240" s="1254"/>
      <c r="I240" s="1254"/>
      <c r="J240" s="1254"/>
      <c r="K240" s="1254"/>
      <c r="L240" s="1254"/>
      <c r="M240" s="1254"/>
      <c r="N240" s="1254"/>
      <c r="O240" s="1254"/>
      <c r="P240" s="1254"/>
      <c r="Q240" s="1254"/>
      <c r="R240" s="1254"/>
      <c r="S240" s="1254"/>
      <c r="T240" s="1254"/>
      <c r="U240" s="1254"/>
    </row>
    <row r="241" spans="7:21" ht="15.6">
      <c r="G241" s="1255"/>
      <c r="H241" s="1254"/>
      <c r="I241" s="1254"/>
      <c r="J241" s="1254"/>
      <c r="K241" s="1254"/>
      <c r="L241" s="1254"/>
      <c r="M241" s="1254"/>
      <c r="N241" s="1254"/>
      <c r="O241" s="1254"/>
      <c r="P241" s="1254"/>
      <c r="Q241" s="1254"/>
      <c r="R241" s="1254"/>
      <c r="S241" s="1254"/>
      <c r="T241" s="1254"/>
      <c r="U241" s="1254"/>
    </row>
    <row r="242" spans="7:21" ht="15.6">
      <c r="G242" s="1255"/>
      <c r="H242" s="1254"/>
      <c r="I242" s="1254"/>
      <c r="J242" s="1254"/>
      <c r="K242" s="1254"/>
      <c r="L242" s="1254"/>
      <c r="M242" s="1254"/>
      <c r="N242" s="1254"/>
      <c r="O242" s="1254"/>
      <c r="P242" s="1254"/>
      <c r="Q242" s="1254"/>
      <c r="R242" s="1254"/>
      <c r="S242" s="1254"/>
      <c r="T242" s="1254"/>
      <c r="U242" s="1254"/>
    </row>
    <row r="243" spans="7:21" ht="15.6">
      <c r="G243" s="1255"/>
      <c r="H243" s="1254"/>
      <c r="I243" s="1254"/>
      <c r="J243" s="1254"/>
      <c r="K243" s="1254"/>
      <c r="L243" s="1254"/>
      <c r="M243" s="1254"/>
      <c r="N243" s="1254"/>
      <c r="O243" s="1254"/>
      <c r="P243" s="1254"/>
      <c r="Q243" s="1254"/>
      <c r="R243" s="1254"/>
      <c r="S243" s="1254"/>
      <c r="T243" s="1254"/>
      <c r="U243" s="1254"/>
    </row>
    <row r="244" spans="7:21" ht="15.6">
      <c r="G244" s="1255"/>
      <c r="H244" s="1254"/>
      <c r="I244" s="1254"/>
      <c r="J244" s="1254"/>
      <c r="K244" s="1254"/>
      <c r="L244" s="1254"/>
      <c r="M244" s="1254"/>
      <c r="N244" s="1254"/>
      <c r="O244" s="1254"/>
      <c r="P244" s="1254"/>
      <c r="Q244" s="1254"/>
      <c r="R244" s="1254"/>
      <c r="S244" s="1254"/>
      <c r="T244" s="1254"/>
      <c r="U244" s="1254"/>
    </row>
    <row r="245" spans="7:21" ht="15.6">
      <c r="G245" s="1255"/>
      <c r="H245" s="1254"/>
      <c r="I245" s="1254"/>
      <c r="J245" s="1254"/>
      <c r="K245" s="1254"/>
      <c r="L245" s="1254"/>
      <c r="M245" s="1254"/>
      <c r="N245" s="1254"/>
      <c r="O245" s="1254"/>
      <c r="P245" s="1254"/>
      <c r="Q245" s="1254"/>
      <c r="R245" s="1254"/>
      <c r="S245" s="1254"/>
      <c r="T245" s="1254"/>
      <c r="U245" s="1254"/>
    </row>
    <row r="246" spans="7:21" ht="15.6">
      <c r="G246" s="1255"/>
      <c r="H246" s="1254"/>
      <c r="I246" s="1254"/>
      <c r="J246" s="1254"/>
      <c r="K246" s="1254"/>
      <c r="L246" s="1254"/>
      <c r="M246" s="1254"/>
      <c r="N246" s="1254"/>
      <c r="O246" s="1254"/>
      <c r="P246" s="1254"/>
      <c r="Q246" s="1254"/>
      <c r="R246" s="1254"/>
      <c r="S246" s="1254"/>
      <c r="T246" s="1254"/>
      <c r="U246" s="1254"/>
    </row>
    <row r="247" spans="7:21" ht="15.6">
      <c r="G247" s="1255"/>
      <c r="H247" s="1254"/>
      <c r="I247" s="1254"/>
      <c r="J247" s="1254"/>
      <c r="K247" s="1254"/>
      <c r="L247" s="1254"/>
      <c r="M247" s="1254"/>
      <c r="N247" s="1254"/>
      <c r="O247" s="1254"/>
      <c r="P247" s="1254"/>
      <c r="Q247" s="1254"/>
      <c r="R247" s="1254"/>
      <c r="S247" s="1254"/>
      <c r="T247" s="1254"/>
      <c r="U247" s="1254"/>
    </row>
    <row r="248" spans="7:21" ht="15.6">
      <c r="G248" s="1255"/>
      <c r="H248" s="1254"/>
      <c r="I248" s="1254"/>
      <c r="J248" s="1254"/>
      <c r="K248" s="1254"/>
      <c r="L248" s="1254"/>
      <c r="M248" s="1254"/>
      <c r="N248" s="1254"/>
      <c r="O248" s="1254"/>
      <c r="P248" s="1254"/>
      <c r="Q248" s="1254"/>
      <c r="R248" s="1254"/>
      <c r="S248" s="1254"/>
      <c r="T248" s="1254"/>
      <c r="U248" s="1254"/>
    </row>
    <row r="249" spans="7:21" ht="15.6">
      <c r="G249" s="1255"/>
      <c r="H249" s="1254"/>
      <c r="I249" s="1254"/>
      <c r="J249" s="1254"/>
      <c r="K249" s="1254"/>
      <c r="L249" s="1254"/>
      <c r="M249" s="1254"/>
      <c r="N249" s="1254"/>
      <c r="O249" s="1254"/>
      <c r="P249" s="1254"/>
      <c r="Q249" s="1254"/>
      <c r="R249" s="1254"/>
      <c r="S249" s="1254"/>
      <c r="T249" s="1254"/>
      <c r="U249" s="1254"/>
    </row>
    <row r="250" spans="7:21" ht="15.6">
      <c r="G250" s="1255"/>
      <c r="H250" s="1254"/>
      <c r="I250" s="1254"/>
      <c r="J250" s="1254"/>
      <c r="K250" s="1254"/>
      <c r="L250" s="1254"/>
      <c r="M250" s="1254"/>
      <c r="N250" s="1254"/>
      <c r="O250" s="1254"/>
      <c r="P250" s="1254"/>
      <c r="Q250" s="1254"/>
      <c r="R250" s="1254"/>
      <c r="S250" s="1254"/>
      <c r="T250" s="1254"/>
      <c r="U250" s="1254"/>
    </row>
    <row r="251" spans="7:21" ht="15.6">
      <c r="G251" s="1255"/>
      <c r="H251" s="1254"/>
      <c r="I251" s="1254"/>
      <c r="J251" s="1254"/>
      <c r="K251" s="1254"/>
      <c r="L251" s="1254"/>
      <c r="M251" s="1254"/>
      <c r="N251" s="1254"/>
      <c r="O251" s="1254"/>
      <c r="P251" s="1254"/>
      <c r="Q251" s="1254"/>
      <c r="R251" s="1254"/>
      <c r="S251" s="1254"/>
      <c r="T251" s="1254"/>
      <c r="U251" s="1254"/>
    </row>
    <row r="252" spans="7:21" ht="15.6">
      <c r="G252" s="1255"/>
      <c r="H252" s="1254"/>
      <c r="I252" s="1254"/>
      <c r="J252" s="1254"/>
      <c r="K252" s="1254"/>
      <c r="L252" s="1254"/>
      <c r="M252" s="1254"/>
      <c r="N252" s="1254"/>
      <c r="O252" s="1254"/>
      <c r="P252" s="1254"/>
      <c r="Q252" s="1254"/>
      <c r="R252" s="1254"/>
      <c r="S252" s="1254"/>
      <c r="T252" s="1254"/>
      <c r="U252" s="1254"/>
    </row>
    <row r="253" spans="7:21" ht="15.6">
      <c r="G253" s="1255"/>
      <c r="H253" s="1254"/>
      <c r="I253" s="1254"/>
      <c r="J253" s="1254"/>
      <c r="K253" s="1254"/>
      <c r="L253" s="1254"/>
      <c r="M253" s="1254"/>
      <c r="N253" s="1254"/>
      <c r="O253" s="1254"/>
      <c r="P253" s="1254"/>
      <c r="Q253" s="1254"/>
      <c r="R253" s="1254"/>
      <c r="S253" s="1254"/>
      <c r="T253" s="1254"/>
      <c r="U253" s="1254"/>
    </row>
    <row r="254" spans="7:21" ht="15.6">
      <c r="G254" s="1255"/>
      <c r="H254" s="1254"/>
      <c r="I254" s="1254"/>
      <c r="J254" s="1254"/>
      <c r="K254" s="1254"/>
      <c r="L254" s="1254"/>
      <c r="M254" s="1254"/>
      <c r="N254" s="1254"/>
      <c r="O254" s="1254"/>
      <c r="P254" s="1254"/>
      <c r="Q254" s="1254"/>
      <c r="R254" s="1254"/>
      <c r="S254" s="1254"/>
      <c r="T254" s="1254"/>
      <c r="U254" s="1254"/>
    </row>
    <row r="255" spans="7:21" ht="15.6">
      <c r="G255" s="1255"/>
      <c r="H255" s="1254"/>
      <c r="I255" s="1254"/>
      <c r="J255" s="1254"/>
      <c r="K255" s="1254"/>
      <c r="L255" s="1254"/>
      <c r="M255" s="1254"/>
      <c r="N255" s="1254"/>
      <c r="O255" s="1254"/>
      <c r="P255" s="1254"/>
      <c r="Q255" s="1254"/>
      <c r="R255" s="1254"/>
      <c r="S255" s="1254"/>
      <c r="T255" s="1254"/>
      <c r="U255" s="1254"/>
    </row>
    <row r="256" spans="7:21" ht="15.6">
      <c r="G256" s="1255"/>
      <c r="H256" s="1254"/>
      <c r="I256" s="1254"/>
      <c r="J256" s="1254"/>
      <c r="K256" s="1254"/>
      <c r="L256" s="1254"/>
      <c r="M256" s="1254"/>
      <c r="N256" s="1254"/>
      <c r="O256" s="1254"/>
      <c r="P256" s="1254"/>
      <c r="Q256" s="1254"/>
      <c r="R256" s="1254"/>
      <c r="S256" s="1254"/>
      <c r="T256" s="1254"/>
      <c r="U256" s="1254"/>
    </row>
    <row r="257" spans="7:21" ht="15.6">
      <c r="G257" s="1255"/>
      <c r="H257" s="1254"/>
      <c r="I257" s="1254"/>
      <c r="J257" s="1254"/>
      <c r="K257" s="1254"/>
      <c r="L257" s="1254"/>
      <c r="M257" s="1254"/>
      <c r="N257" s="1254"/>
      <c r="O257" s="1254"/>
      <c r="P257" s="1254"/>
      <c r="Q257" s="1254"/>
      <c r="R257" s="1254"/>
      <c r="S257" s="1254"/>
      <c r="T257" s="1254"/>
      <c r="U257" s="1254"/>
    </row>
    <row r="258" spans="7:21" ht="15.6">
      <c r="G258" s="1255"/>
      <c r="H258" s="1254"/>
      <c r="I258" s="1254"/>
      <c r="J258" s="1254"/>
      <c r="K258" s="1254"/>
      <c r="L258" s="1254"/>
      <c r="M258" s="1254"/>
      <c r="N258" s="1254"/>
      <c r="O258" s="1254"/>
      <c r="P258" s="1254"/>
      <c r="Q258" s="1254"/>
      <c r="R258" s="1254"/>
      <c r="S258" s="1254"/>
      <c r="T258" s="1254"/>
      <c r="U258" s="1254"/>
    </row>
    <row r="259" spans="7:21" ht="15.6">
      <c r="G259" s="1255"/>
      <c r="H259" s="1254"/>
      <c r="I259" s="1254"/>
      <c r="J259" s="1254"/>
      <c r="K259" s="1254"/>
      <c r="L259" s="1254"/>
      <c r="M259" s="1254"/>
      <c r="N259" s="1254"/>
      <c r="O259" s="1254"/>
      <c r="P259" s="1254"/>
      <c r="Q259" s="1254"/>
      <c r="R259" s="1254"/>
      <c r="S259" s="1254"/>
      <c r="T259" s="1254"/>
      <c r="U259" s="1254"/>
    </row>
    <row r="260" spans="7:21" ht="15.6">
      <c r="G260" s="1255"/>
      <c r="H260" s="1254"/>
      <c r="I260" s="1254"/>
      <c r="J260" s="1254"/>
      <c r="K260" s="1254"/>
      <c r="L260" s="1254"/>
      <c r="M260" s="1254"/>
      <c r="N260" s="1254"/>
      <c r="O260" s="1254"/>
      <c r="P260" s="1254"/>
      <c r="Q260" s="1254"/>
      <c r="R260" s="1254"/>
      <c r="S260" s="1254"/>
      <c r="T260" s="1254"/>
      <c r="U260" s="1254"/>
    </row>
    <row r="261" spans="7:21" ht="15.6">
      <c r="G261" s="1255"/>
      <c r="H261" s="1254"/>
      <c r="I261" s="1254"/>
      <c r="J261" s="1254"/>
      <c r="K261" s="1254"/>
      <c r="L261" s="1254"/>
      <c r="M261" s="1254"/>
      <c r="N261" s="1254"/>
      <c r="O261" s="1254"/>
      <c r="P261" s="1254"/>
      <c r="Q261" s="1254"/>
      <c r="R261" s="1254"/>
      <c r="S261" s="1254"/>
      <c r="T261" s="1254"/>
      <c r="U261" s="1254"/>
    </row>
    <row r="262" spans="7:21" ht="15.6">
      <c r="G262" s="1255"/>
      <c r="H262" s="1254"/>
      <c r="I262" s="1254"/>
      <c r="J262" s="1254"/>
      <c r="K262" s="1254"/>
      <c r="L262" s="1254"/>
      <c r="M262" s="1254"/>
      <c r="N262" s="1254"/>
      <c r="O262" s="1254"/>
      <c r="P262" s="1254"/>
      <c r="Q262" s="1254"/>
      <c r="R262" s="1254"/>
      <c r="S262" s="1254"/>
      <c r="T262" s="1254"/>
      <c r="U262" s="1254"/>
    </row>
    <row r="263" spans="7:21" ht="15.6">
      <c r="G263" s="1255"/>
      <c r="H263" s="1254"/>
      <c r="I263" s="1254"/>
      <c r="J263" s="1254"/>
      <c r="K263" s="1254"/>
      <c r="L263" s="1254"/>
      <c r="M263" s="1254"/>
      <c r="N263" s="1254"/>
      <c r="O263" s="1254"/>
      <c r="P263" s="1254"/>
      <c r="Q263" s="1254"/>
      <c r="R263" s="1254"/>
      <c r="S263" s="1254"/>
      <c r="T263" s="1254"/>
      <c r="U263" s="1254"/>
    </row>
    <row r="264" spans="7:21" ht="15.6">
      <c r="G264" s="1255"/>
      <c r="H264" s="1254"/>
      <c r="I264" s="1254"/>
      <c r="J264" s="1254"/>
      <c r="K264" s="1254"/>
      <c r="L264" s="1254"/>
      <c r="M264" s="1254"/>
      <c r="N264" s="1254"/>
      <c r="O264" s="1254"/>
      <c r="P264" s="1254"/>
      <c r="Q264" s="1254"/>
      <c r="R264" s="1254"/>
      <c r="S264" s="1254"/>
      <c r="T264" s="1254"/>
      <c r="U264" s="1254"/>
    </row>
    <row r="265" spans="7:21" ht="15.6">
      <c r="G265" s="1255"/>
      <c r="H265" s="1254"/>
      <c r="I265" s="1254"/>
      <c r="J265" s="1254"/>
      <c r="K265" s="1254"/>
      <c r="L265" s="1254"/>
      <c r="M265" s="1254"/>
      <c r="N265" s="1254"/>
      <c r="O265" s="1254"/>
      <c r="P265" s="1254"/>
      <c r="Q265" s="1254"/>
      <c r="R265" s="1254"/>
      <c r="S265" s="1254"/>
      <c r="T265" s="1254"/>
      <c r="U265" s="1254"/>
    </row>
    <row r="266" spans="7:21" ht="15.6">
      <c r="G266" s="1255"/>
      <c r="H266" s="1254"/>
      <c r="I266" s="1254"/>
      <c r="J266" s="1254"/>
      <c r="K266" s="1254"/>
      <c r="L266" s="1254"/>
      <c r="M266" s="1254"/>
      <c r="N266" s="1254"/>
      <c r="O266" s="1254"/>
      <c r="P266" s="1254"/>
      <c r="Q266" s="1254"/>
      <c r="R266" s="1254"/>
      <c r="S266" s="1254"/>
      <c r="T266" s="1254"/>
      <c r="U266" s="1254"/>
    </row>
    <row r="267" spans="7:21" ht="15.6">
      <c r="G267" s="1255"/>
      <c r="H267" s="1254"/>
      <c r="I267" s="1254"/>
      <c r="J267" s="1254"/>
      <c r="K267" s="1254"/>
      <c r="L267" s="1254"/>
      <c r="M267" s="1254"/>
      <c r="N267" s="1254"/>
      <c r="O267" s="1254"/>
      <c r="P267" s="1254"/>
      <c r="Q267" s="1254"/>
      <c r="R267" s="1254"/>
      <c r="S267" s="1254"/>
      <c r="T267" s="1254"/>
      <c r="U267" s="1254"/>
    </row>
    <row r="268" spans="7:21" ht="15.6">
      <c r="G268" s="1255"/>
      <c r="H268" s="1254"/>
      <c r="I268" s="1254"/>
      <c r="J268" s="1254"/>
      <c r="K268" s="1254"/>
      <c r="L268" s="1254"/>
      <c r="M268" s="1254"/>
      <c r="N268" s="1254"/>
      <c r="O268" s="1254"/>
      <c r="P268" s="1254"/>
      <c r="Q268" s="1254"/>
      <c r="R268" s="1254"/>
      <c r="S268" s="1254"/>
      <c r="T268" s="1254"/>
      <c r="U268" s="1254"/>
    </row>
    <row r="269" spans="7:21" ht="15.6">
      <c r="G269" s="1255"/>
      <c r="H269" s="1254"/>
      <c r="I269" s="1254"/>
      <c r="J269" s="1254"/>
      <c r="K269" s="1254"/>
      <c r="L269" s="1254"/>
      <c r="M269" s="1254"/>
      <c r="N269" s="1254"/>
      <c r="O269" s="1254"/>
      <c r="P269" s="1254"/>
      <c r="Q269" s="1254"/>
      <c r="R269" s="1254"/>
      <c r="S269" s="1254"/>
      <c r="T269" s="1254"/>
      <c r="U269" s="1254"/>
    </row>
    <row r="270" spans="7:21" ht="15.6">
      <c r="G270" s="1255"/>
      <c r="H270" s="1254"/>
      <c r="I270" s="1254"/>
      <c r="J270" s="1254"/>
      <c r="K270" s="1254"/>
      <c r="L270" s="1254"/>
      <c r="M270" s="1254"/>
      <c r="N270" s="1254"/>
      <c r="O270" s="1254"/>
      <c r="P270" s="1254"/>
      <c r="Q270" s="1254"/>
      <c r="R270" s="1254"/>
      <c r="S270" s="1254"/>
      <c r="T270" s="1254"/>
      <c r="U270" s="1254"/>
    </row>
    <row r="271" spans="7:21" ht="15.6">
      <c r="G271" s="1255"/>
      <c r="H271" s="1254"/>
      <c r="I271" s="1254"/>
      <c r="J271" s="1254"/>
      <c r="K271" s="1254"/>
      <c r="L271" s="1254"/>
      <c r="M271" s="1254"/>
      <c r="N271" s="1254"/>
      <c r="O271" s="1254"/>
      <c r="P271" s="1254"/>
      <c r="Q271" s="1254"/>
      <c r="R271" s="1254"/>
      <c r="S271" s="1254"/>
      <c r="T271" s="1254"/>
      <c r="U271" s="1254"/>
    </row>
    <row r="272" spans="7:21" ht="15.6">
      <c r="G272" s="1255"/>
      <c r="H272" s="1254"/>
      <c r="I272" s="1254"/>
      <c r="J272" s="1254"/>
      <c r="K272" s="1254"/>
      <c r="L272" s="1254"/>
      <c r="M272" s="1254"/>
      <c r="N272" s="1254"/>
      <c r="O272" s="1254"/>
      <c r="P272" s="1254"/>
      <c r="Q272" s="1254"/>
      <c r="R272" s="1254"/>
      <c r="S272" s="1254"/>
      <c r="T272" s="1254"/>
      <c r="U272" s="1254"/>
    </row>
    <row r="273" spans="7:21" ht="15.6">
      <c r="G273" s="1255"/>
      <c r="H273" s="1254"/>
      <c r="I273" s="1254"/>
      <c r="J273" s="1254"/>
      <c r="K273" s="1254"/>
      <c r="L273" s="1254"/>
      <c r="M273" s="1254"/>
      <c r="N273" s="1254"/>
      <c r="O273" s="1254"/>
      <c r="P273" s="1254"/>
      <c r="Q273" s="1254"/>
      <c r="R273" s="1254"/>
      <c r="S273" s="1254"/>
      <c r="T273" s="1254"/>
      <c r="U273" s="1254"/>
    </row>
    <row r="274" spans="7:21" ht="15.6">
      <c r="G274" s="1255"/>
      <c r="H274" s="1254"/>
      <c r="I274" s="1254"/>
      <c r="J274" s="1254"/>
      <c r="K274" s="1254"/>
      <c r="L274" s="1254"/>
      <c r="M274" s="1254"/>
      <c r="N274" s="1254"/>
      <c r="O274" s="1254"/>
      <c r="P274" s="1254"/>
      <c r="Q274" s="1254"/>
      <c r="R274" s="1254"/>
      <c r="S274" s="1254"/>
      <c r="T274" s="1254"/>
      <c r="U274" s="1254"/>
    </row>
    <row r="275" spans="7:21" ht="15.6">
      <c r="G275" s="1255"/>
      <c r="H275" s="1254"/>
      <c r="I275" s="1254"/>
      <c r="J275" s="1254"/>
      <c r="K275" s="1254"/>
      <c r="L275" s="1254"/>
      <c r="M275" s="1254"/>
      <c r="N275" s="1254"/>
      <c r="O275" s="1254"/>
      <c r="P275" s="1254"/>
      <c r="Q275" s="1254"/>
      <c r="R275" s="1254"/>
      <c r="S275" s="1254"/>
      <c r="T275" s="1254"/>
      <c r="U275" s="1254"/>
    </row>
    <row r="276" spans="7:21" ht="15.6">
      <c r="G276" s="1255"/>
      <c r="H276" s="1254"/>
      <c r="I276" s="1254"/>
      <c r="J276" s="1254"/>
      <c r="K276" s="1254"/>
      <c r="L276" s="1254"/>
      <c r="M276" s="1254"/>
      <c r="N276" s="1254"/>
      <c r="O276" s="1254"/>
      <c r="P276" s="1254"/>
      <c r="Q276" s="1254"/>
      <c r="R276" s="1254"/>
      <c r="S276" s="1254"/>
      <c r="T276" s="1254"/>
      <c r="U276" s="1254"/>
    </row>
    <row r="277" spans="7:21" ht="15.6">
      <c r="G277" s="1255"/>
      <c r="H277" s="1254"/>
      <c r="I277" s="1254"/>
      <c r="J277" s="1254"/>
      <c r="K277" s="1254"/>
      <c r="L277" s="1254"/>
      <c r="M277" s="1254"/>
      <c r="N277" s="1254"/>
      <c r="O277" s="1254"/>
      <c r="P277" s="1254"/>
      <c r="Q277" s="1254"/>
      <c r="R277" s="1254"/>
      <c r="S277" s="1254"/>
      <c r="T277" s="1254"/>
      <c r="U277" s="1254"/>
    </row>
    <row r="278" spans="7:21" ht="15.6">
      <c r="G278" s="1255"/>
      <c r="H278" s="1254"/>
      <c r="I278" s="1254"/>
      <c r="J278" s="1254"/>
      <c r="K278" s="1254"/>
      <c r="L278" s="1254"/>
      <c r="M278" s="1254"/>
      <c r="N278" s="1254"/>
      <c r="O278" s="1254"/>
      <c r="P278" s="1254"/>
      <c r="Q278" s="1254"/>
      <c r="R278" s="1254"/>
      <c r="S278" s="1254"/>
      <c r="T278" s="1254"/>
      <c r="U278" s="1254"/>
    </row>
    <row r="279" spans="7:21" ht="15.6">
      <c r="G279" s="1255"/>
      <c r="H279" s="1254"/>
      <c r="I279" s="1254"/>
      <c r="J279" s="1254"/>
      <c r="K279" s="1254"/>
      <c r="L279" s="1254"/>
      <c r="M279" s="1254"/>
      <c r="N279" s="1254"/>
      <c r="O279" s="1254"/>
      <c r="P279" s="1254"/>
      <c r="Q279" s="1254"/>
      <c r="R279" s="1254"/>
      <c r="S279" s="1254"/>
      <c r="T279" s="1254"/>
      <c r="U279" s="1254"/>
    </row>
    <row r="280" spans="7:21" ht="15.6">
      <c r="G280" s="1255"/>
      <c r="H280" s="1254"/>
      <c r="I280" s="1254"/>
      <c r="J280" s="1254"/>
      <c r="K280" s="1254"/>
      <c r="L280" s="1254"/>
      <c r="M280" s="1254"/>
      <c r="N280" s="1254"/>
      <c r="O280" s="1254"/>
      <c r="P280" s="1254"/>
      <c r="Q280" s="1254"/>
      <c r="R280" s="1254"/>
      <c r="S280" s="1254"/>
      <c r="T280" s="1254"/>
      <c r="U280" s="1254"/>
    </row>
    <row r="281" spans="7:21" ht="15.6">
      <c r="G281" s="1255"/>
      <c r="H281" s="1254"/>
      <c r="I281" s="1254"/>
      <c r="J281" s="1254"/>
      <c r="K281" s="1254"/>
      <c r="L281" s="1254"/>
      <c r="M281" s="1254"/>
      <c r="N281" s="1254"/>
      <c r="O281" s="1254"/>
      <c r="P281" s="1254"/>
      <c r="Q281" s="1254"/>
      <c r="R281" s="1254"/>
      <c r="S281" s="1254"/>
      <c r="T281" s="1254"/>
      <c r="U281" s="1254"/>
    </row>
    <row r="282" spans="7:21" ht="15.6">
      <c r="G282" s="1255"/>
      <c r="H282" s="1254"/>
      <c r="I282" s="1254"/>
      <c r="J282" s="1254"/>
      <c r="K282" s="1254"/>
      <c r="L282" s="1254"/>
      <c r="M282" s="1254"/>
      <c r="N282" s="1254"/>
      <c r="O282" s="1254"/>
      <c r="P282" s="1254"/>
      <c r="Q282" s="1254"/>
      <c r="R282" s="1254"/>
      <c r="S282" s="1254"/>
      <c r="T282" s="1254"/>
      <c r="U282" s="1254"/>
    </row>
    <row r="283" spans="7:21" ht="15.6">
      <c r="G283" s="1255"/>
      <c r="H283" s="1254"/>
      <c r="I283" s="1254"/>
      <c r="J283" s="1254"/>
      <c r="K283" s="1254"/>
      <c r="L283" s="1254"/>
      <c r="M283" s="1254"/>
      <c r="N283" s="1254"/>
      <c r="O283" s="1254"/>
      <c r="P283" s="1254"/>
      <c r="Q283" s="1254"/>
      <c r="R283" s="1254"/>
      <c r="S283" s="1254"/>
      <c r="T283" s="1254"/>
      <c r="U283" s="1254"/>
    </row>
    <row r="284" spans="7:21" ht="15.6">
      <c r="G284" s="1255"/>
      <c r="H284" s="1254"/>
      <c r="I284" s="1254"/>
      <c r="J284" s="1254"/>
      <c r="K284" s="1254"/>
      <c r="L284" s="1254"/>
      <c r="M284" s="1254"/>
      <c r="N284" s="1254"/>
      <c r="O284" s="1254"/>
      <c r="P284" s="1254"/>
      <c r="Q284" s="1254"/>
      <c r="R284" s="1254"/>
      <c r="S284" s="1254"/>
      <c r="T284" s="1254"/>
      <c r="U284" s="1254"/>
    </row>
    <row r="285" spans="7:21" ht="15.6">
      <c r="G285" s="1255"/>
      <c r="H285" s="1254"/>
      <c r="I285" s="1254"/>
      <c r="J285" s="1254"/>
      <c r="K285" s="1254"/>
      <c r="L285" s="1254"/>
      <c r="M285" s="1254"/>
      <c r="N285" s="1254"/>
      <c r="O285" s="1254"/>
      <c r="P285" s="1254"/>
      <c r="Q285" s="1254"/>
      <c r="R285" s="1254"/>
      <c r="S285" s="1254"/>
      <c r="T285" s="1254"/>
      <c r="U285" s="1254"/>
    </row>
    <row r="286" spans="7:21" ht="15.6">
      <c r="G286" s="1255"/>
      <c r="H286" s="1254"/>
      <c r="I286" s="1254"/>
      <c r="J286" s="1254"/>
      <c r="K286" s="1254"/>
      <c r="L286" s="1254"/>
      <c r="M286" s="1254"/>
      <c r="N286" s="1254"/>
      <c r="O286" s="1254"/>
      <c r="P286" s="1254"/>
      <c r="Q286" s="1254"/>
      <c r="R286" s="1254"/>
      <c r="S286" s="1254"/>
      <c r="T286" s="1254"/>
      <c r="U286" s="1254"/>
    </row>
    <row r="287" spans="7:21" ht="15.6">
      <c r="G287" s="1255"/>
      <c r="H287" s="1254"/>
      <c r="I287" s="1254"/>
      <c r="J287" s="1254"/>
      <c r="K287" s="1254"/>
      <c r="L287" s="1254"/>
      <c r="M287" s="1254"/>
      <c r="N287" s="1254"/>
      <c r="O287" s="1254"/>
      <c r="P287" s="1254"/>
      <c r="Q287" s="1254"/>
      <c r="R287" s="1254"/>
      <c r="S287" s="1254"/>
      <c r="T287" s="1254"/>
      <c r="U287" s="1254"/>
    </row>
    <row r="288" spans="7:21" ht="15.6">
      <c r="G288" s="1255"/>
      <c r="H288" s="1254"/>
      <c r="I288" s="1254"/>
      <c r="J288" s="1254"/>
      <c r="K288" s="1254"/>
      <c r="L288" s="1254"/>
      <c r="M288" s="1254"/>
      <c r="N288" s="1254"/>
      <c r="O288" s="1254"/>
      <c r="P288" s="1254"/>
      <c r="Q288" s="1254"/>
      <c r="R288" s="1254"/>
      <c r="S288" s="1254"/>
      <c r="T288" s="1254"/>
      <c r="U288" s="1254"/>
    </row>
    <row r="289" spans="7:21" ht="15.6">
      <c r="G289" s="1255"/>
      <c r="H289" s="1254"/>
      <c r="I289" s="1254"/>
      <c r="J289" s="1254"/>
      <c r="K289" s="1254"/>
      <c r="L289" s="1254"/>
      <c r="M289" s="1254"/>
      <c r="N289" s="1254"/>
      <c r="O289" s="1254"/>
      <c r="P289" s="1254"/>
      <c r="Q289" s="1254"/>
      <c r="R289" s="1254"/>
      <c r="S289" s="1254"/>
      <c r="T289" s="1254"/>
      <c r="U289" s="1254"/>
    </row>
    <row r="290" spans="7:21" ht="15.6">
      <c r="G290" s="1255"/>
      <c r="H290" s="1254"/>
      <c r="I290" s="1254"/>
      <c r="J290" s="1254"/>
      <c r="K290" s="1254"/>
      <c r="L290" s="1254"/>
      <c r="M290" s="1254"/>
      <c r="N290" s="1254"/>
      <c r="O290" s="1254"/>
      <c r="P290" s="1254"/>
      <c r="Q290" s="1254"/>
      <c r="R290" s="1254"/>
      <c r="S290" s="1254"/>
      <c r="T290" s="1254"/>
      <c r="U290" s="1254"/>
    </row>
    <row r="291" spans="7:21" ht="15.6">
      <c r="G291" s="1255"/>
      <c r="H291" s="1254"/>
      <c r="I291" s="1254"/>
      <c r="J291" s="1254"/>
      <c r="K291" s="1254"/>
      <c r="L291" s="1254"/>
      <c r="M291" s="1254"/>
      <c r="N291" s="1254"/>
      <c r="O291" s="1254"/>
      <c r="P291" s="1254"/>
      <c r="Q291" s="1254"/>
      <c r="R291" s="1254"/>
      <c r="S291" s="1254"/>
      <c r="T291" s="1254"/>
      <c r="U291" s="1254"/>
    </row>
    <row r="292" spans="7:21" ht="15.6">
      <c r="G292" s="1255"/>
      <c r="H292" s="1254"/>
      <c r="I292" s="1254"/>
      <c r="J292" s="1254"/>
      <c r="K292" s="1254"/>
      <c r="L292" s="1254"/>
      <c r="M292" s="1254"/>
      <c r="N292" s="1254"/>
      <c r="O292" s="1254"/>
      <c r="P292" s="1254"/>
      <c r="Q292" s="1254"/>
      <c r="R292" s="1254"/>
      <c r="S292" s="1254"/>
      <c r="T292" s="1254"/>
      <c r="U292" s="1254"/>
    </row>
    <row r="293" spans="7:21" ht="15.6">
      <c r="G293" s="1255"/>
      <c r="H293" s="1254"/>
      <c r="I293" s="1254"/>
      <c r="J293" s="1254"/>
      <c r="K293" s="1254"/>
      <c r="L293" s="1254"/>
      <c r="M293" s="1254"/>
      <c r="N293" s="1254"/>
      <c r="O293" s="1254"/>
      <c r="P293" s="1254"/>
      <c r="Q293" s="1254"/>
      <c r="R293" s="1254"/>
      <c r="S293" s="1254"/>
      <c r="T293" s="1254"/>
      <c r="U293" s="1254"/>
    </row>
    <row r="294" spans="7:21" ht="15.6">
      <c r="G294" s="1255"/>
      <c r="H294" s="1254"/>
      <c r="I294" s="1254"/>
      <c r="J294" s="1254"/>
      <c r="K294" s="1254"/>
      <c r="L294" s="1254"/>
      <c r="M294" s="1254"/>
      <c r="N294" s="1254"/>
      <c r="O294" s="1254"/>
      <c r="P294" s="1254"/>
      <c r="Q294" s="1254"/>
      <c r="R294" s="1254"/>
      <c r="S294" s="1254"/>
      <c r="T294" s="1254"/>
      <c r="U294" s="1254"/>
    </row>
    <row r="295" spans="7:21" ht="15.6">
      <c r="G295" s="1255"/>
      <c r="H295" s="1254"/>
      <c r="I295" s="1254"/>
      <c r="J295" s="1254"/>
      <c r="K295" s="1254"/>
      <c r="L295" s="1254"/>
      <c r="M295" s="1254"/>
      <c r="N295" s="1254"/>
      <c r="O295" s="1254"/>
      <c r="P295" s="1254"/>
      <c r="Q295" s="1254"/>
      <c r="R295" s="1254"/>
      <c r="S295" s="1254"/>
      <c r="T295" s="1254"/>
      <c r="U295" s="1254"/>
    </row>
    <row r="296" spans="7:21" ht="15.6">
      <c r="G296" s="1255"/>
      <c r="H296" s="1254"/>
      <c r="I296" s="1254"/>
      <c r="J296" s="1254"/>
      <c r="K296" s="1254"/>
      <c r="L296" s="1254"/>
      <c r="M296" s="1254"/>
      <c r="N296" s="1254"/>
      <c r="O296" s="1254"/>
      <c r="P296" s="1254"/>
      <c r="Q296" s="1254"/>
      <c r="R296" s="1254"/>
      <c r="S296" s="1254"/>
      <c r="T296" s="1254"/>
      <c r="U296" s="1254"/>
    </row>
    <row r="297" spans="7:21" ht="15.6">
      <c r="G297" s="1255"/>
      <c r="H297" s="1254"/>
      <c r="I297" s="1254"/>
      <c r="J297" s="1254"/>
      <c r="K297" s="1254"/>
      <c r="L297" s="1254"/>
      <c r="M297" s="1254"/>
      <c r="N297" s="1254"/>
      <c r="O297" s="1254"/>
      <c r="P297" s="1254"/>
      <c r="Q297" s="1254"/>
      <c r="R297" s="1254"/>
      <c r="S297" s="1254"/>
      <c r="T297" s="1254"/>
      <c r="U297" s="1254"/>
    </row>
    <row r="298" spans="7:21" ht="15.6">
      <c r="G298" s="1255"/>
      <c r="H298" s="1254"/>
      <c r="I298" s="1254"/>
      <c r="J298" s="1254"/>
      <c r="K298" s="1254"/>
      <c r="L298" s="1254"/>
      <c r="M298" s="1254"/>
      <c r="N298" s="1254"/>
      <c r="O298" s="1254"/>
      <c r="P298" s="1254"/>
      <c r="Q298" s="1254"/>
      <c r="R298" s="1254"/>
      <c r="S298" s="1254"/>
      <c r="T298" s="1254"/>
      <c r="U298" s="1254"/>
    </row>
    <row r="299" spans="7:21" ht="15.6">
      <c r="G299" s="1255"/>
      <c r="H299" s="1254"/>
      <c r="I299" s="1254"/>
      <c r="J299" s="1254"/>
      <c r="K299" s="1254"/>
      <c r="L299" s="1254"/>
      <c r="M299" s="1254"/>
      <c r="N299" s="1254"/>
      <c r="O299" s="1254"/>
      <c r="P299" s="1254"/>
      <c r="Q299" s="1254"/>
      <c r="R299" s="1254"/>
      <c r="S299" s="1254"/>
      <c r="T299" s="1254"/>
      <c r="U299" s="1254"/>
    </row>
    <row r="300" spans="7:21" ht="15.6">
      <c r="G300" s="1255"/>
      <c r="H300" s="1254"/>
      <c r="I300" s="1254"/>
      <c r="J300" s="1254"/>
      <c r="K300" s="1254"/>
      <c r="L300" s="1254"/>
      <c r="M300" s="1254"/>
      <c r="N300" s="1254"/>
      <c r="O300" s="1254"/>
      <c r="P300" s="1254"/>
      <c r="Q300" s="1254"/>
      <c r="R300" s="1254"/>
      <c r="S300" s="1254"/>
      <c r="T300" s="1254"/>
      <c r="U300" s="1254"/>
    </row>
    <row r="301" spans="7:21" ht="15.6">
      <c r="G301" s="1255"/>
      <c r="H301" s="1254"/>
      <c r="I301" s="1254"/>
      <c r="J301" s="1254"/>
      <c r="K301" s="1254"/>
      <c r="L301" s="1254"/>
      <c r="M301" s="1254"/>
      <c r="N301" s="1254"/>
      <c r="O301" s="1254"/>
      <c r="P301" s="1254"/>
      <c r="Q301" s="1254"/>
      <c r="R301" s="1254"/>
      <c r="S301" s="1254"/>
      <c r="T301" s="1254"/>
      <c r="U301" s="1254"/>
    </row>
    <row r="302" spans="7:21" ht="15.6">
      <c r="G302" s="1255"/>
      <c r="H302" s="1254"/>
      <c r="I302" s="1254"/>
      <c r="J302" s="1254"/>
      <c r="K302" s="1254"/>
      <c r="L302" s="1254"/>
      <c r="M302" s="1254"/>
      <c r="N302" s="1254"/>
      <c r="O302" s="1254"/>
      <c r="P302" s="1254"/>
      <c r="Q302" s="1254"/>
      <c r="R302" s="1254"/>
      <c r="S302" s="1254"/>
      <c r="T302" s="1254"/>
      <c r="U302" s="1254"/>
    </row>
    <row r="303" spans="7:21" ht="15.6">
      <c r="G303" s="1255"/>
      <c r="H303" s="1254"/>
      <c r="I303" s="1254"/>
      <c r="J303" s="1254"/>
      <c r="K303" s="1254"/>
      <c r="L303" s="1254"/>
      <c r="M303" s="1254"/>
      <c r="N303" s="1254"/>
      <c r="O303" s="1254"/>
      <c r="P303" s="1254"/>
      <c r="Q303" s="1254"/>
      <c r="R303" s="1254"/>
      <c r="S303" s="1254"/>
      <c r="T303" s="1254"/>
      <c r="U303" s="1254"/>
    </row>
    <row r="304" spans="7:21" ht="15.6">
      <c r="G304" s="1255"/>
      <c r="H304" s="1254"/>
      <c r="I304" s="1254"/>
      <c r="J304" s="1254"/>
      <c r="K304" s="1254"/>
      <c r="L304" s="1254"/>
      <c r="M304" s="1254"/>
      <c r="N304" s="1254"/>
      <c r="O304" s="1254"/>
      <c r="P304" s="1254"/>
      <c r="Q304" s="1254"/>
      <c r="R304" s="1254"/>
      <c r="S304" s="1254"/>
      <c r="T304" s="1254"/>
      <c r="U304" s="1254"/>
    </row>
    <row r="305" spans="7:21" ht="15.6">
      <c r="G305" s="1255"/>
      <c r="H305" s="1254"/>
      <c r="I305" s="1254"/>
      <c r="J305" s="1254"/>
      <c r="K305" s="1254"/>
      <c r="L305" s="1254"/>
      <c r="M305" s="1254"/>
      <c r="N305" s="1254"/>
      <c r="O305" s="1254"/>
      <c r="P305" s="1254"/>
      <c r="Q305" s="1254"/>
      <c r="R305" s="1254"/>
      <c r="S305" s="1254"/>
      <c r="T305" s="1254"/>
      <c r="U305" s="1254"/>
    </row>
    <row r="306" spans="7:21" ht="15.6">
      <c r="G306" s="1255"/>
      <c r="H306" s="1254"/>
      <c r="I306" s="1254"/>
      <c r="J306" s="1254"/>
      <c r="K306" s="1254"/>
      <c r="L306" s="1254"/>
      <c r="M306" s="1254"/>
      <c r="N306" s="1254"/>
      <c r="O306" s="1254"/>
      <c r="P306" s="1254"/>
      <c r="Q306" s="1254"/>
      <c r="R306" s="1254"/>
      <c r="S306" s="1254"/>
      <c r="T306" s="1254"/>
      <c r="U306" s="1254"/>
    </row>
    <row r="307" spans="7:21" ht="15.6">
      <c r="G307" s="1255"/>
      <c r="H307" s="1254"/>
      <c r="I307" s="1254"/>
      <c r="J307" s="1254"/>
      <c r="K307" s="1254"/>
      <c r="L307" s="1254"/>
      <c r="M307" s="1254"/>
      <c r="N307" s="1254"/>
      <c r="O307" s="1254"/>
      <c r="P307" s="1254"/>
      <c r="Q307" s="1254"/>
      <c r="R307" s="1254"/>
      <c r="S307" s="1254"/>
      <c r="T307" s="1254"/>
      <c r="U307" s="1254"/>
    </row>
    <row r="308" spans="7:21" ht="15.6">
      <c r="G308" s="1255"/>
      <c r="H308" s="1254"/>
      <c r="I308" s="1254"/>
      <c r="J308" s="1254"/>
      <c r="K308" s="1254"/>
      <c r="L308" s="1254"/>
      <c r="M308" s="1254"/>
      <c r="N308" s="1254"/>
      <c r="O308" s="1254"/>
      <c r="P308" s="1254"/>
      <c r="Q308" s="1254"/>
      <c r="R308" s="1254"/>
      <c r="S308" s="1254"/>
      <c r="T308" s="1254"/>
      <c r="U308" s="1254"/>
    </row>
    <row r="309" spans="7:21" ht="15.6">
      <c r="G309" s="1255"/>
      <c r="H309" s="1254"/>
      <c r="I309" s="1254"/>
      <c r="J309" s="1254"/>
      <c r="K309" s="1254"/>
      <c r="L309" s="1254"/>
      <c r="M309" s="1254"/>
      <c r="N309" s="1254"/>
      <c r="O309" s="1254"/>
      <c r="P309" s="1254"/>
      <c r="Q309" s="1254"/>
      <c r="R309" s="1254"/>
      <c r="S309" s="1254"/>
      <c r="T309" s="1254"/>
      <c r="U309" s="1254"/>
    </row>
    <row r="310" spans="7:21" ht="15.6">
      <c r="G310" s="1255"/>
      <c r="H310" s="1254"/>
      <c r="I310" s="1254"/>
      <c r="J310" s="1254"/>
      <c r="K310" s="1254"/>
      <c r="L310" s="1254"/>
      <c r="M310" s="1254"/>
      <c r="N310" s="1254"/>
      <c r="O310" s="1254"/>
      <c r="P310" s="1254"/>
      <c r="Q310" s="1254"/>
      <c r="R310" s="1254"/>
      <c r="S310" s="1254"/>
      <c r="T310" s="1254"/>
      <c r="U310" s="1254"/>
    </row>
    <row r="311" spans="7:21" ht="15.6">
      <c r="G311" s="1255"/>
      <c r="H311" s="1254"/>
      <c r="I311" s="1254"/>
      <c r="J311" s="1254"/>
      <c r="K311" s="1254"/>
      <c r="L311" s="1254"/>
      <c r="M311" s="1254"/>
      <c r="N311" s="1254"/>
      <c r="O311" s="1254"/>
      <c r="P311" s="1254"/>
      <c r="Q311" s="1254"/>
      <c r="R311" s="1254"/>
      <c r="S311" s="1254"/>
      <c r="T311" s="1254"/>
      <c r="U311" s="1254"/>
    </row>
    <row r="312" spans="7:21" ht="15.6">
      <c r="G312" s="1255"/>
      <c r="H312" s="1254"/>
      <c r="I312" s="1254"/>
      <c r="J312" s="1254"/>
      <c r="K312" s="1254"/>
      <c r="L312" s="1254"/>
      <c r="M312" s="1254"/>
      <c r="N312" s="1254"/>
      <c r="O312" s="1254"/>
      <c r="P312" s="1254"/>
      <c r="Q312" s="1254"/>
      <c r="R312" s="1254"/>
      <c r="S312" s="1254"/>
      <c r="T312" s="1254"/>
      <c r="U312" s="1254"/>
    </row>
    <row r="313" spans="7:21" ht="15.6">
      <c r="G313" s="1255"/>
      <c r="H313" s="1254"/>
      <c r="I313" s="1254"/>
      <c r="J313" s="1254"/>
      <c r="K313" s="1254"/>
      <c r="L313" s="1254"/>
      <c r="M313" s="1254"/>
      <c r="N313" s="1254"/>
      <c r="O313" s="1254"/>
      <c r="P313" s="1254"/>
      <c r="Q313" s="1254"/>
      <c r="R313" s="1254"/>
      <c r="S313" s="1254"/>
      <c r="T313" s="1254"/>
      <c r="U313" s="1254"/>
    </row>
    <row r="314" spans="7:21" ht="15.6">
      <c r="G314" s="1255"/>
      <c r="H314" s="1254"/>
      <c r="I314" s="1254"/>
      <c r="J314" s="1254"/>
      <c r="K314" s="1254"/>
      <c r="L314" s="1254"/>
      <c r="M314" s="1254"/>
      <c r="N314" s="1254"/>
      <c r="O314" s="1254"/>
      <c r="P314" s="1254"/>
      <c r="Q314" s="1254"/>
      <c r="R314" s="1254"/>
      <c r="S314" s="1254"/>
      <c r="T314" s="1254"/>
      <c r="U314" s="1254"/>
    </row>
    <row r="315" spans="7:21" ht="15.6">
      <c r="G315" s="1255"/>
      <c r="H315" s="1254"/>
      <c r="I315" s="1254"/>
      <c r="J315" s="1254"/>
      <c r="K315" s="1254"/>
      <c r="L315" s="1254"/>
      <c r="M315" s="1254"/>
      <c r="N315" s="1254"/>
      <c r="O315" s="1254"/>
      <c r="P315" s="1254"/>
      <c r="Q315" s="1254"/>
      <c r="R315" s="1254"/>
      <c r="S315" s="1254"/>
      <c r="T315" s="1254"/>
      <c r="U315" s="1254"/>
    </row>
    <row r="316" spans="7:21" ht="15.6">
      <c r="G316" s="1255"/>
      <c r="H316" s="1254"/>
      <c r="I316" s="1254"/>
      <c r="J316" s="1254"/>
      <c r="K316" s="1254"/>
      <c r="L316" s="1254"/>
      <c r="M316" s="1254"/>
      <c r="N316" s="1254"/>
      <c r="O316" s="1254"/>
      <c r="P316" s="1254"/>
      <c r="Q316" s="1254"/>
      <c r="R316" s="1254"/>
      <c r="S316" s="1254"/>
      <c r="T316" s="1254"/>
      <c r="U316" s="1254"/>
    </row>
    <row r="317" spans="7:21" ht="15.6">
      <c r="G317" s="1255"/>
      <c r="H317" s="1254"/>
      <c r="I317" s="1254"/>
      <c r="J317" s="1254"/>
      <c r="K317" s="1254"/>
      <c r="L317" s="1254"/>
      <c r="M317" s="1254"/>
      <c r="N317" s="1254"/>
      <c r="O317" s="1254"/>
      <c r="P317" s="1254"/>
      <c r="Q317" s="1254"/>
      <c r="R317" s="1254"/>
      <c r="S317" s="1254"/>
      <c r="T317" s="1254"/>
      <c r="U317" s="1254"/>
    </row>
    <row r="318" spans="7:21" ht="15.6">
      <c r="G318" s="1255"/>
      <c r="H318" s="1254"/>
      <c r="I318" s="1254"/>
      <c r="J318" s="1254"/>
      <c r="K318" s="1254"/>
      <c r="L318" s="1254"/>
      <c r="M318" s="1254"/>
      <c r="N318" s="1254"/>
      <c r="O318" s="1254"/>
      <c r="P318" s="1254"/>
      <c r="Q318" s="1254"/>
      <c r="R318" s="1254"/>
      <c r="S318" s="1254"/>
      <c r="T318" s="1254"/>
      <c r="U318" s="1254"/>
    </row>
    <row r="319" spans="7:21" ht="15.6">
      <c r="G319" s="1255"/>
      <c r="H319" s="1254"/>
      <c r="I319" s="1254"/>
      <c r="J319" s="1254"/>
      <c r="K319" s="1254"/>
      <c r="L319" s="1254"/>
      <c r="M319" s="1254"/>
      <c r="N319" s="1254"/>
      <c r="O319" s="1254"/>
      <c r="P319" s="1254"/>
      <c r="Q319" s="1254"/>
      <c r="R319" s="1254"/>
      <c r="S319" s="1254"/>
      <c r="T319" s="1254"/>
      <c r="U319" s="1254"/>
    </row>
    <row r="320" spans="7:21" ht="15.6">
      <c r="G320" s="1255"/>
      <c r="H320" s="1254"/>
      <c r="I320" s="1254"/>
      <c r="J320" s="1254"/>
      <c r="K320" s="1254"/>
      <c r="L320" s="1254"/>
      <c r="M320" s="1254"/>
      <c r="N320" s="1254"/>
      <c r="O320" s="1254"/>
      <c r="P320" s="1254"/>
      <c r="Q320" s="1254"/>
      <c r="R320" s="1254"/>
      <c r="S320" s="1254"/>
      <c r="T320" s="1254"/>
      <c r="U320" s="1254"/>
    </row>
    <row r="321" spans="7:21" ht="15.6">
      <c r="G321" s="1255"/>
      <c r="H321" s="1254"/>
      <c r="I321" s="1254"/>
      <c r="J321" s="1254"/>
      <c r="K321" s="1254"/>
      <c r="L321" s="1254"/>
      <c r="M321" s="1254"/>
      <c r="N321" s="1254"/>
      <c r="O321" s="1254"/>
      <c r="P321" s="1254"/>
      <c r="Q321" s="1254"/>
      <c r="R321" s="1254"/>
      <c r="S321" s="1254"/>
      <c r="T321" s="1254"/>
      <c r="U321" s="1254"/>
    </row>
    <row r="322" spans="7:21" ht="15.6">
      <c r="G322" s="1255"/>
      <c r="H322" s="1254"/>
      <c r="I322" s="1254"/>
      <c r="J322" s="1254"/>
      <c r="K322" s="1254"/>
      <c r="L322" s="1254"/>
      <c r="M322" s="1254"/>
      <c r="N322" s="1254"/>
      <c r="O322" s="1254"/>
      <c r="P322" s="1254"/>
      <c r="Q322" s="1254"/>
      <c r="R322" s="1254"/>
      <c r="S322" s="1254"/>
      <c r="T322" s="1254"/>
      <c r="U322" s="1254"/>
    </row>
    <row r="323" spans="7:21" ht="15.6">
      <c r="G323" s="1255"/>
      <c r="H323" s="1254"/>
      <c r="I323" s="1254"/>
      <c r="J323" s="1254"/>
      <c r="K323" s="1254"/>
      <c r="L323" s="1254"/>
      <c r="M323" s="1254"/>
      <c r="N323" s="1254"/>
      <c r="O323" s="1254"/>
      <c r="P323" s="1254"/>
      <c r="Q323" s="1254"/>
      <c r="R323" s="1254"/>
      <c r="S323" s="1254"/>
      <c r="T323" s="1254"/>
      <c r="U323" s="1254"/>
    </row>
    <row r="324" spans="7:21" ht="15.6">
      <c r="G324" s="1255"/>
      <c r="H324" s="1254"/>
      <c r="I324" s="1254"/>
      <c r="J324" s="1254"/>
      <c r="K324" s="1254"/>
      <c r="L324" s="1254"/>
      <c r="M324" s="1254"/>
      <c r="N324" s="1254"/>
      <c r="O324" s="1254"/>
      <c r="P324" s="1254"/>
      <c r="Q324" s="1254"/>
      <c r="R324" s="1254"/>
      <c r="S324" s="1254"/>
      <c r="T324" s="1254"/>
      <c r="U324" s="1254"/>
    </row>
    <row r="325" spans="7:21" ht="15.6">
      <c r="G325" s="1255"/>
      <c r="H325" s="1254"/>
      <c r="I325" s="1254"/>
      <c r="J325" s="1254"/>
      <c r="K325" s="1254"/>
      <c r="L325" s="1254"/>
      <c r="M325" s="1254"/>
      <c r="N325" s="1254"/>
      <c r="O325" s="1254"/>
      <c r="P325" s="1254"/>
      <c r="Q325" s="1254"/>
      <c r="R325" s="1254"/>
      <c r="S325" s="1254"/>
      <c r="T325" s="1254"/>
      <c r="U325" s="1254"/>
    </row>
    <row r="326" spans="7:21" ht="15.6">
      <c r="G326" s="1255"/>
      <c r="H326" s="1254"/>
      <c r="I326" s="1254"/>
      <c r="J326" s="1254"/>
      <c r="K326" s="1254"/>
      <c r="L326" s="1254"/>
      <c r="M326" s="1254"/>
      <c r="N326" s="1254"/>
      <c r="O326" s="1254"/>
      <c r="P326" s="1254"/>
      <c r="Q326" s="1254"/>
      <c r="R326" s="1254"/>
      <c r="S326" s="1254"/>
      <c r="T326" s="1254"/>
      <c r="U326" s="1254"/>
    </row>
    <row r="327" spans="7:21" ht="15.6">
      <c r="G327" s="1255"/>
      <c r="H327" s="1254"/>
      <c r="I327" s="1254"/>
      <c r="J327" s="1254"/>
      <c r="K327" s="1254"/>
      <c r="L327" s="1254"/>
      <c r="M327" s="1254"/>
      <c r="N327" s="1254"/>
      <c r="O327" s="1254"/>
      <c r="P327" s="1254"/>
      <c r="Q327" s="1254"/>
      <c r="R327" s="1254"/>
      <c r="S327" s="1254"/>
      <c r="T327" s="1254"/>
      <c r="U327" s="1254"/>
    </row>
    <row r="328" spans="7:21" ht="15.6">
      <c r="G328" s="1255"/>
      <c r="H328" s="1254"/>
      <c r="I328" s="1254"/>
      <c r="J328" s="1254"/>
      <c r="K328" s="1254"/>
      <c r="L328" s="1254"/>
      <c r="M328" s="1254"/>
      <c r="N328" s="1254"/>
      <c r="O328" s="1254"/>
      <c r="P328" s="1254"/>
      <c r="Q328" s="1254"/>
      <c r="R328" s="1254"/>
      <c r="S328" s="1254"/>
      <c r="T328" s="1254"/>
      <c r="U328" s="1254"/>
    </row>
    <row r="329" spans="7:21" ht="15.6">
      <c r="G329" s="1255"/>
      <c r="H329" s="1254"/>
      <c r="I329" s="1254"/>
      <c r="J329" s="1254"/>
      <c r="K329" s="1254"/>
      <c r="L329" s="1254"/>
      <c r="M329" s="1254"/>
      <c r="N329" s="1254"/>
      <c r="O329" s="1254"/>
      <c r="P329" s="1254"/>
      <c r="Q329" s="1254"/>
      <c r="R329" s="1254"/>
      <c r="S329" s="1254"/>
      <c r="T329" s="1254"/>
      <c r="U329" s="1254"/>
    </row>
    <row r="330" spans="7:21" ht="15.6">
      <c r="G330" s="1255"/>
      <c r="H330" s="1254"/>
      <c r="I330" s="1254"/>
      <c r="J330" s="1254"/>
      <c r="K330" s="1254"/>
      <c r="L330" s="1254"/>
      <c r="M330" s="1254"/>
      <c r="N330" s="1254"/>
      <c r="O330" s="1254"/>
      <c r="P330" s="1254"/>
      <c r="Q330" s="1254"/>
      <c r="R330" s="1254"/>
      <c r="S330" s="1254"/>
      <c r="T330" s="1254"/>
      <c r="U330" s="1254"/>
    </row>
    <row r="331" spans="7:21" ht="15.6">
      <c r="G331" s="1255"/>
      <c r="H331" s="1254"/>
      <c r="I331" s="1254"/>
      <c r="J331" s="1254"/>
      <c r="K331" s="1254"/>
      <c r="L331" s="1254"/>
      <c r="M331" s="1254"/>
      <c r="N331" s="1254"/>
      <c r="O331" s="1254"/>
      <c r="P331" s="1254"/>
      <c r="Q331" s="1254"/>
      <c r="R331" s="1254"/>
      <c r="S331" s="1254"/>
      <c r="T331" s="1254"/>
      <c r="U331" s="1254"/>
    </row>
    <row r="332" spans="7:21" ht="15.6">
      <c r="G332" s="1255"/>
      <c r="H332" s="1254"/>
      <c r="I332" s="1254"/>
      <c r="J332" s="1254"/>
      <c r="K332" s="1254"/>
      <c r="L332" s="1254"/>
      <c r="M332" s="1254"/>
      <c r="N332" s="1254"/>
      <c r="O332" s="1254"/>
      <c r="P332" s="1254"/>
      <c r="Q332" s="1254"/>
      <c r="R332" s="1254"/>
      <c r="S332" s="1254"/>
      <c r="T332" s="1254"/>
      <c r="U332" s="1254"/>
    </row>
    <row r="333" spans="7:21" ht="15.6">
      <c r="G333" s="1255"/>
      <c r="H333" s="1254"/>
      <c r="I333" s="1254"/>
      <c r="J333" s="1254"/>
      <c r="K333" s="1254"/>
      <c r="L333" s="1254"/>
      <c r="M333" s="1254"/>
      <c r="N333" s="1254"/>
      <c r="O333" s="1254"/>
      <c r="P333" s="1254"/>
      <c r="Q333" s="1254"/>
      <c r="R333" s="1254"/>
      <c r="S333" s="1254"/>
      <c r="T333" s="1254"/>
      <c r="U333" s="1254"/>
    </row>
    <row r="334" spans="7:21" ht="15.6">
      <c r="G334" s="1255"/>
      <c r="H334" s="1254"/>
      <c r="I334" s="1254"/>
      <c r="J334" s="1254"/>
      <c r="K334" s="1254"/>
      <c r="L334" s="1254"/>
      <c r="M334" s="1254"/>
      <c r="N334" s="1254"/>
      <c r="O334" s="1254"/>
      <c r="P334" s="1254"/>
      <c r="Q334" s="1254"/>
      <c r="R334" s="1254"/>
      <c r="S334" s="1254"/>
      <c r="T334" s="1254"/>
      <c r="U334" s="1254"/>
    </row>
    <row r="335" spans="7:21" ht="15.6">
      <c r="G335" s="1255"/>
      <c r="H335" s="1254"/>
      <c r="I335" s="1254"/>
      <c r="J335" s="1254"/>
      <c r="K335" s="1254"/>
      <c r="L335" s="1254"/>
      <c r="M335" s="1254"/>
      <c r="N335" s="1254"/>
      <c r="O335" s="1254"/>
      <c r="P335" s="1254"/>
      <c r="Q335" s="1254"/>
      <c r="R335" s="1254"/>
      <c r="S335" s="1254"/>
      <c r="T335" s="1254"/>
      <c r="U335" s="1254"/>
    </row>
    <row r="336" spans="7:21" ht="15.6">
      <c r="G336" s="1255"/>
      <c r="H336" s="1254"/>
      <c r="I336" s="1254"/>
      <c r="J336" s="1254"/>
      <c r="K336" s="1254"/>
      <c r="L336" s="1254"/>
      <c r="M336" s="1254"/>
      <c r="N336" s="1254"/>
      <c r="O336" s="1254"/>
      <c r="P336" s="1254"/>
      <c r="Q336" s="1254"/>
      <c r="R336" s="1254"/>
      <c r="S336" s="1254"/>
      <c r="T336" s="1254"/>
      <c r="U336" s="1254"/>
    </row>
    <row r="337" spans="7:21" ht="15.6">
      <c r="G337" s="1255"/>
      <c r="H337" s="1254"/>
      <c r="I337" s="1254"/>
      <c r="J337" s="1254"/>
      <c r="K337" s="1254"/>
      <c r="L337" s="1254"/>
      <c r="M337" s="1254"/>
      <c r="N337" s="1254"/>
      <c r="O337" s="1254"/>
      <c r="P337" s="1254"/>
      <c r="Q337" s="1254"/>
      <c r="R337" s="1254"/>
      <c r="S337" s="1254"/>
      <c r="T337" s="1254"/>
      <c r="U337" s="1254"/>
    </row>
    <row r="338" spans="7:21" ht="15.6">
      <c r="G338" s="1255"/>
      <c r="H338" s="1254"/>
      <c r="I338" s="1254"/>
      <c r="J338" s="1254"/>
      <c r="K338" s="1254"/>
      <c r="L338" s="1254"/>
      <c r="M338" s="1254"/>
      <c r="N338" s="1254"/>
      <c r="O338" s="1254"/>
      <c r="P338" s="1254"/>
      <c r="Q338" s="1254"/>
      <c r="R338" s="1254"/>
      <c r="S338" s="1254"/>
      <c r="T338" s="1254"/>
      <c r="U338" s="1254"/>
    </row>
    <row r="339" spans="7:21" ht="15.6">
      <c r="G339" s="1255"/>
      <c r="H339" s="1254"/>
      <c r="I339" s="1254"/>
      <c r="J339" s="1254"/>
      <c r="K339" s="1254"/>
      <c r="L339" s="1254"/>
      <c r="M339" s="1254"/>
      <c r="N339" s="1254"/>
      <c r="O339" s="1254"/>
      <c r="P339" s="1254"/>
      <c r="Q339" s="1254"/>
      <c r="R339" s="1254"/>
      <c r="S339" s="1254"/>
      <c r="T339" s="1254"/>
      <c r="U339" s="1254"/>
    </row>
    <row r="340" spans="7:21" ht="15.6">
      <c r="G340" s="1255"/>
      <c r="H340" s="1254"/>
      <c r="I340" s="1254"/>
      <c r="J340" s="1254"/>
      <c r="K340" s="1254"/>
      <c r="L340" s="1254"/>
      <c r="M340" s="1254"/>
      <c r="N340" s="1254"/>
      <c r="O340" s="1254"/>
      <c r="P340" s="1254"/>
      <c r="Q340" s="1254"/>
      <c r="R340" s="1254"/>
      <c r="S340" s="1254"/>
      <c r="T340" s="1254"/>
      <c r="U340" s="1254"/>
    </row>
    <row r="341" spans="7:21" ht="15.6">
      <c r="G341" s="1255"/>
      <c r="H341" s="1254"/>
      <c r="I341" s="1254"/>
      <c r="J341" s="1254"/>
      <c r="K341" s="1254"/>
      <c r="L341" s="1254"/>
      <c r="M341" s="1254"/>
      <c r="N341" s="1254"/>
      <c r="O341" s="1254"/>
      <c r="P341" s="1254"/>
      <c r="Q341" s="1254"/>
      <c r="R341" s="1254"/>
      <c r="S341" s="1254"/>
      <c r="T341" s="1254"/>
      <c r="U341" s="1254"/>
    </row>
    <row r="342" spans="7:21" ht="15.6">
      <c r="G342" s="1255"/>
      <c r="H342" s="1254"/>
      <c r="I342" s="1254"/>
      <c r="J342" s="1254"/>
      <c r="K342" s="1254"/>
      <c r="L342" s="1254"/>
      <c r="M342" s="1254"/>
      <c r="N342" s="1254"/>
      <c r="O342" s="1254"/>
      <c r="P342" s="1254"/>
      <c r="Q342" s="1254"/>
      <c r="R342" s="1254"/>
      <c r="S342" s="1254"/>
      <c r="T342" s="1254"/>
      <c r="U342" s="1254"/>
    </row>
    <row r="343" spans="7:21" ht="15.6">
      <c r="G343" s="1255"/>
      <c r="H343" s="1254"/>
      <c r="I343" s="1254"/>
      <c r="J343" s="1254"/>
      <c r="K343" s="1254"/>
      <c r="L343" s="1254"/>
      <c r="M343" s="1254"/>
      <c r="N343" s="1254"/>
      <c r="O343" s="1254"/>
      <c r="P343" s="1254"/>
      <c r="Q343" s="1254"/>
      <c r="R343" s="1254"/>
      <c r="S343" s="1254"/>
      <c r="T343" s="1254"/>
      <c r="U343" s="1254"/>
    </row>
    <row r="344" spans="7:21" ht="15.6">
      <c r="G344" s="1255"/>
      <c r="H344" s="1254"/>
      <c r="I344" s="1254"/>
      <c r="J344" s="1254"/>
      <c r="K344" s="1254"/>
      <c r="L344" s="1254"/>
      <c r="M344" s="1254"/>
      <c r="N344" s="1254"/>
      <c r="O344" s="1254"/>
      <c r="P344" s="1254"/>
      <c r="Q344" s="1254"/>
      <c r="R344" s="1254"/>
      <c r="S344" s="1254"/>
      <c r="T344" s="1254"/>
      <c r="U344" s="1254"/>
    </row>
    <row r="345" spans="7:21" ht="15.6">
      <c r="G345" s="1255"/>
      <c r="H345" s="1254"/>
      <c r="I345" s="1254"/>
      <c r="J345" s="1254"/>
      <c r="K345" s="1254"/>
      <c r="L345" s="1254"/>
      <c r="M345" s="1254"/>
      <c r="N345" s="1254"/>
      <c r="O345" s="1254"/>
      <c r="P345" s="1254"/>
      <c r="Q345" s="1254"/>
      <c r="R345" s="1254"/>
      <c r="S345" s="1254"/>
      <c r="T345" s="1254"/>
      <c r="U345" s="1254"/>
    </row>
    <row r="346" spans="7:21" ht="15.6">
      <c r="G346" s="1255"/>
      <c r="H346" s="1254"/>
      <c r="I346" s="1254"/>
      <c r="J346" s="1254"/>
      <c r="K346" s="1254"/>
      <c r="L346" s="1254"/>
      <c r="M346" s="1254"/>
      <c r="N346" s="1254"/>
      <c r="O346" s="1254"/>
      <c r="P346" s="1254"/>
      <c r="Q346" s="1254"/>
      <c r="R346" s="1254"/>
      <c r="S346" s="1254"/>
      <c r="T346" s="1254"/>
      <c r="U346" s="1254"/>
    </row>
    <row r="347" spans="7:21" ht="15.6">
      <c r="G347" s="1255"/>
      <c r="H347" s="1254"/>
      <c r="I347" s="1254"/>
      <c r="J347" s="1254"/>
      <c r="K347" s="1254"/>
      <c r="L347" s="1254"/>
      <c r="M347" s="1254"/>
      <c r="N347" s="1254"/>
      <c r="O347" s="1254"/>
      <c r="P347" s="1254"/>
      <c r="Q347" s="1254"/>
      <c r="R347" s="1254"/>
      <c r="S347" s="1254"/>
      <c r="T347" s="1254"/>
      <c r="U347" s="1254"/>
    </row>
    <row r="348" spans="7:21" ht="15.6">
      <c r="G348" s="1255"/>
      <c r="H348" s="1254"/>
      <c r="I348" s="1254"/>
      <c r="J348" s="1254"/>
      <c r="K348" s="1254"/>
      <c r="L348" s="1254"/>
      <c r="M348" s="1254"/>
      <c r="N348" s="1254"/>
      <c r="O348" s="1254"/>
      <c r="P348" s="1254"/>
      <c r="Q348" s="1254"/>
      <c r="R348" s="1254"/>
      <c r="S348" s="1254"/>
      <c r="T348" s="1254"/>
      <c r="U348" s="1254"/>
    </row>
    <row r="349" spans="7:21" ht="15.6">
      <c r="G349" s="1255"/>
      <c r="H349" s="1254"/>
      <c r="I349" s="1254"/>
      <c r="J349" s="1254"/>
      <c r="K349" s="1254"/>
      <c r="L349" s="1254"/>
      <c r="M349" s="1254"/>
      <c r="N349" s="1254"/>
      <c r="O349" s="1254"/>
      <c r="P349" s="1254"/>
      <c r="Q349" s="1254"/>
      <c r="R349" s="1254"/>
      <c r="S349" s="1254"/>
      <c r="T349" s="1254"/>
      <c r="U349" s="1254"/>
    </row>
    <row r="350" spans="7:21" ht="15.6">
      <c r="G350" s="1255"/>
      <c r="H350" s="1254"/>
      <c r="I350" s="1254"/>
      <c r="J350" s="1254"/>
      <c r="K350" s="1254"/>
      <c r="L350" s="1254"/>
      <c r="M350" s="1254"/>
      <c r="N350" s="1254"/>
      <c r="O350" s="1254"/>
      <c r="P350" s="1254"/>
      <c r="Q350" s="1254"/>
      <c r="R350" s="1254"/>
      <c r="S350" s="1254"/>
      <c r="T350" s="1254"/>
      <c r="U350" s="1254"/>
    </row>
    <row r="351" spans="7:21" ht="15.6">
      <c r="G351" s="1255"/>
      <c r="H351" s="1254"/>
      <c r="I351" s="1254"/>
      <c r="J351" s="1254"/>
      <c r="K351" s="1254"/>
      <c r="L351" s="1254"/>
      <c r="M351" s="1254"/>
      <c r="N351" s="1254"/>
      <c r="O351" s="1254"/>
      <c r="P351" s="1254"/>
      <c r="Q351" s="1254"/>
      <c r="R351" s="1254"/>
      <c r="S351" s="1254"/>
      <c r="T351" s="1254"/>
      <c r="U351" s="1254"/>
    </row>
    <row r="352" spans="7:21" ht="15.6">
      <c r="G352" s="1255"/>
      <c r="H352" s="1254"/>
      <c r="I352" s="1254"/>
      <c r="J352" s="1254"/>
      <c r="K352" s="1254"/>
      <c r="L352" s="1254"/>
      <c r="M352" s="1254"/>
      <c r="N352" s="1254"/>
      <c r="O352" s="1254"/>
      <c r="P352" s="1254"/>
      <c r="Q352" s="1254"/>
      <c r="R352" s="1254"/>
      <c r="S352" s="1254"/>
      <c r="T352" s="1254"/>
      <c r="U352" s="1254"/>
    </row>
    <row r="353" spans="7:21" ht="15.6">
      <c r="G353" s="1255"/>
      <c r="H353" s="1254"/>
      <c r="I353" s="1254"/>
      <c r="J353" s="1254"/>
      <c r="K353" s="1254"/>
      <c r="L353" s="1254"/>
      <c r="M353" s="1254"/>
      <c r="N353" s="1254"/>
      <c r="O353" s="1254"/>
      <c r="P353" s="1254"/>
      <c r="Q353" s="1254"/>
      <c r="R353" s="1254"/>
      <c r="S353" s="1254"/>
      <c r="T353" s="1254"/>
      <c r="U353" s="1254"/>
    </row>
    <row r="354" spans="7:21" ht="15.6">
      <c r="G354" s="1255"/>
      <c r="H354" s="1254"/>
      <c r="I354" s="1254"/>
      <c r="J354" s="1254"/>
      <c r="K354" s="1254"/>
      <c r="L354" s="1254"/>
      <c r="M354" s="1254"/>
      <c r="N354" s="1254"/>
      <c r="O354" s="1254"/>
      <c r="P354" s="1254"/>
      <c r="Q354" s="1254"/>
      <c r="R354" s="1254"/>
      <c r="S354" s="1254"/>
      <c r="T354" s="1254"/>
      <c r="U354" s="1254"/>
    </row>
    <row r="355" spans="7:21" ht="15.6">
      <c r="G355" s="1255"/>
      <c r="H355" s="1254"/>
      <c r="I355" s="1254"/>
      <c r="J355" s="1254"/>
      <c r="K355" s="1254"/>
      <c r="L355" s="1254"/>
      <c r="M355" s="1254"/>
      <c r="N355" s="1254"/>
      <c r="O355" s="1254"/>
      <c r="P355" s="1254"/>
      <c r="Q355" s="1254"/>
      <c r="R355" s="1254"/>
      <c r="S355" s="1254"/>
      <c r="T355" s="1254"/>
      <c r="U355" s="1254"/>
    </row>
    <row r="356" spans="7:21" ht="15.6">
      <c r="G356" s="1255"/>
      <c r="H356" s="1254"/>
      <c r="I356" s="1254"/>
      <c r="J356" s="1254"/>
      <c r="K356" s="1254"/>
      <c r="L356" s="1254"/>
      <c r="M356" s="1254"/>
      <c r="N356" s="1254"/>
      <c r="O356" s="1254"/>
      <c r="P356" s="1254"/>
      <c r="Q356" s="1254"/>
      <c r="R356" s="1254"/>
      <c r="S356" s="1254"/>
      <c r="T356" s="1254"/>
      <c r="U356" s="1254"/>
    </row>
    <row r="357" spans="7:21" ht="15.6">
      <c r="G357" s="1255"/>
      <c r="H357" s="1254"/>
      <c r="I357" s="1254"/>
      <c r="J357" s="1254"/>
      <c r="K357" s="1254"/>
      <c r="L357" s="1254"/>
      <c r="M357" s="1254"/>
      <c r="N357" s="1254"/>
      <c r="O357" s="1254"/>
      <c r="P357" s="1254"/>
      <c r="Q357" s="1254"/>
      <c r="R357" s="1254"/>
      <c r="S357" s="1254"/>
      <c r="T357" s="1254"/>
      <c r="U357" s="1254"/>
    </row>
    <row r="358" spans="7:21" ht="15.6">
      <c r="G358" s="1255"/>
      <c r="H358" s="1254"/>
      <c r="I358" s="1254"/>
      <c r="J358" s="1254"/>
      <c r="K358" s="1254"/>
      <c r="L358" s="1254"/>
      <c r="M358" s="1254"/>
      <c r="N358" s="1254"/>
      <c r="O358" s="1254"/>
      <c r="P358" s="1254"/>
      <c r="Q358" s="1254"/>
      <c r="R358" s="1254"/>
      <c r="S358" s="1254"/>
      <c r="T358" s="1254"/>
      <c r="U358" s="1254"/>
    </row>
    <row r="359" spans="7:21" ht="15.6">
      <c r="G359" s="1255"/>
      <c r="H359" s="1254"/>
      <c r="I359" s="1254"/>
      <c r="J359" s="1254"/>
      <c r="K359" s="1254"/>
      <c r="L359" s="1254"/>
      <c r="M359" s="1254"/>
      <c r="N359" s="1254"/>
      <c r="O359" s="1254"/>
      <c r="P359" s="1254"/>
      <c r="Q359" s="1254"/>
      <c r="R359" s="1254"/>
      <c r="S359" s="1254"/>
      <c r="T359" s="1254"/>
      <c r="U359" s="1254"/>
    </row>
    <row r="360" spans="7:21" ht="15.6">
      <c r="G360" s="1255"/>
      <c r="H360" s="1254"/>
      <c r="I360" s="1254"/>
      <c r="J360" s="1254"/>
      <c r="K360" s="1254"/>
      <c r="L360" s="1254"/>
      <c r="M360" s="1254"/>
      <c r="N360" s="1254"/>
      <c r="O360" s="1254"/>
      <c r="P360" s="1254"/>
      <c r="Q360" s="1254"/>
      <c r="R360" s="1254"/>
      <c r="S360" s="1254"/>
      <c r="T360" s="1254"/>
      <c r="U360" s="1254"/>
    </row>
    <row r="361" spans="7:21" ht="15.6">
      <c r="G361" s="1255"/>
      <c r="H361" s="1254"/>
      <c r="I361" s="1254"/>
      <c r="J361" s="1254"/>
      <c r="K361" s="1254"/>
      <c r="L361" s="1254"/>
      <c r="M361" s="1254"/>
      <c r="N361" s="1254"/>
      <c r="O361" s="1254"/>
      <c r="P361" s="1254"/>
      <c r="Q361" s="1254"/>
      <c r="R361" s="1254"/>
      <c r="S361" s="1254"/>
      <c r="T361" s="1254"/>
      <c r="U361" s="1254"/>
    </row>
    <row r="362" spans="7:21" ht="15.6">
      <c r="G362" s="1255"/>
      <c r="H362" s="1254"/>
      <c r="I362" s="1254"/>
      <c r="J362" s="1254"/>
      <c r="K362" s="1254"/>
      <c r="L362" s="1254"/>
      <c r="M362" s="1254"/>
      <c r="N362" s="1254"/>
      <c r="O362" s="1254"/>
      <c r="P362" s="1254"/>
      <c r="Q362" s="1254"/>
      <c r="R362" s="1254"/>
      <c r="S362" s="1254"/>
      <c r="T362" s="1254"/>
      <c r="U362" s="1254"/>
    </row>
    <row r="363" spans="7:21" ht="15.6">
      <c r="G363" s="1255"/>
      <c r="H363" s="1254"/>
      <c r="I363" s="1254"/>
      <c r="J363" s="1254"/>
      <c r="K363" s="1254"/>
      <c r="L363" s="1254"/>
      <c r="M363" s="1254"/>
      <c r="N363" s="1254"/>
      <c r="O363" s="1254"/>
      <c r="P363" s="1254"/>
      <c r="Q363" s="1254"/>
      <c r="R363" s="1254"/>
      <c r="S363" s="1254"/>
      <c r="T363" s="1254"/>
      <c r="U363" s="1254"/>
    </row>
    <row r="364" spans="7:21" ht="15.6">
      <c r="G364" s="1255"/>
      <c r="H364" s="1254"/>
      <c r="I364" s="1254"/>
      <c r="J364" s="1254"/>
      <c r="K364" s="1254"/>
      <c r="L364" s="1254"/>
      <c r="M364" s="1254"/>
      <c r="N364" s="1254"/>
      <c r="O364" s="1254"/>
      <c r="P364" s="1254"/>
      <c r="Q364" s="1254"/>
      <c r="R364" s="1254"/>
      <c r="S364" s="1254"/>
      <c r="T364" s="1254"/>
      <c r="U364" s="1254"/>
    </row>
    <row r="365" spans="7:21" ht="15.6">
      <c r="G365" s="1255"/>
      <c r="H365" s="1254"/>
      <c r="I365" s="1254"/>
      <c r="J365" s="1254"/>
      <c r="K365" s="1254"/>
      <c r="L365" s="1254"/>
      <c r="M365" s="1254"/>
      <c r="N365" s="1254"/>
      <c r="O365" s="1254"/>
      <c r="P365" s="1254"/>
      <c r="Q365" s="1254"/>
      <c r="R365" s="1254"/>
      <c r="S365" s="1254"/>
      <c r="T365" s="1254"/>
      <c r="U365" s="1254"/>
    </row>
    <row r="366" spans="7:21" ht="15.6">
      <c r="G366" s="1255"/>
      <c r="H366" s="1254"/>
      <c r="I366" s="1254"/>
      <c r="J366" s="1254"/>
      <c r="K366" s="1254"/>
      <c r="L366" s="1254"/>
      <c r="M366" s="1254"/>
      <c r="N366" s="1254"/>
      <c r="O366" s="1254"/>
      <c r="P366" s="1254"/>
      <c r="Q366" s="1254"/>
      <c r="R366" s="1254"/>
      <c r="S366" s="1254"/>
      <c r="T366" s="1254"/>
      <c r="U366" s="1254"/>
    </row>
    <row r="367" spans="7:21" ht="15.6">
      <c r="G367" s="1255"/>
      <c r="H367" s="1254"/>
      <c r="I367" s="1254"/>
      <c r="J367" s="1254"/>
      <c r="K367" s="1254"/>
      <c r="L367" s="1254"/>
      <c r="M367" s="1254"/>
      <c r="N367" s="1254"/>
      <c r="O367" s="1254"/>
      <c r="P367" s="1254"/>
      <c r="Q367" s="1254"/>
      <c r="R367" s="1254"/>
      <c r="S367" s="1254"/>
      <c r="T367" s="1254"/>
      <c r="U367" s="1254"/>
    </row>
    <row r="368" spans="7:21" ht="15.6">
      <c r="G368" s="1255"/>
      <c r="H368" s="1254"/>
      <c r="I368" s="1254"/>
      <c r="J368" s="1254"/>
      <c r="K368" s="1254"/>
      <c r="L368" s="1254"/>
      <c r="M368" s="1254"/>
      <c r="N368" s="1254"/>
      <c r="O368" s="1254"/>
      <c r="P368" s="1254"/>
      <c r="Q368" s="1254"/>
      <c r="R368" s="1254"/>
      <c r="S368" s="1254"/>
      <c r="T368" s="1254"/>
      <c r="U368" s="1254"/>
    </row>
    <row r="369" spans="7:21" ht="15.6">
      <c r="G369" s="1255"/>
      <c r="H369" s="1254"/>
      <c r="I369" s="1254"/>
      <c r="J369" s="1254"/>
      <c r="K369" s="1254"/>
      <c r="L369" s="1254"/>
      <c r="M369" s="1254"/>
      <c r="N369" s="1254"/>
      <c r="O369" s="1254"/>
      <c r="P369" s="1254"/>
      <c r="Q369" s="1254"/>
      <c r="R369" s="1254"/>
      <c r="S369" s="1254"/>
      <c r="T369" s="1254"/>
      <c r="U369" s="1254"/>
    </row>
    <row r="370" spans="7:21" ht="15.6">
      <c r="G370" s="1255"/>
      <c r="H370" s="1254"/>
      <c r="I370" s="1254"/>
      <c r="J370" s="1254"/>
      <c r="K370" s="1254"/>
      <c r="L370" s="1254"/>
      <c r="M370" s="1254"/>
      <c r="N370" s="1254"/>
      <c r="O370" s="1254"/>
      <c r="P370" s="1254"/>
      <c r="Q370" s="1254"/>
      <c r="R370" s="1254"/>
      <c r="S370" s="1254"/>
      <c r="T370" s="1254"/>
      <c r="U370" s="1254"/>
    </row>
    <row r="371" spans="7:21" ht="15.6">
      <c r="G371" s="1255"/>
      <c r="H371" s="1254"/>
      <c r="I371" s="1254"/>
      <c r="J371" s="1254"/>
      <c r="K371" s="1254"/>
      <c r="L371" s="1254"/>
      <c r="M371" s="1254"/>
      <c r="N371" s="1254"/>
      <c r="O371" s="1254"/>
      <c r="P371" s="1254"/>
      <c r="Q371" s="1254"/>
      <c r="R371" s="1254"/>
      <c r="S371" s="1254"/>
      <c r="T371" s="1254"/>
      <c r="U371" s="1254"/>
    </row>
    <row r="372" spans="7:21" ht="15.6">
      <c r="G372" s="1255"/>
      <c r="H372" s="1254"/>
      <c r="I372" s="1254"/>
      <c r="J372" s="1254"/>
      <c r="K372" s="1254"/>
      <c r="L372" s="1254"/>
      <c r="M372" s="1254"/>
      <c r="N372" s="1254"/>
      <c r="O372" s="1254"/>
      <c r="P372" s="1254"/>
      <c r="Q372" s="1254"/>
      <c r="R372" s="1254"/>
      <c r="S372" s="1254"/>
      <c r="T372" s="1254"/>
      <c r="U372" s="1254"/>
    </row>
    <row r="373" spans="7:21" ht="15.6">
      <c r="G373" s="1255"/>
      <c r="H373" s="1254"/>
      <c r="I373" s="1254"/>
      <c r="J373" s="1254"/>
      <c r="K373" s="1254"/>
      <c r="L373" s="1254"/>
      <c r="M373" s="1254"/>
      <c r="N373" s="1254"/>
      <c r="O373" s="1254"/>
      <c r="P373" s="1254"/>
      <c r="Q373" s="1254"/>
      <c r="R373" s="1254"/>
      <c r="S373" s="1254"/>
      <c r="T373" s="1254"/>
      <c r="U373" s="1254"/>
    </row>
    <row r="374" spans="7:21" ht="15.6">
      <c r="G374" s="1255"/>
      <c r="H374" s="1254"/>
      <c r="I374" s="1254"/>
      <c r="J374" s="1254"/>
      <c r="K374" s="1254"/>
      <c r="L374" s="1254"/>
      <c r="M374" s="1254"/>
      <c r="N374" s="1254"/>
      <c r="O374" s="1254"/>
      <c r="P374" s="1254"/>
      <c r="Q374" s="1254"/>
      <c r="R374" s="1254"/>
      <c r="S374" s="1254"/>
      <c r="T374" s="1254"/>
      <c r="U374" s="1254"/>
    </row>
    <row r="375" spans="7:21" ht="15.6">
      <c r="G375" s="1255"/>
      <c r="H375" s="1254"/>
      <c r="I375" s="1254"/>
      <c r="J375" s="1254"/>
      <c r="K375" s="1254"/>
      <c r="L375" s="1254"/>
      <c r="M375" s="1254"/>
      <c r="N375" s="1254"/>
      <c r="O375" s="1254"/>
      <c r="P375" s="1254"/>
      <c r="Q375" s="1254"/>
      <c r="R375" s="1254"/>
      <c r="S375" s="1254"/>
      <c r="T375" s="1254"/>
      <c r="U375" s="1254"/>
    </row>
    <row r="376" spans="7:21" ht="15.6">
      <c r="G376" s="1255"/>
      <c r="H376" s="1254"/>
      <c r="I376" s="1254"/>
      <c r="J376" s="1254"/>
      <c r="K376" s="1254"/>
      <c r="L376" s="1254"/>
      <c r="M376" s="1254"/>
      <c r="N376" s="1254"/>
      <c r="O376" s="1254"/>
      <c r="P376" s="1254"/>
      <c r="Q376" s="1254"/>
      <c r="R376" s="1254"/>
      <c r="S376" s="1254"/>
      <c r="T376" s="1254"/>
      <c r="U376" s="1254"/>
    </row>
    <row r="377" spans="7:21" ht="15.6">
      <c r="G377" s="1255"/>
      <c r="H377" s="1254"/>
      <c r="I377" s="1254"/>
      <c r="J377" s="1254"/>
      <c r="K377" s="1254"/>
      <c r="L377" s="1254"/>
      <c r="M377" s="1254"/>
      <c r="N377" s="1254"/>
      <c r="O377" s="1254"/>
      <c r="P377" s="1254"/>
      <c r="Q377" s="1254"/>
      <c r="R377" s="1254"/>
      <c r="S377" s="1254"/>
      <c r="T377" s="1254"/>
      <c r="U377" s="1254"/>
    </row>
    <row r="378" spans="7:21" ht="15.6">
      <c r="G378" s="1255"/>
      <c r="H378" s="1254"/>
      <c r="I378" s="1254"/>
      <c r="J378" s="1254"/>
      <c r="K378" s="1254"/>
      <c r="L378" s="1254"/>
      <c r="M378" s="1254"/>
      <c r="N378" s="1254"/>
      <c r="O378" s="1254"/>
      <c r="P378" s="1254"/>
      <c r="Q378" s="1254"/>
      <c r="R378" s="1254"/>
      <c r="S378" s="1254"/>
      <c r="T378" s="1254"/>
      <c r="U378" s="1254"/>
    </row>
    <row r="379" spans="7:21" ht="15.6">
      <c r="G379" s="1255"/>
      <c r="H379" s="1254"/>
      <c r="I379" s="1254"/>
      <c r="J379" s="1254"/>
      <c r="K379" s="1254"/>
      <c r="L379" s="1254"/>
      <c r="M379" s="1254"/>
      <c r="N379" s="1254"/>
      <c r="O379" s="1254"/>
      <c r="P379" s="1254"/>
      <c r="Q379" s="1254"/>
      <c r="R379" s="1254"/>
      <c r="S379" s="1254"/>
      <c r="T379" s="1254"/>
      <c r="U379" s="1254"/>
    </row>
    <row r="380" spans="7:21" ht="15.6">
      <c r="G380" s="1255"/>
      <c r="H380" s="1254"/>
      <c r="I380" s="1254"/>
      <c r="J380" s="1254"/>
      <c r="K380" s="1254"/>
      <c r="L380" s="1254"/>
      <c r="M380" s="1254"/>
      <c r="N380" s="1254"/>
      <c r="O380" s="1254"/>
      <c r="P380" s="1254"/>
      <c r="Q380" s="1254"/>
      <c r="R380" s="1254"/>
      <c r="S380" s="1254"/>
      <c r="T380" s="1254"/>
      <c r="U380" s="1254"/>
    </row>
    <row r="381" spans="7:21" ht="15.6">
      <c r="G381" s="1255"/>
      <c r="H381" s="1254"/>
      <c r="I381" s="1254"/>
      <c r="J381" s="1254"/>
      <c r="K381" s="1254"/>
      <c r="L381" s="1254"/>
      <c r="M381" s="1254"/>
      <c r="N381" s="1254"/>
      <c r="O381" s="1254"/>
      <c r="P381" s="1254"/>
      <c r="Q381" s="1254"/>
      <c r="R381" s="1254"/>
      <c r="S381" s="1254"/>
      <c r="T381" s="1254"/>
      <c r="U381" s="1254"/>
    </row>
    <row r="382" spans="7:21" ht="15.6">
      <c r="G382" s="1255"/>
      <c r="H382" s="1254"/>
      <c r="I382" s="1254"/>
      <c r="J382" s="1254"/>
      <c r="K382" s="1254"/>
      <c r="L382" s="1254"/>
      <c r="M382" s="1254"/>
      <c r="N382" s="1254"/>
      <c r="O382" s="1254"/>
      <c r="P382" s="1254"/>
      <c r="Q382" s="1254"/>
      <c r="R382" s="1254"/>
      <c r="S382" s="1254"/>
      <c r="T382" s="1254"/>
      <c r="U382" s="1254"/>
    </row>
    <row r="383" spans="7:21" ht="15.6">
      <c r="G383" s="1255"/>
      <c r="H383" s="1254"/>
      <c r="I383" s="1254"/>
      <c r="J383" s="1254"/>
      <c r="K383" s="1254"/>
      <c r="L383" s="1254"/>
      <c r="M383" s="1254"/>
      <c r="N383" s="1254"/>
      <c r="O383" s="1254"/>
      <c r="P383" s="1254"/>
      <c r="Q383" s="1254"/>
      <c r="R383" s="1254"/>
      <c r="S383" s="1254"/>
      <c r="T383" s="1254"/>
      <c r="U383" s="1254"/>
    </row>
    <row r="384" spans="7:21" ht="15.6">
      <c r="G384" s="1255"/>
      <c r="H384" s="1254"/>
      <c r="I384" s="1254"/>
      <c r="J384" s="1254"/>
      <c r="K384" s="1254"/>
      <c r="L384" s="1254"/>
      <c r="M384" s="1254"/>
      <c r="N384" s="1254"/>
      <c r="O384" s="1254"/>
      <c r="P384" s="1254"/>
      <c r="Q384" s="1254"/>
      <c r="R384" s="1254"/>
      <c r="S384" s="1254"/>
      <c r="T384" s="1254"/>
      <c r="U384" s="1254"/>
    </row>
    <row r="385" spans="7:21" ht="15.6">
      <c r="G385" s="1255"/>
      <c r="H385" s="1254"/>
      <c r="I385" s="1254"/>
      <c r="J385" s="1254"/>
      <c r="K385" s="1254"/>
      <c r="L385" s="1254"/>
      <c r="M385" s="1254"/>
      <c r="N385" s="1254"/>
      <c r="O385" s="1254"/>
      <c r="P385" s="1254"/>
      <c r="Q385" s="1254"/>
      <c r="R385" s="1254"/>
      <c r="S385" s="1254"/>
      <c r="T385" s="1254"/>
      <c r="U385" s="1254"/>
    </row>
    <row r="386" spans="7:21" ht="15.6">
      <c r="G386" s="1255"/>
      <c r="H386" s="1254"/>
      <c r="I386" s="1254"/>
      <c r="J386" s="1254"/>
      <c r="K386" s="1254"/>
      <c r="L386" s="1254"/>
      <c r="M386" s="1254"/>
      <c r="N386" s="1254"/>
      <c r="O386" s="1254"/>
      <c r="P386" s="1254"/>
      <c r="Q386" s="1254"/>
      <c r="R386" s="1254"/>
      <c r="S386" s="1254"/>
      <c r="T386" s="1254"/>
      <c r="U386" s="1254"/>
    </row>
    <row r="387" spans="7:21" ht="15.6">
      <c r="G387" s="1255"/>
      <c r="H387" s="1254"/>
      <c r="I387" s="1254"/>
      <c r="J387" s="1254"/>
      <c r="K387" s="1254"/>
      <c r="L387" s="1254"/>
      <c r="M387" s="1254"/>
      <c r="N387" s="1254"/>
      <c r="O387" s="1254"/>
      <c r="P387" s="1254"/>
      <c r="Q387" s="1254"/>
      <c r="R387" s="1254"/>
      <c r="S387" s="1254"/>
      <c r="T387" s="1254"/>
      <c r="U387" s="1254"/>
    </row>
    <row r="388" spans="7:21" ht="15.6">
      <c r="G388" s="1255"/>
      <c r="H388" s="1254"/>
      <c r="I388" s="1254"/>
      <c r="J388" s="1254"/>
      <c r="K388" s="1254"/>
      <c r="L388" s="1254"/>
      <c r="M388" s="1254"/>
      <c r="N388" s="1254"/>
      <c r="O388" s="1254"/>
      <c r="P388" s="1254"/>
      <c r="Q388" s="1254"/>
      <c r="R388" s="1254"/>
      <c r="S388" s="1254"/>
      <c r="T388" s="1254"/>
      <c r="U388" s="1254"/>
    </row>
    <row r="389" spans="7:21" ht="15.6">
      <c r="G389" s="1255"/>
      <c r="H389" s="1254"/>
      <c r="I389" s="1254"/>
      <c r="J389" s="1254"/>
      <c r="K389" s="1254"/>
      <c r="L389" s="1254"/>
      <c r="M389" s="1254"/>
      <c r="N389" s="1254"/>
      <c r="O389" s="1254"/>
      <c r="P389" s="1254"/>
      <c r="Q389" s="1254"/>
      <c r="R389" s="1254"/>
      <c r="S389" s="1254"/>
      <c r="T389" s="1254"/>
      <c r="U389" s="1254"/>
    </row>
    <row r="390" spans="7:21" ht="15.6">
      <c r="G390" s="1255"/>
      <c r="H390" s="1254"/>
      <c r="I390" s="1254"/>
      <c r="J390" s="1254"/>
      <c r="K390" s="1254"/>
      <c r="L390" s="1254"/>
      <c r="M390" s="1254"/>
      <c r="N390" s="1254"/>
      <c r="O390" s="1254"/>
      <c r="P390" s="1254"/>
      <c r="Q390" s="1254"/>
      <c r="R390" s="1254"/>
      <c r="S390" s="1254"/>
      <c r="T390" s="1254"/>
      <c r="U390" s="1254"/>
    </row>
    <row r="391" spans="7:21" ht="15.6">
      <c r="G391" s="1255"/>
      <c r="H391" s="1254"/>
      <c r="I391" s="1254"/>
      <c r="J391" s="1254"/>
      <c r="K391" s="1254"/>
      <c r="L391" s="1254"/>
      <c r="M391" s="1254"/>
      <c r="N391" s="1254"/>
      <c r="O391" s="1254"/>
      <c r="P391" s="1254"/>
      <c r="Q391" s="1254"/>
      <c r="R391" s="1254"/>
      <c r="S391" s="1254"/>
      <c r="T391" s="1254"/>
      <c r="U391" s="1254"/>
    </row>
    <row r="392" spans="7:21" ht="15.6">
      <c r="G392" s="1255"/>
      <c r="H392" s="1254"/>
      <c r="I392" s="1254"/>
      <c r="J392" s="1254"/>
      <c r="K392" s="1254"/>
      <c r="L392" s="1254"/>
      <c r="M392" s="1254"/>
      <c r="N392" s="1254"/>
      <c r="O392" s="1254"/>
      <c r="P392" s="1254"/>
      <c r="Q392" s="1254"/>
      <c r="R392" s="1254"/>
      <c r="S392" s="1254"/>
      <c r="T392" s="1254"/>
      <c r="U392" s="1254"/>
    </row>
    <row r="393" spans="7:21" ht="15.6">
      <c r="G393" s="1255"/>
      <c r="H393" s="1254"/>
      <c r="I393" s="1254"/>
      <c r="J393" s="1254"/>
      <c r="K393" s="1254"/>
      <c r="L393" s="1254"/>
      <c r="M393" s="1254"/>
      <c r="N393" s="1254"/>
      <c r="O393" s="1254"/>
      <c r="P393" s="1254"/>
      <c r="Q393" s="1254"/>
      <c r="R393" s="1254"/>
      <c r="S393" s="1254"/>
      <c r="T393" s="1254"/>
      <c r="U393" s="1254"/>
    </row>
    <row r="394" spans="7:21" ht="15.6">
      <c r="G394" s="1255"/>
      <c r="H394" s="1254"/>
      <c r="I394" s="1254"/>
      <c r="J394" s="1254"/>
      <c r="K394" s="1254"/>
      <c r="L394" s="1254"/>
      <c r="M394" s="1254"/>
      <c r="N394" s="1254"/>
      <c r="O394" s="1254"/>
      <c r="P394" s="1254"/>
      <c r="Q394" s="1254"/>
      <c r="R394" s="1254"/>
      <c r="S394" s="1254"/>
      <c r="T394" s="1254"/>
      <c r="U394" s="1254"/>
    </row>
    <row r="395" spans="7:21" ht="15.6">
      <c r="G395" s="1255"/>
      <c r="H395" s="1254"/>
      <c r="I395" s="1254"/>
      <c r="J395" s="1254"/>
      <c r="K395" s="1254"/>
      <c r="L395" s="1254"/>
      <c r="M395" s="1254"/>
      <c r="N395" s="1254"/>
      <c r="O395" s="1254"/>
      <c r="P395" s="1254"/>
      <c r="Q395" s="1254"/>
      <c r="R395" s="1254"/>
      <c r="S395" s="1254"/>
      <c r="T395" s="1254"/>
      <c r="U395" s="1254"/>
    </row>
    <row r="396" spans="7:21" ht="15.6">
      <c r="G396" s="1255"/>
      <c r="H396" s="1254"/>
      <c r="I396" s="1254"/>
      <c r="J396" s="1254"/>
      <c r="K396" s="1254"/>
      <c r="L396" s="1254"/>
      <c r="M396" s="1254"/>
      <c r="N396" s="1254"/>
      <c r="O396" s="1254"/>
      <c r="P396" s="1254"/>
      <c r="Q396" s="1254"/>
      <c r="R396" s="1254"/>
      <c r="S396" s="1254"/>
      <c r="T396" s="1254"/>
      <c r="U396" s="1254"/>
    </row>
    <row r="397" spans="7:21" ht="15.6">
      <c r="G397" s="1255"/>
      <c r="H397" s="1254"/>
      <c r="I397" s="1254"/>
      <c r="J397" s="1254"/>
      <c r="K397" s="1254"/>
      <c r="L397" s="1254"/>
      <c r="M397" s="1254"/>
      <c r="N397" s="1254"/>
      <c r="O397" s="1254"/>
      <c r="P397" s="1254"/>
      <c r="Q397" s="1254"/>
      <c r="R397" s="1254"/>
      <c r="S397" s="1254"/>
      <c r="T397" s="1254"/>
      <c r="U397" s="1254"/>
    </row>
    <row r="398" spans="7:21" ht="15.6">
      <c r="G398" s="1255"/>
      <c r="H398" s="1254"/>
      <c r="I398" s="1254"/>
      <c r="J398" s="1254"/>
      <c r="K398" s="1254"/>
      <c r="L398" s="1254"/>
      <c r="M398" s="1254"/>
      <c r="N398" s="1254"/>
      <c r="O398" s="1254"/>
      <c r="P398" s="1254"/>
      <c r="Q398" s="1254"/>
      <c r="R398" s="1254"/>
      <c r="S398" s="1254"/>
      <c r="T398" s="1254"/>
      <c r="U398" s="1254"/>
    </row>
    <row r="399" spans="7:21" ht="15.6">
      <c r="G399" s="1255"/>
      <c r="H399" s="1254"/>
      <c r="I399" s="1254"/>
      <c r="J399" s="1254"/>
      <c r="K399" s="1254"/>
      <c r="L399" s="1254"/>
      <c r="M399" s="1254"/>
      <c r="N399" s="1254"/>
      <c r="O399" s="1254"/>
      <c r="P399" s="1254"/>
      <c r="Q399" s="1254"/>
      <c r="R399" s="1254"/>
      <c r="S399" s="1254"/>
      <c r="T399" s="1254"/>
      <c r="U399" s="1254"/>
    </row>
    <row r="400" spans="7:21" ht="15.6">
      <c r="G400" s="1255"/>
      <c r="H400" s="1254"/>
      <c r="I400" s="1254"/>
      <c r="J400" s="1254"/>
      <c r="K400" s="1254"/>
      <c r="L400" s="1254"/>
      <c r="M400" s="1254"/>
      <c r="N400" s="1254"/>
      <c r="O400" s="1254"/>
      <c r="P400" s="1254"/>
      <c r="Q400" s="1254"/>
      <c r="R400" s="1254"/>
      <c r="S400" s="1254"/>
      <c r="T400" s="1254"/>
      <c r="U400" s="1254"/>
    </row>
    <row r="401" spans="7:21" ht="15.6">
      <c r="G401" s="1255"/>
      <c r="H401" s="1254"/>
      <c r="I401" s="1254"/>
      <c r="J401" s="1254"/>
      <c r="K401" s="1254"/>
      <c r="L401" s="1254"/>
      <c r="M401" s="1254"/>
      <c r="N401" s="1254"/>
      <c r="O401" s="1254"/>
      <c r="P401" s="1254"/>
      <c r="Q401" s="1254"/>
      <c r="R401" s="1254"/>
      <c r="S401" s="1254"/>
      <c r="T401" s="1254"/>
      <c r="U401" s="1254"/>
    </row>
    <row r="402" spans="7:21" ht="15.6">
      <c r="G402" s="1255"/>
      <c r="H402" s="1254"/>
      <c r="I402" s="1254"/>
      <c r="J402" s="1254"/>
      <c r="K402" s="1254"/>
      <c r="L402" s="1254"/>
      <c r="M402" s="1254"/>
      <c r="N402" s="1254"/>
      <c r="O402" s="1254"/>
      <c r="P402" s="1254"/>
      <c r="Q402" s="1254"/>
      <c r="R402" s="1254"/>
      <c r="S402" s="1254"/>
      <c r="T402" s="1254"/>
      <c r="U402" s="1254"/>
    </row>
    <row r="403" spans="7:21" ht="15.6">
      <c r="G403" s="1255"/>
      <c r="H403" s="1254"/>
      <c r="I403" s="1254"/>
      <c r="J403" s="1254"/>
      <c r="K403" s="1254"/>
      <c r="L403" s="1254"/>
      <c r="M403" s="1254"/>
      <c r="N403" s="1254"/>
      <c r="O403" s="1254"/>
      <c r="P403" s="1254"/>
      <c r="Q403" s="1254"/>
      <c r="R403" s="1254"/>
      <c r="S403" s="1254"/>
      <c r="T403" s="1254"/>
      <c r="U403" s="1254"/>
    </row>
    <row r="404" spans="7:21" ht="15.6">
      <c r="G404" s="1255"/>
      <c r="H404" s="1254"/>
      <c r="I404" s="1254"/>
      <c r="J404" s="1254"/>
      <c r="K404" s="1254"/>
      <c r="L404" s="1254"/>
      <c r="M404" s="1254"/>
      <c r="N404" s="1254"/>
      <c r="O404" s="1254"/>
      <c r="P404" s="1254"/>
      <c r="Q404" s="1254"/>
      <c r="R404" s="1254"/>
      <c r="S404" s="1254"/>
      <c r="T404" s="1254"/>
      <c r="U404" s="1254"/>
    </row>
    <row r="405" spans="7:21" ht="15.6">
      <c r="G405" s="1255"/>
      <c r="H405" s="1254"/>
      <c r="I405" s="1254"/>
      <c r="J405" s="1254"/>
      <c r="K405" s="1254"/>
      <c r="L405" s="1254"/>
      <c r="M405" s="1254"/>
      <c r="N405" s="1254"/>
      <c r="O405" s="1254"/>
      <c r="P405" s="1254"/>
      <c r="Q405" s="1254"/>
      <c r="R405" s="1254"/>
      <c r="S405" s="1254"/>
      <c r="T405" s="1254"/>
      <c r="U405" s="1254"/>
    </row>
    <row r="406" spans="7:21" ht="15.6">
      <c r="G406" s="1255"/>
      <c r="H406" s="1254"/>
      <c r="I406" s="1254"/>
      <c r="J406" s="1254"/>
      <c r="K406" s="1254"/>
      <c r="L406" s="1254"/>
      <c r="M406" s="1254"/>
      <c r="N406" s="1254"/>
      <c r="O406" s="1254"/>
      <c r="P406" s="1254"/>
      <c r="Q406" s="1254"/>
      <c r="R406" s="1254"/>
      <c r="S406" s="1254"/>
      <c r="T406" s="1254"/>
      <c r="U406" s="1254"/>
    </row>
    <row r="407" spans="7:21" ht="15.6">
      <c r="G407" s="1255"/>
      <c r="H407" s="1254"/>
      <c r="I407" s="1254"/>
      <c r="J407" s="1254"/>
      <c r="K407" s="1254"/>
      <c r="L407" s="1254"/>
      <c r="M407" s="1254"/>
      <c r="N407" s="1254"/>
      <c r="O407" s="1254"/>
      <c r="P407" s="1254"/>
      <c r="Q407" s="1254"/>
      <c r="R407" s="1254"/>
      <c r="S407" s="1254"/>
      <c r="T407" s="1254"/>
      <c r="U407" s="1254"/>
    </row>
    <row r="408" spans="7:21" ht="15.6">
      <c r="G408" s="1255"/>
      <c r="H408" s="1254"/>
      <c r="I408" s="1254"/>
      <c r="J408" s="1254"/>
      <c r="K408" s="1254"/>
      <c r="L408" s="1254"/>
      <c r="M408" s="1254"/>
      <c r="N408" s="1254"/>
      <c r="O408" s="1254"/>
      <c r="P408" s="1254"/>
      <c r="Q408" s="1254"/>
      <c r="R408" s="1254"/>
      <c r="S408" s="1254"/>
      <c r="T408" s="1254"/>
      <c r="U408" s="1254"/>
    </row>
    <row r="409" spans="7:21" ht="15.6">
      <c r="G409" s="1255"/>
      <c r="H409" s="1254"/>
      <c r="I409" s="1254"/>
      <c r="J409" s="1254"/>
      <c r="K409" s="1254"/>
      <c r="L409" s="1254"/>
      <c r="M409" s="1254"/>
      <c r="N409" s="1254"/>
      <c r="O409" s="1254"/>
      <c r="P409" s="1254"/>
      <c r="Q409" s="1254"/>
      <c r="R409" s="1254"/>
      <c r="S409" s="1254"/>
      <c r="T409" s="1254"/>
      <c r="U409" s="1254"/>
    </row>
    <row r="410" spans="7:21" ht="15.6">
      <c r="G410" s="1255"/>
      <c r="H410" s="1254"/>
      <c r="I410" s="1254"/>
      <c r="J410" s="1254"/>
      <c r="K410" s="1254"/>
      <c r="L410" s="1254"/>
      <c r="M410" s="1254"/>
      <c r="N410" s="1254"/>
      <c r="O410" s="1254"/>
      <c r="P410" s="1254"/>
      <c r="Q410" s="1254"/>
      <c r="R410" s="1254"/>
      <c r="S410" s="1254"/>
      <c r="T410" s="1254"/>
      <c r="U410" s="1254"/>
    </row>
    <row r="411" spans="7:21" ht="15.6">
      <c r="G411" s="1255"/>
      <c r="H411" s="1254"/>
      <c r="I411" s="1254"/>
      <c r="J411" s="1254"/>
      <c r="K411" s="1254"/>
      <c r="L411" s="1254"/>
      <c r="M411" s="1254"/>
      <c r="N411" s="1254"/>
      <c r="O411" s="1254"/>
      <c r="P411" s="1254"/>
      <c r="Q411" s="1254"/>
      <c r="R411" s="1254"/>
      <c r="S411" s="1254"/>
      <c r="T411" s="1254"/>
      <c r="U411" s="1254"/>
    </row>
    <row r="412" spans="7:21" ht="15.6">
      <c r="G412" s="1255"/>
      <c r="H412" s="1254"/>
      <c r="I412" s="1254"/>
      <c r="J412" s="1254"/>
      <c r="K412" s="1254"/>
      <c r="L412" s="1254"/>
      <c r="M412" s="1254"/>
      <c r="N412" s="1254"/>
      <c r="O412" s="1254"/>
      <c r="P412" s="1254"/>
      <c r="Q412" s="1254"/>
      <c r="R412" s="1254"/>
      <c r="S412" s="1254"/>
      <c r="T412" s="1254"/>
      <c r="U412" s="1254"/>
    </row>
    <row r="413" spans="7:21" ht="15.6">
      <c r="G413" s="1255"/>
      <c r="H413" s="1254"/>
      <c r="I413" s="1254"/>
      <c r="J413" s="1254"/>
      <c r="K413" s="1254"/>
      <c r="L413" s="1254"/>
      <c r="M413" s="1254"/>
      <c r="N413" s="1254"/>
      <c r="O413" s="1254"/>
      <c r="P413" s="1254"/>
      <c r="Q413" s="1254"/>
      <c r="R413" s="1254"/>
      <c r="S413" s="1254"/>
      <c r="T413" s="1254"/>
      <c r="U413" s="1254"/>
    </row>
    <row r="414" spans="7:21" ht="15.6">
      <c r="G414" s="1255"/>
      <c r="H414" s="1254"/>
      <c r="I414" s="1254"/>
      <c r="J414" s="1254"/>
      <c r="K414" s="1254"/>
      <c r="L414" s="1254"/>
      <c r="M414" s="1254"/>
      <c r="N414" s="1254"/>
      <c r="O414" s="1254"/>
      <c r="P414" s="1254"/>
      <c r="Q414" s="1254"/>
      <c r="R414" s="1254"/>
      <c r="S414" s="1254"/>
      <c r="T414" s="1254"/>
      <c r="U414" s="1254"/>
    </row>
    <row r="415" spans="7:21" ht="15.6">
      <c r="G415" s="1255"/>
      <c r="H415" s="1254"/>
      <c r="I415" s="1254"/>
      <c r="J415" s="1254"/>
      <c r="K415" s="1254"/>
      <c r="L415" s="1254"/>
      <c r="M415" s="1254"/>
      <c r="N415" s="1254"/>
      <c r="O415" s="1254"/>
      <c r="P415" s="1254"/>
      <c r="Q415" s="1254"/>
      <c r="R415" s="1254"/>
      <c r="S415" s="1254"/>
      <c r="T415" s="1254"/>
      <c r="U415" s="1254"/>
    </row>
    <row r="416" spans="7:21" ht="15.6">
      <c r="G416" s="1255"/>
      <c r="H416" s="1254"/>
      <c r="I416" s="1254"/>
      <c r="J416" s="1254"/>
      <c r="K416" s="1254"/>
      <c r="L416" s="1254"/>
      <c r="M416" s="1254"/>
      <c r="N416" s="1254"/>
      <c r="O416" s="1254"/>
      <c r="P416" s="1254"/>
      <c r="Q416" s="1254"/>
      <c r="R416" s="1254"/>
      <c r="S416" s="1254"/>
      <c r="T416" s="1254"/>
      <c r="U416" s="1254"/>
    </row>
    <row r="417" spans="7:21" ht="15.6">
      <c r="G417" s="1255"/>
      <c r="H417" s="1254"/>
      <c r="I417" s="1254"/>
      <c r="J417" s="1254"/>
      <c r="K417" s="1254"/>
      <c r="L417" s="1254"/>
      <c r="M417" s="1254"/>
      <c r="N417" s="1254"/>
      <c r="O417" s="1254"/>
      <c r="P417" s="1254"/>
      <c r="Q417" s="1254"/>
      <c r="R417" s="1254"/>
      <c r="S417" s="1254"/>
      <c r="T417" s="1254"/>
      <c r="U417" s="1254"/>
    </row>
    <row r="418" spans="7:21" ht="15.6">
      <c r="G418" s="1255"/>
      <c r="H418" s="1254"/>
      <c r="I418" s="1254"/>
      <c r="J418" s="1254"/>
      <c r="K418" s="1254"/>
      <c r="L418" s="1254"/>
      <c r="M418" s="1254"/>
      <c r="N418" s="1254"/>
      <c r="O418" s="1254"/>
      <c r="P418" s="1254"/>
      <c r="Q418" s="1254"/>
      <c r="R418" s="1254"/>
      <c r="S418" s="1254"/>
      <c r="T418" s="1254"/>
      <c r="U418" s="1254"/>
    </row>
    <row r="419" spans="7:21" ht="15.6">
      <c r="G419" s="1255"/>
      <c r="H419" s="1254"/>
      <c r="I419" s="1254"/>
      <c r="J419" s="1254"/>
      <c r="K419" s="1254"/>
      <c r="L419" s="1254"/>
      <c r="M419" s="1254"/>
      <c r="N419" s="1254"/>
      <c r="O419" s="1254"/>
      <c r="P419" s="1254"/>
      <c r="Q419" s="1254"/>
      <c r="R419" s="1254"/>
      <c r="S419" s="1254"/>
      <c r="T419" s="1254"/>
      <c r="U419" s="1254"/>
    </row>
    <row r="420" spans="7:21" ht="15.6">
      <c r="G420" s="1255"/>
      <c r="H420" s="1254"/>
      <c r="I420" s="1254"/>
      <c r="J420" s="1254"/>
      <c r="K420" s="1254"/>
      <c r="L420" s="1254"/>
      <c r="M420" s="1254"/>
      <c r="N420" s="1254"/>
      <c r="O420" s="1254"/>
      <c r="P420" s="1254"/>
      <c r="Q420" s="1254"/>
      <c r="R420" s="1254"/>
      <c r="S420" s="1254"/>
      <c r="T420" s="1254"/>
      <c r="U420" s="1254"/>
    </row>
    <row r="421" spans="7:21" ht="15.6">
      <c r="G421" s="1255"/>
      <c r="H421" s="1254"/>
      <c r="I421" s="1254"/>
      <c r="J421" s="1254"/>
      <c r="K421" s="1254"/>
      <c r="L421" s="1254"/>
      <c r="M421" s="1254"/>
      <c r="N421" s="1254"/>
      <c r="O421" s="1254"/>
      <c r="P421" s="1254"/>
      <c r="Q421" s="1254"/>
      <c r="R421" s="1254"/>
      <c r="S421" s="1254"/>
      <c r="T421" s="1254"/>
      <c r="U421" s="1254"/>
    </row>
    <row r="422" spans="7:21" ht="15.6">
      <c r="G422" s="1255"/>
      <c r="H422" s="1254"/>
      <c r="I422" s="1254"/>
      <c r="J422" s="1254"/>
      <c r="K422" s="1254"/>
      <c r="L422" s="1254"/>
      <c r="M422" s="1254"/>
      <c r="N422" s="1254"/>
      <c r="O422" s="1254"/>
      <c r="P422" s="1254"/>
      <c r="Q422" s="1254"/>
      <c r="R422" s="1254"/>
      <c r="S422" s="1254"/>
      <c r="T422" s="1254"/>
      <c r="U422" s="1254"/>
    </row>
    <row r="423" spans="7:21" ht="15.6">
      <c r="G423" s="1255"/>
      <c r="H423" s="1254"/>
      <c r="I423" s="1254"/>
      <c r="J423" s="1254"/>
      <c r="K423" s="1254"/>
      <c r="L423" s="1254"/>
      <c r="M423" s="1254"/>
      <c r="N423" s="1254"/>
      <c r="O423" s="1254"/>
      <c r="P423" s="1254"/>
      <c r="Q423" s="1254"/>
      <c r="R423" s="1254"/>
      <c r="S423" s="1254"/>
      <c r="T423" s="1254"/>
      <c r="U423" s="1254"/>
    </row>
    <row r="424" spans="7:21" ht="15.6">
      <c r="G424" s="1255"/>
      <c r="H424" s="1254"/>
      <c r="I424" s="1254"/>
      <c r="J424" s="1254"/>
      <c r="K424" s="1254"/>
      <c r="L424" s="1254"/>
      <c r="M424" s="1254"/>
      <c r="N424" s="1254"/>
      <c r="O424" s="1254"/>
      <c r="P424" s="1254"/>
      <c r="Q424" s="1254"/>
      <c r="R424" s="1254"/>
      <c r="S424" s="1254"/>
      <c r="T424" s="1254"/>
      <c r="U424" s="1254"/>
    </row>
    <row r="425" spans="7:21" ht="15.6">
      <c r="G425" s="1255"/>
      <c r="H425" s="1254"/>
      <c r="I425" s="1254"/>
      <c r="J425" s="1254"/>
      <c r="K425" s="1254"/>
      <c r="L425" s="1254"/>
      <c r="M425" s="1254"/>
      <c r="N425" s="1254"/>
      <c r="O425" s="1254"/>
      <c r="P425" s="1254"/>
      <c r="Q425" s="1254"/>
      <c r="R425" s="1254"/>
      <c r="S425" s="1254"/>
      <c r="T425" s="1254"/>
      <c r="U425" s="1254"/>
    </row>
    <row r="426" spans="7:21" ht="15.6">
      <c r="G426" s="1255"/>
      <c r="H426" s="1254"/>
      <c r="I426" s="1254"/>
      <c r="J426" s="1254"/>
      <c r="K426" s="1254"/>
      <c r="L426" s="1254"/>
      <c r="M426" s="1254"/>
      <c r="N426" s="1254"/>
      <c r="O426" s="1254"/>
      <c r="P426" s="1254"/>
      <c r="Q426" s="1254"/>
      <c r="R426" s="1254"/>
      <c r="S426" s="1254"/>
      <c r="T426" s="1254"/>
      <c r="U426" s="1254"/>
    </row>
    <row r="427" spans="7:21" ht="15.6">
      <c r="G427" s="1255"/>
      <c r="H427" s="1254"/>
      <c r="I427" s="1254"/>
      <c r="J427" s="1254"/>
      <c r="K427" s="1254"/>
      <c r="L427" s="1254"/>
      <c r="M427" s="1254"/>
      <c r="N427" s="1254"/>
      <c r="O427" s="1254"/>
      <c r="P427" s="1254"/>
      <c r="Q427" s="1254"/>
      <c r="R427" s="1254"/>
      <c r="S427" s="1254"/>
      <c r="T427" s="1254"/>
      <c r="U427" s="1254"/>
    </row>
    <row r="428" spans="7:21" ht="15.6">
      <c r="G428" s="1255"/>
      <c r="H428" s="1254"/>
      <c r="I428" s="1254"/>
      <c r="J428" s="1254"/>
      <c r="K428" s="1254"/>
      <c r="L428" s="1254"/>
      <c r="M428" s="1254"/>
      <c r="N428" s="1254"/>
      <c r="O428" s="1254"/>
      <c r="P428" s="1254"/>
      <c r="Q428" s="1254"/>
      <c r="R428" s="1254"/>
      <c r="S428" s="1254"/>
      <c r="T428" s="1254"/>
      <c r="U428" s="1254"/>
    </row>
    <row r="429" spans="7:21" ht="15.6">
      <c r="G429" s="1255"/>
      <c r="H429" s="1254"/>
      <c r="I429" s="1254"/>
      <c r="J429" s="1254"/>
      <c r="K429" s="1254"/>
      <c r="L429" s="1254"/>
      <c r="M429" s="1254"/>
      <c r="N429" s="1254"/>
      <c r="O429" s="1254"/>
      <c r="P429" s="1254"/>
      <c r="Q429" s="1254"/>
      <c r="R429" s="1254"/>
      <c r="S429" s="1254"/>
      <c r="T429" s="1254"/>
      <c r="U429" s="1254"/>
    </row>
    <row r="430" spans="7:21" ht="15.6">
      <c r="G430" s="1255"/>
      <c r="H430" s="1254"/>
      <c r="I430" s="1254"/>
      <c r="J430" s="1254"/>
      <c r="K430" s="1254"/>
      <c r="L430" s="1254"/>
      <c r="M430" s="1254"/>
      <c r="N430" s="1254"/>
      <c r="O430" s="1254"/>
      <c r="P430" s="1254"/>
      <c r="Q430" s="1254"/>
      <c r="R430" s="1254"/>
      <c r="S430" s="1254"/>
      <c r="T430" s="1254"/>
      <c r="U430" s="1254"/>
    </row>
    <row r="431" spans="7:21" ht="15.6">
      <c r="G431" s="1255"/>
      <c r="H431" s="1254"/>
      <c r="I431" s="1254"/>
      <c r="J431" s="1254"/>
      <c r="K431" s="1254"/>
      <c r="L431" s="1254"/>
      <c r="M431" s="1254"/>
      <c r="N431" s="1254"/>
      <c r="O431" s="1254"/>
      <c r="P431" s="1254"/>
      <c r="Q431" s="1254"/>
      <c r="R431" s="1254"/>
      <c r="S431" s="1254"/>
      <c r="T431" s="1254"/>
      <c r="U431" s="1254"/>
    </row>
    <row r="432" spans="7:21" ht="15.6">
      <c r="G432" s="1255"/>
      <c r="H432" s="1254"/>
      <c r="I432" s="1254"/>
      <c r="J432" s="1254"/>
      <c r="K432" s="1254"/>
      <c r="L432" s="1254"/>
      <c r="M432" s="1254"/>
      <c r="N432" s="1254"/>
      <c r="O432" s="1254"/>
      <c r="P432" s="1254"/>
      <c r="Q432" s="1254"/>
      <c r="R432" s="1254"/>
      <c r="S432" s="1254"/>
      <c r="T432" s="1254"/>
      <c r="U432" s="1254"/>
    </row>
    <row r="433" spans="7:21" ht="15.6">
      <c r="G433" s="1255"/>
      <c r="H433" s="1254"/>
      <c r="I433" s="1254"/>
      <c r="J433" s="1254"/>
      <c r="K433" s="1254"/>
      <c r="L433" s="1254"/>
      <c r="M433" s="1254"/>
      <c r="N433" s="1254"/>
      <c r="O433" s="1254"/>
      <c r="P433" s="1254"/>
      <c r="Q433" s="1254"/>
      <c r="R433" s="1254"/>
      <c r="S433" s="1254"/>
      <c r="T433" s="1254"/>
      <c r="U433" s="1254"/>
    </row>
    <row r="434" spans="7:21" ht="15.6">
      <c r="G434" s="1255"/>
      <c r="H434" s="1254"/>
      <c r="I434" s="1254"/>
      <c r="J434" s="1254"/>
      <c r="K434" s="1254"/>
      <c r="L434" s="1254"/>
      <c r="M434" s="1254"/>
      <c r="N434" s="1254"/>
      <c r="O434" s="1254"/>
      <c r="P434" s="1254"/>
      <c r="Q434" s="1254"/>
      <c r="R434" s="1254"/>
      <c r="S434" s="1254"/>
      <c r="T434" s="1254"/>
      <c r="U434" s="1254"/>
    </row>
    <row r="435" spans="7:21" ht="15.6">
      <c r="G435" s="1255"/>
      <c r="H435" s="1254"/>
      <c r="I435" s="1254"/>
      <c r="J435" s="1254"/>
      <c r="K435" s="1254"/>
      <c r="L435" s="1254"/>
      <c r="M435" s="1254"/>
      <c r="N435" s="1254"/>
      <c r="O435" s="1254"/>
      <c r="P435" s="1254"/>
      <c r="Q435" s="1254"/>
      <c r="R435" s="1254"/>
      <c r="S435" s="1254"/>
      <c r="T435" s="1254"/>
      <c r="U435" s="1254"/>
    </row>
    <row r="436" spans="7:21" ht="15.6">
      <c r="G436" s="1255"/>
      <c r="H436" s="1254"/>
      <c r="I436" s="1254"/>
      <c r="J436" s="1254"/>
      <c r="K436" s="1254"/>
      <c r="L436" s="1254"/>
      <c r="M436" s="1254"/>
      <c r="N436" s="1254"/>
      <c r="O436" s="1254"/>
      <c r="P436" s="1254"/>
      <c r="Q436" s="1254"/>
      <c r="R436" s="1254"/>
      <c r="S436" s="1254"/>
      <c r="T436" s="1254"/>
      <c r="U436" s="1254"/>
    </row>
    <row r="437" spans="7:21" ht="15.6">
      <c r="G437" s="1255"/>
      <c r="H437" s="1254"/>
      <c r="I437" s="1254"/>
      <c r="J437" s="1254"/>
      <c r="K437" s="1254"/>
      <c r="L437" s="1254"/>
      <c r="M437" s="1254"/>
      <c r="N437" s="1254"/>
      <c r="O437" s="1254"/>
      <c r="P437" s="1254"/>
      <c r="Q437" s="1254"/>
      <c r="R437" s="1254"/>
      <c r="S437" s="1254"/>
      <c r="T437" s="1254"/>
      <c r="U437" s="1254"/>
    </row>
    <row r="438" spans="7:21" ht="15.6">
      <c r="G438" s="1255"/>
      <c r="H438" s="1254"/>
      <c r="I438" s="1254"/>
      <c r="J438" s="1254"/>
      <c r="K438" s="1254"/>
      <c r="L438" s="1254"/>
      <c r="M438" s="1254"/>
      <c r="N438" s="1254"/>
      <c r="O438" s="1254"/>
      <c r="P438" s="1254"/>
      <c r="Q438" s="1254"/>
      <c r="R438" s="1254"/>
      <c r="S438" s="1254"/>
      <c r="T438" s="1254"/>
      <c r="U438" s="1254"/>
    </row>
    <row r="439" spans="7:21" ht="15.6">
      <c r="G439" s="1255"/>
      <c r="H439" s="1254"/>
      <c r="I439" s="1254"/>
      <c r="J439" s="1254"/>
      <c r="K439" s="1254"/>
      <c r="L439" s="1254"/>
      <c r="M439" s="1254"/>
      <c r="N439" s="1254"/>
      <c r="O439" s="1254"/>
      <c r="P439" s="1254"/>
      <c r="Q439" s="1254"/>
      <c r="R439" s="1254"/>
      <c r="S439" s="1254"/>
      <c r="T439" s="1254"/>
      <c r="U439" s="1254"/>
    </row>
    <row r="440" spans="7:21" ht="15.6">
      <c r="G440" s="1255"/>
      <c r="H440" s="1254"/>
      <c r="I440" s="1254"/>
      <c r="J440" s="1254"/>
      <c r="K440" s="1254"/>
      <c r="L440" s="1254"/>
      <c r="M440" s="1254"/>
      <c r="N440" s="1254"/>
      <c r="O440" s="1254"/>
      <c r="P440" s="1254"/>
      <c r="Q440" s="1254"/>
      <c r="R440" s="1254"/>
      <c r="S440" s="1254"/>
      <c r="T440" s="1254"/>
      <c r="U440" s="1254"/>
    </row>
    <row r="441" spans="7:21" ht="15.6">
      <c r="G441" s="1255"/>
      <c r="H441" s="1254"/>
      <c r="I441" s="1254"/>
      <c r="J441" s="1254"/>
      <c r="K441" s="1254"/>
      <c r="L441" s="1254"/>
      <c r="M441" s="1254"/>
      <c r="N441" s="1254"/>
      <c r="O441" s="1254"/>
      <c r="P441" s="1254"/>
      <c r="Q441" s="1254"/>
      <c r="R441" s="1254"/>
      <c r="S441" s="1254"/>
      <c r="T441" s="1254"/>
      <c r="U441" s="1254"/>
    </row>
    <row r="442" spans="7:21" ht="15.6">
      <c r="G442" s="1255"/>
      <c r="H442" s="1254"/>
      <c r="I442" s="1254"/>
      <c r="J442" s="1254"/>
      <c r="K442" s="1254"/>
      <c r="L442" s="1254"/>
      <c r="M442" s="1254"/>
      <c r="N442" s="1254"/>
      <c r="O442" s="1254"/>
      <c r="P442" s="1254"/>
      <c r="Q442" s="1254"/>
      <c r="R442" s="1254"/>
      <c r="S442" s="1254"/>
      <c r="T442" s="1254"/>
      <c r="U442" s="1254"/>
    </row>
    <row r="443" spans="7:21" ht="15.6">
      <c r="G443" s="1255"/>
      <c r="H443" s="1254"/>
      <c r="I443" s="1254"/>
      <c r="J443" s="1254"/>
      <c r="K443" s="1254"/>
      <c r="L443" s="1254"/>
      <c r="M443" s="1254"/>
      <c r="N443" s="1254"/>
      <c r="O443" s="1254"/>
      <c r="P443" s="1254"/>
      <c r="Q443" s="1254"/>
      <c r="R443" s="1254"/>
      <c r="S443" s="1254"/>
      <c r="T443" s="1254"/>
      <c r="U443" s="1254"/>
    </row>
    <row r="444" spans="7:21" ht="15.6">
      <c r="G444" s="1255"/>
      <c r="H444" s="1254"/>
      <c r="I444" s="1254"/>
      <c r="J444" s="1254"/>
      <c r="K444" s="1254"/>
      <c r="L444" s="1254"/>
      <c r="M444" s="1254"/>
      <c r="N444" s="1254"/>
      <c r="O444" s="1254"/>
      <c r="P444" s="1254"/>
      <c r="Q444" s="1254"/>
      <c r="R444" s="1254"/>
      <c r="S444" s="1254"/>
      <c r="T444" s="1254"/>
      <c r="U444" s="1254"/>
    </row>
    <row r="445" spans="7:21" ht="15.6">
      <c r="G445" s="1255"/>
      <c r="H445" s="1254"/>
      <c r="I445" s="1254"/>
      <c r="J445" s="1254"/>
      <c r="K445" s="1254"/>
      <c r="L445" s="1254"/>
      <c r="M445" s="1254"/>
      <c r="N445" s="1254"/>
      <c r="O445" s="1254"/>
      <c r="P445" s="1254"/>
      <c r="Q445" s="1254"/>
      <c r="R445" s="1254"/>
      <c r="S445" s="1254"/>
      <c r="T445" s="1254"/>
      <c r="U445" s="1254"/>
    </row>
    <row r="446" spans="7:21" ht="15.6">
      <c r="G446" s="1255"/>
      <c r="H446" s="1254"/>
      <c r="I446" s="1254"/>
      <c r="J446" s="1254"/>
      <c r="K446" s="1254"/>
      <c r="L446" s="1254"/>
      <c r="M446" s="1254"/>
      <c r="N446" s="1254"/>
      <c r="O446" s="1254"/>
      <c r="P446" s="1254"/>
      <c r="Q446" s="1254"/>
      <c r="R446" s="1254"/>
      <c r="S446" s="1254"/>
      <c r="T446" s="1254"/>
      <c r="U446" s="1254"/>
    </row>
    <row r="447" spans="7:21" ht="15.6">
      <c r="G447" s="1255"/>
      <c r="H447" s="1254"/>
      <c r="I447" s="1254"/>
      <c r="J447" s="1254"/>
      <c r="K447" s="1254"/>
      <c r="L447" s="1254"/>
      <c r="M447" s="1254"/>
      <c r="N447" s="1254"/>
      <c r="O447" s="1254"/>
      <c r="P447" s="1254"/>
      <c r="Q447" s="1254"/>
      <c r="R447" s="1254"/>
      <c r="S447" s="1254"/>
      <c r="T447" s="1254"/>
      <c r="U447" s="1254"/>
    </row>
    <row r="448" spans="7:21" ht="15.6">
      <c r="G448" s="1255"/>
      <c r="H448" s="1254"/>
      <c r="I448" s="1254"/>
      <c r="J448" s="1254"/>
      <c r="K448" s="1254"/>
      <c r="L448" s="1254"/>
      <c r="M448" s="1254"/>
      <c r="N448" s="1254"/>
      <c r="O448" s="1254"/>
      <c r="P448" s="1254"/>
      <c r="Q448" s="1254"/>
      <c r="R448" s="1254"/>
      <c r="S448" s="1254"/>
      <c r="T448" s="1254"/>
      <c r="U448" s="1254"/>
    </row>
    <row r="449" spans="7:21" ht="15.6">
      <c r="G449" s="1255"/>
      <c r="H449" s="1254"/>
      <c r="I449" s="1254"/>
      <c r="J449" s="1254"/>
      <c r="K449" s="1254"/>
      <c r="L449" s="1254"/>
      <c r="M449" s="1254"/>
      <c r="N449" s="1254"/>
      <c r="O449" s="1254"/>
      <c r="P449" s="1254"/>
      <c r="Q449" s="1254"/>
      <c r="R449" s="1254"/>
      <c r="S449" s="1254"/>
      <c r="T449" s="1254"/>
      <c r="U449" s="1254"/>
    </row>
    <row r="450" spans="7:21" ht="15.6">
      <c r="G450" s="1255"/>
      <c r="H450" s="1254"/>
      <c r="I450" s="1254"/>
      <c r="J450" s="1254"/>
      <c r="K450" s="1254"/>
      <c r="L450" s="1254"/>
      <c r="M450" s="1254"/>
      <c r="N450" s="1254"/>
      <c r="O450" s="1254"/>
      <c r="P450" s="1254"/>
      <c r="Q450" s="1254"/>
      <c r="R450" s="1254"/>
      <c r="S450" s="1254"/>
      <c r="T450" s="1254"/>
      <c r="U450" s="1254"/>
    </row>
    <row r="451" spans="7:21" ht="15.6">
      <c r="G451" s="1255"/>
      <c r="H451" s="1254"/>
      <c r="I451" s="1254"/>
      <c r="J451" s="1254"/>
      <c r="K451" s="1254"/>
      <c r="L451" s="1254"/>
      <c r="M451" s="1254"/>
      <c r="N451" s="1254"/>
      <c r="O451" s="1254"/>
      <c r="P451" s="1254"/>
      <c r="Q451" s="1254"/>
      <c r="R451" s="1254"/>
      <c r="S451" s="1254"/>
      <c r="T451" s="1254"/>
      <c r="U451" s="1254"/>
    </row>
    <row r="452" spans="7:21" ht="15.6">
      <c r="G452" s="1255"/>
      <c r="H452" s="1254"/>
      <c r="I452" s="1254"/>
      <c r="J452" s="1254"/>
      <c r="K452" s="1254"/>
      <c r="L452" s="1254"/>
      <c r="M452" s="1254"/>
      <c r="N452" s="1254"/>
      <c r="O452" s="1254"/>
      <c r="P452" s="1254"/>
      <c r="Q452" s="1254"/>
      <c r="R452" s="1254"/>
      <c r="S452" s="1254"/>
      <c r="T452" s="1254"/>
      <c r="U452" s="1254"/>
    </row>
    <row r="453" spans="7:21" ht="15.6">
      <c r="G453" s="1255"/>
      <c r="H453" s="1254"/>
      <c r="I453" s="1254"/>
      <c r="J453" s="1254"/>
      <c r="K453" s="1254"/>
      <c r="L453" s="1254"/>
      <c r="M453" s="1254"/>
      <c r="N453" s="1254"/>
      <c r="O453" s="1254"/>
      <c r="P453" s="1254"/>
      <c r="Q453" s="1254"/>
      <c r="R453" s="1254"/>
      <c r="S453" s="1254"/>
      <c r="T453" s="1254"/>
      <c r="U453" s="1254"/>
    </row>
    <row r="454" spans="7:21" ht="15.6">
      <c r="G454" s="1255"/>
      <c r="H454" s="1254"/>
      <c r="I454" s="1254"/>
      <c r="J454" s="1254"/>
      <c r="K454" s="1254"/>
      <c r="L454" s="1254"/>
      <c r="M454" s="1254"/>
      <c r="N454" s="1254"/>
      <c r="O454" s="1254"/>
      <c r="P454" s="1254"/>
      <c r="Q454" s="1254"/>
      <c r="R454" s="1254"/>
      <c r="S454" s="1254"/>
      <c r="T454" s="1254"/>
      <c r="U454" s="1254"/>
    </row>
    <row r="455" spans="7:21" ht="15.6">
      <c r="G455" s="1255"/>
      <c r="H455" s="1254"/>
      <c r="I455" s="1254"/>
      <c r="J455" s="1254"/>
      <c r="K455" s="1254"/>
      <c r="L455" s="1254"/>
      <c r="M455" s="1254"/>
      <c r="N455" s="1254"/>
      <c r="O455" s="1254"/>
      <c r="P455" s="1254"/>
      <c r="Q455" s="1254"/>
      <c r="R455" s="1254"/>
      <c r="S455" s="1254"/>
      <c r="T455" s="1254"/>
      <c r="U455" s="1254"/>
    </row>
    <row r="456" spans="7:21" ht="15.6">
      <c r="G456" s="1255"/>
      <c r="H456" s="1254"/>
      <c r="I456" s="1254"/>
      <c r="J456" s="1254"/>
      <c r="K456" s="1254"/>
      <c r="L456" s="1254"/>
      <c r="M456" s="1254"/>
      <c r="N456" s="1254"/>
      <c r="O456" s="1254"/>
      <c r="P456" s="1254"/>
      <c r="Q456" s="1254"/>
      <c r="R456" s="1254"/>
      <c r="S456" s="1254"/>
      <c r="T456" s="1254"/>
      <c r="U456" s="1254"/>
    </row>
    <row r="457" spans="7:21" ht="15.6">
      <c r="G457" s="1255"/>
      <c r="H457" s="1254"/>
      <c r="I457" s="1254"/>
      <c r="J457" s="1254"/>
      <c r="K457" s="1254"/>
      <c r="L457" s="1254"/>
      <c r="M457" s="1254"/>
      <c r="N457" s="1254"/>
      <c r="O457" s="1254"/>
      <c r="P457" s="1254"/>
      <c r="Q457" s="1254"/>
      <c r="R457" s="1254"/>
      <c r="S457" s="1254"/>
      <c r="T457" s="1254"/>
      <c r="U457" s="1254"/>
    </row>
    <row r="458" spans="7:21" ht="15.6">
      <c r="G458" s="1255"/>
      <c r="H458" s="1254"/>
      <c r="I458" s="1254"/>
      <c r="J458" s="1254"/>
      <c r="K458" s="1254"/>
      <c r="L458" s="1254"/>
      <c r="M458" s="1254"/>
      <c r="N458" s="1254"/>
      <c r="O458" s="1254"/>
      <c r="P458" s="1254"/>
      <c r="Q458" s="1254"/>
      <c r="R458" s="1254"/>
      <c r="S458" s="1254"/>
      <c r="T458" s="1254"/>
      <c r="U458" s="1254"/>
    </row>
    <row r="459" spans="7:21" ht="15.6">
      <c r="G459" s="1255"/>
      <c r="H459" s="1254"/>
      <c r="I459" s="1254"/>
      <c r="J459" s="1254"/>
      <c r="K459" s="1254"/>
      <c r="L459" s="1254"/>
      <c r="M459" s="1254"/>
      <c r="N459" s="1254"/>
      <c r="O459" s="1254"/>
      <c r="P459" s="1254"/>
      <c r="Q459" s="1254"/>
      <c r="R459" s="1254"/>
      <c r="S459" s="1254"/>
      <c r="T459" s="1254"/>
      <c r="U459" s="1254"/>
    </row>
    <row r="460" spans="7:21" ht="15.6">
      <c r="G460" s="1255"/>
      <c r="H460" s="1254"/>
      <c r="I460" s="1254"/>
      <c r="J460" s="1254"/>
      <c r="K460" s="1254"/>
      <c r="L460" s="1254"/>
      <c r="M460" s="1254"/>
      <c r="N460" s="1254"/>
      <c r="O460" s="1254"/>
      <c r="P460" s="1254"/>
      <c r="Q460" s="1254"/>
      <c r="R460" s="1254"/>
      <c r="S460" s="1254"/>
      <c r="T460" s="1254"/>
      <c r="U460" s="1254"/>
    </row>
    <row r="461" spans="7:21" ht="15.6">
      <c r="G461" s="1255"/>
      <c r="H461" s="1254"/>
      <c r="I461" s="1254"/>
      <c r="J461" s="1254"/>
      <c r="K461" s="1254"/>
      <c r="L461" s="1254"/>
      <c r="M461" s="1254"/>
      <c r="N461" s="1254"/>
      <c r="O461" s="1254"/>
      <c r="P461" s="1254"/>
      <c r="Q461" s="1254"/>
      <c r="R461" s="1254"/>
      <c r="S461" s="1254"/>
      <c r="T461" s="1254"/>
      <c r="U461" s="1254"/>
    </row>
    <row r="462" spans="7:21" ht="15.6">
      <c r="G462" s="1255"/>
      <c r="H462" s="1254"/>
      <c r="I462" s="1254"/>
      <c r="J462" s="1254"/>
      <c r="K462" s="1254"/>
      <c r="L462" s="1254"/>
      <c r="M462" s="1254"/>
      <c r="N462" s="1254"/>
      <c r="O462" s="1254"/>
      <c r="P462" s="1254"/>
      <c r="Q462" s="1254"/>
      <c r="R462" s="1254"/>
      <c r="S462" s="1254"/>
      <c r="T462" s="1254"/>
      <c r="U462" s="1254"/>
    </row>
    <row r="463" spans="7:21" ht="15.6">
      <c r="G463" s="1255"/>
      <c r="H463" s="1254"/>
      <c r="I463" s="1254"/>
      <c r="J463" s="1254"/>
      <c r="K463" s="1254"/>
      <c r="L463" s="1254"/>
      <c r="M463" s="1254"/>
      <c r="N463" s="1254"/>
      <c r="O463" s="1254"/>
      <c r="P463" s="1254"/>
      <c r="Q463" s="1254"/>
      <c r="R463" s="1254"/>
      <c r="S463" s="1254"/>
      <c r="T463" s="1254"/>
      <c r="U463" s="1254"/>
    </row>
    <row r="464" spans="7:21" ht="15.6">
      <c r="G464" s="1255"/>
      <c r="H464" s="1254"/>
      <c r="I464" s="1254"/>
      <c r="J464" s="1254"/>
      <c r="K464" s="1254"/>
      <c r="L464" s="1254"/>
      <c r="M464" s="1254"/>
      <c r="N464" s="1254"/>
      <c r="O464" s="1254"/>
      <c r="P464" s="1254"/>
      <c r="Q464" s="1254"/>
      <c r="R464" s="1254"/>
      <c r="S464" s="1254"/>
      <c r="T464" s="1254"/>
      <c r="U464" s="1254"/>
    </row>
    <row r="465" spans="7:21" ht="15.6">
      <c r="G465" s="1255"/>
      <c r="H465" s="1254"/>
      <c r="I465" s="1254"/>
      <c r="J465" s="1254"/>
      <c r="K465" s="1254"/>
      <c r="L465" s="1254"/>
      <c r="M465" s="1254"/>
      <c r="N465" s="1254"/>
      <c r="O465" s="1254"/>
      <c r="P465" s="1254"/>
      <c r="Q465" s="1254"/>
      <c r="R465" s="1254"/>
      <c r="S465" s="1254"/>
      <c r="T465" s="1254"/>
      <c r="U465" s="1254"/>
    </row>
    <row r="466" spans="7:21" ht="15.6">
      <c r="G466" s="1255"/>
      <c r="H466" s="1254"/>
      <c r="I466" s="1254"/>
      <c r="J466" s="1254"/>
      <c r="K466" s="1254"/>
      <c r="L466" s="1254"/>
      <c r="M466" s="1254"/>
      <c r="N466" s="1254"/>
      <c r="O466" s="1254"/>
      <c r="P466" s="1254"/>
      <c r="Q466" s="1254"/>
      <c r="R466" s="1254"/>
      <c r="S466" s="1254"/>
      <c r="T466" s="1254"/>
      <c r="U466" s="1254"/>
    </row>
    <row r="467" spans="7:21" ht="15.6">
      <c r="G467" s="1255"/>
      <c r="H467" s="1254"/>
      <c r="I467" s="1254"/>
      <c r="J467" s="1254"/>
      <c r="K467" s="1254"/>
      <c r="L467" s="1254"/>
      <c r="M467" s="1254"/>
      <c r="N467" s="1254"/>
      <c r="O467" s="1254"/>
      <c r="P467" s="1254"/>
      <c r="Q467" s="1254"/>
      <c r="R467" s="1254"/>
      <c r="S467" s="1254"/>
      <c r="T467" s="1254"/>
      <c r="U467" s="1254"/>
    </row>
    <row r="468" spans="7:21" ht="15.6">
      <c r="G468" s="1255"/>
      <c r="H468" s="1254"/>
      <c r="I468" s="1254"/>
      <c r="J468" s="1254"/>
      <c r="K468" s="1254"/>
      <c r="L468" s="1254"/>
      <c r="M468" s="1254"/>
      <c r="N468" s="1254"/>
      <c r="O468" s="1254"/>
      <c r="P468" s="1254"/>
      <c r="Q468" s="1254"/>
      <c r="R468" s="1254"/>
      <c r="S468" s="1254"/>
      <c r="T468" s="1254"/>
      <c r="U468" s="1254"/>
    </row>
    <row r="469" spans="7:21" ht="15.6">
      <c r="G469" s="1255"/>
      <c r="H469" s="1254"/>
      <c r="I469" s="1254"/>
      <c r="J469" s="1254"/>
      <c r="K469" s="1254"/>
      <c r="L469" s="1254"/>
      <c r="M469" s="1254"/>
      <c r="N469" s="1254"/>
      <c r="O469" s="1254"/>
      <c r="P469" s="1254"/>
      <c r="Q469" s="1254"/>
      <c r="R469" s="1254"/>
      <c r="S469" s="1254"/>
      <c r="T469" s="1254"/>
      <c r="U469" s="1254"/>
    </row>
    <row r="470" spans="7:21" ht="15.6">
      <c r="G470" s="1255"/>
      <c r="H470" s="1254"/>
      <c r="I470" s="1254"/>
      <c r="J470" s="1254"/>
      <c r="K470" s="1254"/>
      <c r="L470" s="1254"/>
      <c r="M470" s="1254"/>
      <c r="N470" s="1254"/>
      <c r="O470" s="1254"/>
      <c r="P470" s="1254"/>
      <c r="Q470" s="1254"/>
      <c r="R470" s="1254"/>
      <c r="S470" s="1254"/>
      <c r="T470" s="1254"/>
      <c r="U470" s="1254"/>
    </row>
    <row r="471" spans="7:21" ht="15.6">
      <c r="G471" s="1255"/>
      <c r="H471" s="1254"/>
      <c r="I471" s="1254"/>
      <c r="J471" s="1254"/>
      <c r="K471" s="1254"/>
      <c r="L471" s="1254"/>
      <c r="M471" s="1254"/>
      <c r="N471" s="1254"/>
      <c r="O471" s="1254"/>
      <c r="P471" s="1254"/>
      <c r="Q471" s="1254"/>
      <c r="R471" s="1254"/>
      <c r="S471" s="1254"/>
      <c r="T471" s="1254"/>
      <c r="U471" s="1254"/>
    </row>
    <row r="472" spans="7:21" ht="15.6">
      <c r="G472" s="1255"/>
      <c r="H472" s="1254"/>
      <c r="I472" s="1254"/>
      <c r="J472" s="1254"/>
      <c r="K472" s="1254"/>
      <c r="L472" s="1254"/>
      <c r="M472" s="1254"/>
      <c r="N472" s="1254"/>
      <c r="O472" s="1254"/>
      <c r="P472" s="1254"/>
      <c r="Q472" s="1254"/>
      <c r="R472" s="1254"/>
      <c r="S472" s="1254"/>
      <c r="T472" s="1254"/>
      <c r="U472" s="1254"/>
    </row>
    <row r="473" spans="7:21" ht="15.6">
      <c r="G473" s="1255"/>
      <c r="H473" s="1254"/>
      <c r="I473" s="1254"/>
      <c r="J473" s="1254"/>
      <c r="K473" s="1254"/>
      <c r="L473" s="1254"/>
      <c r="M473" s="1254"/>
      <c r="N473" s="1254"/>
      <c r="O473" s="1254"/>
      <c r="P473" s="1254"/>
      <c r="Q473" s="1254"/>
      <c r="R473" s="1254"/>
      <c r="S473" s="1254"/>
      <c r="T473" s="1254"/>
      <c r="U473" s="1254"/>
    </row>
    <row r="474" spans="7:21" ht="15.6">
      <c r="G474" s="1255"/>
      <c r="H474" s="1254"/>
      <c r="I474" s="1254"/>
      <c r="J474" s="1254"/>
      <c r="K474" s="1254"/>
      <c r="L474" s="1254"/>
      <c r="M474" s="1254"/>
      <c r="N474" s="1254"/>
      <c r="O474" s="1254"/>
      <c r="P474" s="1254"/>
      <c r="Q474" s="1254"/>
      <c r="R474" s="1254"/>
      <c r="S474" s="1254"/>
      <c r="T474" s="1254"/>
      <c r="U474" s="1254"/>
    </row>
    <row r="475" spans="7:21" ht="15.6">
      <c r="G475" s="1255"/>
      <c r="H475" s="1254"/>
      <c r="I475" s="1254"/>
      <c r="J475" s="1254"/>
      <c r="K475" s="1254"/>
      <c r="L475" s="1254"/>
      <c r="M475" s="1254"/>
      <c r="N475" s="1254"/>
      <c r="O475" s="1254"/>
      <c r="P475" s="1254"/>
      <c r="Q475" s="1254"/>
      <c r="R475" s="1254"/>
      <c r="S475" s="1254"/>
      <c r="T475" s="1254"/>
      <c r="U475" s="1254"/>
    </row>
    <row r="476" spans="7:21" ht="15.6">
      <c r="G476" s="1255"/>
      <c r="H476" s="1254"/>
      <c r="I476" s="1254"/>
      <c r="J476" s="1254"/>
      <c r="K476" s="1254"/>
      <c r="L476" s="1254"/>
      <c r="M476" s="1254"/>
      <c r="N476" s="1254"/>
      <c r="O476" s="1254"/>
      <c r="P476" s="1254"/>
      <c r="Q476" s="1254"/>
      <c r="R476" s="1254"/>
      <c r="S476" s="1254"/>
      <c r="T476" s="1254"/>
      <c r="U476" s="1254"/>
    </row>
    <row r="477" spans="7:21" ht="15.6">
      <c r="G477" s="1255"/>
      <c r="H477" s="1254"/>
      <c r="I477" s="1254"/>
      <c r="J477" s="1254"/>
      <c r="K477" s="1254"/>
      <c r="L477" s="1254"/>
      <c r="M477" s="1254"/>
      <c r="N477" s="1254"/>
      <c r="O477" s="1254"/>
      <c r="P477" s="1254"/>
      <c r="Q477" s="1254"/>
      <c r="R477" s="1254"/>
      <c r="S477" s="1254"/>
      <c r="T477" s="1254"/>
      <c r="U477" s="1254"/>
    </row>
    <row r="478" spans="7:21" ht="15.6">
      <c r="G478" s="1255"/>
      <c r="H478" s="1254"/>
      <c r="I478" s="1254"/>
      <c r="J478" s="1254"/>
      <c r="K478" s="1254"/>
      <c r="L478" s="1254"/>
      <c r="M478" s="1254"/>
      <c r="N478" s="1254"/>
      <c r="O478" s="1254"/>
      <c r="P478" s="1254"/>
      <c r="Q478" s="1254"/>
      <c r="R478" s="1254"/>
      <c r="S478" s="1254"/>
      <c r="T478" s="1254"/>
      <c r="U478" s="1254"/>
    </row>
    <row r="479" spans="7:21" ht="15.6">
      <c r="G479" s="1255"/>
      <c r="H479" s="1254"/>
      <c r="I479" s="1254"/>
      <c r="J479" s="1254"/>
      <c r="K479" s="1254"/>
      <c r="L479" s="1254"/>
      <c r="M479" s="1254"/>
      <c r="N479" s="1254"/>
      <c r="O479" s="1254"/>
      <c r="P479" s="1254"/>
      <c r="Q479" s="1254"/>
      <c r="R479" s="1254"/>
      <c r="S479" s="1254"/>
      <c r="T479" s="1254"/>
      <c r="U479" s="1254"/>
    </row>
    <row r="480" spans="7:21" ht="15.6">
      <c r="G480" s="1255"/>
      <c r="H480" s="1254"/>
      <c r="I480" s="1254"/>
      <c r="J480" s="1254"/>
      <c r="K480" s="1254"/>
      <c r="L480" s="1254"/>
      <c r="M480" s="1254"/>
      <c r="N480" s="1254"/>
      <c r="O480" s="1254"/>
      <c r="P480" s="1254"/>
      <c r="Q480" s="1254"/>
      <c r="R480" s="1254"/>
      <c r="S480" s="1254"/>
      <c r="T480" s="1254"/>
      <c r="U480" s="1254"/>
    </row>
    <row r="481" spans="7:21" ht="15.6">
      <c r="G481" s="1255"/>
      <c r="H481" s="1254"/>
      <c r="I481" s="1254"/>
      <c r="J481" s="1254"/>
      <c r="K481" s="1254"/>
      <c r="L481" s="1254"/>
      <c r="M481" s="1254"/>
      <c r="N481" s="1254"/>
      <c r="O481" s="1254"/>
      <c r="P481" s="1254"/>
      <c r="Q481" s="1254"/>
      <c r="R481" s="1254"/>
      <c r="S481" s="1254"/>
      <c r="T481" s="1254"/>
      <c r="U481" s="1254"/>
    </row>
    <row r="482" spans="7:21" ht="15.6">
      <c r="G482" s="1255"/>
      <c r="H482" s="1254"/>
      <c r="I482" s="1254"/>
      <c r="J482" s="1254"/>
      <c r="K482" s="1254"/>
      <c r="L482" s="1254"/>
      <c r="M482" s="1254"/>
      <c r="N482" s="1254"/>
      <c r="O482" s="1254"/>
      <c r="P482" s="1254"/>
      <c r="Q482" s="1254"/>
      <c r="R482" s="1254"/>
      <c r="S482" s="1254"/>
      <c r="T482" s="1254"/>
      <c r="U482" s="1254"/>
    </row>
    <row r="483" spans="7:21" ht="15.6">
      <c r="G483" s="1255"/>
      <c r="H483" s="1254"/>
      <c r="I483" s="1254"/>
      <c r="J483" s="1254"/>
      <c r="K483" s="1254"/>
      <c r="L483" s="1254"/>
      <c r="M483" s="1254"/>
      <c r="N483" s="1254"/>
      <c r="O483" s="1254"/>
      <c r="P483" s="1254"/>
      <c r="Q483" s="1254"/>
      <c r="R483" s="1254"/>
      <c r="S483" s="1254"/>
      <c r="T483" s="1254"/>
      <c r="U483" s="1254"/>
    </row>
    <row r="484" spans="7:21" ht="15.6">
      <c r="G484" s="1255"/>
      <c r="H484" s="1254"/>
      <c r="I484" s="1254"/>
      <c r="J484" s="1254"/>
      <c r="K484" s="1254"/>
      <c r="L484" s="1254"/>
      <c r="M484" s="1254"/>
      <c r="N484" s="1254"/>
      <c r="O484" s="1254"/>
      <c r="P484" s="1254"/>
      <c r="Q484" s="1254"/>
      <c r="R484" s="1254"/>
      <c r="S484" s="1254"/>
      <c r="T484" s="1254"/>
      <c r="U484" s="1254"/>
    </row>
    <row r="485" spans="7:21" ht="15.6">
      <c r="G485" s="1255"/>
      <c r="H485" s="1254"/>
      <c r="I485" s="1254"/>
      <c r="J485" s="1254"/>
      <c r="K485" s="1254"/>
      <c r="L485" s="1254"/>
      <c r="M485" s="1254"/>
      <c r="N485" s="1254"/>
      <c r="O485" s="1254"/>
      <c r="P485" s="1254"/>
      <c r="Q485" s="1254"/>
      <c r="R485" s="1254"/>
      <c r="S485" s="1254"/>
      <c r="T485" s="1254"/>
      <c r="U485" s="1254"/>
    </row>
    <row r="486" spans="7:21" ht="15.6">
      <c r="G486" s="1255"/>
      <c r="H486" s="1254"/>
      <c r="I486" s="1254"/>
      <c r="J486" s="1254"/>
      <c r="K486" s="1254"/>
      <c r="L486" s="1254"/>
      <c r="M486" s="1254"/>
      <c r="N486" s="1254"/>
      <c r="O486" s="1254"/>
      <c r="P486" s="1254"/>
      <c r="Q486" s="1254"/>
      <c r="R486" s="1254"/>
      <c r="S486" s="1254"/>
      <c r="T486" s="1254"/>
      <c r="U486" s="1254"/>
    </row>
    <row r="487" spans="7:21" ht="15.6">
      <c r="G487" s="1255"/>
      <c r="H487" s="1254"/>
      <c r="I487" s="1254"/>
      <c r="J487" s="1254"/>
      <c r="K487" s="1254"/>
      <c r="L487" s="1254"/>
      <c r="M487" s="1254"/>
      <c r="N487" s="1254"/>
      <c r="O487" s="1254"/>
      <c r="P487" s="1254"/>
      <c r="Q487" s="1254"/>
      <c r="R487" s="1254"/>
      <c r="S487" s="1254"/>
      <c r="T487" s="1254"/>
      <c r="U487" s="1254"/>
    </row>
    <row r="488" spans="7:21" ht="15.6">
      <c r="G488" s="1255"/>
      <c r="H488" s="1254"/>
      <c r="I488" s="1254"/>
      <c r="J488" s="1254"/>
      <c r="K488" s="1254"/>
      <c r="L488" s="1254"/>
      <c r="M488" s="1254"/>
      <c r="N488" s="1254"/>
      <c r="O488" s="1254"/>
      <c r="P488" s="1254"/>
      <c r="Q488" s="1254"/>
      <c r="R488" s="1254"/>
      <c r="S488" s="1254"/>
      <c r="T488" s="1254"/>
      <c r="U488" s="1254"/>
    </row>
    <row r="489" spans="7:21" ht="15.6">
      <c r="G489" s="1255"/>
      <c r="H489" s="1254"/>
      <c r="I489" s="1254"/>
      <c r="J489" s="1254"/>
      <c r="K489" s="1254"/>
      <c r="L489" s="1254"/>
      <c r="M489" s="1254"/>
      <c r="N489" s="1254"/>
      <c r="O489" s="1254"/>
      <c r="P489" s="1254"/>
      <c r="Q489" s="1254"/>
      <c r="R489" s="1254"/>
      <c r="S489" s="1254"/>
      <c r="T489" s="1254"/>
      <c r="U489" s="1254"/>
    </row>
    <row r="490" spans="7:21" ht="15.6">
      <c r="G490" s="1255"/>
      <c r="H490" s="1254"/>
      <c r="I490" s="1254"/>
      <c r="J490" s="1254"/>
      <c r="K490" s="1254"/>
      <c r="L490" s="1254"/>
      <c r="M490" s="1254"/>
      <c r="N490" s="1254"/>
      <c r="O490" s="1254"/>
      <c r="P490" s="1254"/>
      <c r="Q490" s="1254"/>
      <c r="R490" s="1254"/>
      <c r="S490" s="1254"/>
      <c r="T490" s="1254"/>
      <c r="U490" s="1254"/>
    </row>
    <row r="491" spans="7:21" ht="15.6">
      <c r="G491" s="1255"/>
      <c r="H491" s="1254"/>
      <c r="I491" s="1254"/>
      <c r="J491" s="1254"/>
      <c r="K491" s="1254"/>
      <c r="L491" s="1254"/>
      <c r="M491" s="1254"/>
      <c r="N491" s="1254"/>
      <c r="O491" s="1254"/>
      <c r="P491" s="1254"/>
      <c r="Q491" s="1254"/>
      <c r="R491" s="1254"/>
      <c r="S491" s="1254"/>
      <c r="T491" s="1254"/>
      <c r="U491" s="1254"/>
    </row>
    <row r="492" spans="7:21" ht="15.6">
      <c r="G492" s="1255"/>
      <c r="H492" s="1254"/>
      <c r="I492" s="1254"/>
      <c r="J492" s="1254"/>
      <c r="K492" s="1254"/>
      <c r="L492" s="1254"/>
      <c r="M492" s="1254"/>
      <c r="N492" s="1254"/>
      <c r="O492" s="1254"/>
      <c r="P492" s="1254"/>
      <c r="Q492" s="1254"/>
      <c r="R492" s="1254"/>
      <c r="S492" s="1254"/>
      <c r="T492" s="1254"/>
      <c r="U492" s="1254"/>
    </row>
    <row r="493" spans="7:21" ht="15.6">
      <c r="G493" s="1255"/>
      <c r="H493" s="1254"/>
      <c r="I493" s="1254"/>
      <c r="J493" s="1254"/>
      <c r="K493" s="1254"/>
      <c r="L493" s="1254"/>
      <c r="M493" s="1254"/>
      <c r="N493" s="1254"/>
      <c r="O493" s="1254"/>
      <c r="P493" s="1254"/>
      <c r="Q493" s="1254"/>
      <c r="R493" s="1254"/>
      <c r="S493" s="1254"/>
      <c r="T493" s="1254"/>
      <c r="U493" s="1254"/>
    </row>
    <row r="494" spans="7:21" ht="15.6">
      <c r="G494" s="1255"/>
      <c r="H494" s="1254"/>
      <c r="I494" s="1254"/>
      <c r="J494" s="1254"/>
      <c r="K494" s="1254"/>
      <c r="L494" s="1254"/>
      <c r="M494" s="1254"/>
      <c r="N494" s="1254"/>
      <c r="O494" s="1254"/>
      <c r="P494" s="1254"/>
      <c r="Q494" s="1254"/>
      <c r="R494" s="1254"/>
      <c r="S494" s="1254"/>
      <c r="T494" s="1254"/>
      <c r="U494" s="1254"/>
    </row>
    <row r="495" spans="7:21" ht="15.6">
      <c r="G495" s="1255"/>
      <c r="H495" s="1254"/>
      <c r="I495" s="1254"/>
      <c r="J495" s="1254"/>
      <c r="K495" s="1254"/>
      <c r="L495" s="1254"/>
      <c r="M495" s="1254"/>
      <c r="N495" s="1254"/>
      <c r="O495" s="1254"/>
      <c r="P495" s="1254"/>
      <c r="Q495" s="1254"/>
      <c r="R495" s="1254"/>
      <c r="S495" s="1254"/>
      <c r="T495" s="1254"/>
      <c r="U495" s="1254"/>
    </row>
    <row r="496" spans="7:21" ht="15.6">
      <c r="G496" s="1255"/>
      <c r="H496" s="1254"/>
      <c r="I496" s="1254"/>
      <c r="J496" s="1254"/>
      <c r="K496" s="1254"/>
      <c r="L496" s="1254"/>
      <c r="M496" s="1254"/>
      <c r="N496" s="1254"/>
      <c r="O496" s="1254"/>
      <c r="P496" s="1254"/>
      <c r="Q496" s="1254"/>
      <c r="R496" s="1254"/>
      <c r="S496" s="1254"/>
      <c r="T496" s="1254"/>
      <c r="U496" s="1254"/>
    </row>
    <row r="497" spans="7:21" ht="15.6">
      <c r="G497" s="1255"/>
      <c r="H497" s="1254"/>
      <c r="I497" s="1254"/>
      <c r="J497" s="1254"/>
      <c r="K497" s="1254"/>
      <c r="L497" s="1254"/>
      <c r="M497" s="1254"/>
      <c r="N497" s="1254"/>
      <c r="O497" s="1254"/>
      <c r="P497" s="1254"/>
      <c r="Q497" s="1254"/>
      <c r="R497" s="1254"/>
      <c r="S497" s="1254"/>
      <c r="T497" s="1254"/>
      <c r="U497" s="1254"/>
    </row>
    <row r="498" spans="7:21" ht="15.6">
      <c r="G498" s="1255"/>
      <c r="H498" s="1254"/>
      <c r="I498" s="1254"/>
      <c r="J498" s="1254"/>
      <c r="K498" s="1254"/>
      <c r="L498" s="1254"/>
      <c r="M498" s="1254"/>
      <c r="N498" s="1254"/>
      <c r="O498" s="1254"/>
      <c r="P498" s="1254"/>
      <c r="Q498" s="1254"/>
      <c r="R498" s="1254"/>
      <c r="S498" s="1254"/>
      <c r="T498" s="1254"/>
      <c r="U498" s="1254"/>
    </row>
    <row r="499" spans="7:21" ht="15.6">
      <c r="G499" s="1255"/>
      <c r="H499" s="1254"/>
      <c r="I499" s="1254"/>
      <c r="J499" s="1254"/>
      <c r="K499" s="1254"/>
      <c r="L499" s="1254"/>
      <c r="M499" s="1254"/>
      <c r="N499" s="1254"/>
      <c r="O499" s="1254"/>
      <c r="P499" s="1254"/>
      <c r="Q499" s="1254"/>
      <c r="R499" s="1254"/>
      <c r="S499" s="1254"/>
      <c r="T499" s="1254"/>
      <c r="U499" s="1254"/>
    </row>
    <row r="500" spans="7:21" ht="15.6">
      <c r="G500" s="1255"/>
      <c r="H500" s="1254"/>
      <c r="I500" s="1254"/>
      <c r="J500" s="1254"/>
      <c r="K500" s="1254"/>
      <c r="L500" s="1254"/>
      <c r="M500" s="1254"/>
      <c r="N500" s="1254"/>
      <c r="O500" s="1254"/>
      <c r="P500" s="1254"/>
      <c r="Q500" s="1254"/>
      <c r="R500" s="1254"/>
      <c r="S500" s="1254"/>
      <c r="T500" s="1254"/>
      <c r="U500" s="1254"/>
    </row>
    <row r="501" spans="7:21" ht="15.6">
      <c r="G501" s="1255"/>
      <c r="H501" s="1254"/>
      <c r="I501" s="1254"/>
      <c r="J501" s="1254"/>
      <c r="K501" s="1254"/>
      <c r="L501" s="1254"/>
      <c r="M501" s="1254"/>
      <c r="N501" s="1254"/>
      <c r="O501" s="1254"/>
      <c r="P501" s="1254"/>
      <c r="Q501" s="1254"/>
      <c r="R501" s="1254"/>
      <c r="S501" s="1254"/>
      <c r="T501" s="1254"/>
      <c r="U501" s="1254"/>
    </row>
    <row r="502" spans="7:21" ht="15.6">
      <c r="G502" s="1255"/>
      <c r="H502" s="1254"/>
      <c r="I502" s="1254"/>
      <c r="J502" s="1254"/>
      <c r="K502" s="1254"/>
      <c r="L502" s="1254"/>
      <c r="M502" s="1254"/>
      <c r="N502" s="1254"/>
      <c r="O502" s="1254"/>
      <c r="P502" s="1254"/>
      <c r="Q502" s="1254"/>
      <c r="R502" s="1254"/>
      <c r="S502" s="1254"/>
      <c r="T502" s="1254"/>
      <c r="U502" s="1254"/>
    </row>
    <row r="503" spans="7:21" ht="15.6">
      <c r="G503" s="1255"/>
      <c r="H503" s="1254"/>
      <c r="I503" s="1254"/>
      <c r="J503" s="1254"/>
      <c r="K503" s="1254"/>
      <c r="L503" s="1254"/>
      <c r="M503" s="1254"/>
      <c r="N503" s="1254"/>
      <c r="O503" s="1254"/>
      <c r="P503" s="1254"/>
      <c r="Q503" s="1254"/>
      <c r="R503" s="1254"/>
      <c r="S503" s="1254"/>
      <c r="T503" s="1254"/>
      <c r="U503" s="1254"/>
    </row>
    <row r="504" spans="7:21" ht="15.6">
      <c r="G504" s="1255"/>
      <c r="H504" s="1254"/>
      <c r="I504" s="1254"/>
      <c r="J504" s="1254"/>
      <c r="K504" s="1254"/>
      <c r="L504" s="1254"/>
      <c r="M504" s="1254"/>
      <c r="N504" s="1254"/>
      <c r="O504" s="1254"/>
      <c r="P504" s="1254"/>
      <c r="Q504" s="1254"/>
      <c r="R504" s="1254"/>
      <c r="S504" s="1254"/>
      <c r="T504" s="1254"/>
      <c r="U504" s="1254"/>
    </row>
    <row r="505" spans="7:21" ht="15.6">
      <c r="G505" s="1255"/>
      <c r="H505" s="1254"/>
      <c r="I505" s="1254"/>
      <c r="J505" s="1254"/>
      <c r="K505" s="1254"/>
      <c r="L505" s="1254"/>
      <c r="M505" s="1254"/>
      <c r="N505" s="1254"/>
      <c r="O505" s="1254"/>
      <c r="P505" s="1254"/>
      <c r="Q505" s="1254"/>
      <c r="R505" s="1254"/>
      <c r="S505" s="1254"/>
      <c r="T505" s="1254"/>
      <c r="U505" s="1254"/>
    </row>
    <row r="506" spans="7:21" ht="15.6">
      <c r="G506" s="1255"/>
      <c r="H506" s="1254"/>
      <c r="I506" s="1254"/>
      <c r="J506" s="1254"/>
      <c r="K506" s="1254"/>
      <c r="L506" s="1254"/>
      <c r="M506" s="1254"/>
      <c r="N506" s="1254"/>
      <c r="O506" s="1254"/>
      <c r="P506" s="1254"/>
      <c r="Q506" s="1254"/>
      <c r="R506" s="1254"/>
      <c r="S506" s="1254"/>
      <c r="T506" s="1254"/>
      <c r="U506" s="1254"/>
    </row>
    <row r="507" spans="7:21" ht="15.6">
      <c r="G507" s="1255"/>
      <c r="H507" s="1254"/>
      <c r="I507" s="1254"/>
      <c r="J507" s="1254"/>
      <c r="K507" s="1254"/>
      <c r="L507" s="1254"/>
      <c r="M507" s="1254"/>
      <c r="N507" s="1254"/>
      <c r="O507" s="1254"/>
      <c r="P507" s="1254"/>
      <c r="Q507" s="1254"/>
      <c r="R507" s="1254"/>
      <c r="S507" s="1254"/>
      <c r="T507" s="1254"/>
      <c r="U507" s="1254"/>
    </row>
    <row r="508" spans="7:21" ht="15.6">
      <c r="G508" s="1255"/>
      <c r="H508" s="1254"/>
      <c r="I508" s="1254"/>
      <c r="J508" s="1254"/>
      <c r="K508" s="1254"/>
      <c r="L508" s="1254"/>
      <c r="M508" s="1254"/>
      <c r="N508" s="1254"/>
      <c r="O508" s="1254"/>
      <c r="P508" s="1254"/>
      <c r="Q508" s="1254"/>
      <c r="R508" s="1254"/>
      <c r="S508" s="1254"/>
      <c r="T508" s="1254"/>
      <c r="U508" s="1254"/>
    </row>
    <row r="509" spans="7:21" ht="15.6">
      <c r="G509" s="1255"/>
      <c r="H509" s="1254"/>
      <c r="I509" s="1254"/>
      <c r="J509" s="1254"/>
      <c r="K509" s="1254"/>
      <c r="L509" s="1254"/>
      <c r="M509" s="1254"/>
      <c r="N509" s="1254"/>
      <c r="O509" s="1254"/>
      <c r="P509" s="1254"/>
      <c r="Q509" s="1254"/>
      <c r="R509" s="1254"/>
      <c r="S509" s="1254"/>
      <c r="T509" s="1254"/>
      <c r="U509" s="1254"/>
    </row>
    <row r="510" spans="7:21" ht="15.6">
      <c r="G510" s="1255"/>
      <c r="H510" s="1254"/>
      <c r="I510" s="1254"/>
      <c r="J510" s="1254"/>
      <c r="K510" s="1254"/>
      <c r="L510" s="1254"/>
      <c r="M510" s="1254"/>
      <c r="N510" s="1254"/>
      <c r="O510" s="1254"/>
      <c r="P510" s="1254"/>
      <c r="Q510" s="1254"/>
      <c r="R510" s="1254"/>
      <c r="S510" s="1254"/>
      <c r="T510" s="1254"/>
      <c r="U510" s="1254"/>
    </row>
    <row r="511" spans="7:21" ht="15.6">
      <c r="G511" s="1255"/>
      <c r="H511" s="1254"/>
      <c r="I511" s="1254"/>
      <c r="J511" s="1254"/>
      <c r="K511" s="1254"/>
      <c r="L511" s="1254"/>
      <c r="M511" s="1254"/>
      <c r="N511" s="1254"/>
      <c r="O511" s="1254"/>
      <c r="P511" s="1254"/>
      <c r="Q511" s="1254"/>
      <c r="R511" s="1254"/>
      <c r="S511" s="1254"/>
      <c r="T511" s="1254"/>
      <c r="U511" s="1254"/>
    </row>
    <row r="512" spans="7:21" ht="15.6">
      <c r="G512" s="1255"/>
      <c r="H512" s="1254"/>
      <c r="I512" s="1254"/>
      <c r="J512" s="1254"/>
      <c r="K512" s="1254"/>
      <c r="L512" s="1254"/>
      <c r="M512" s="1254"/>
      <c r="N512" s="1254"/>
      <c r="O512" s="1254"/>
      <c r="P512" s="1254"/>
      <c r="Q512" s="1254"/>
      <c r="R512" s="1254"/>
      <c r="S512" s="1254"/>
      <c r="T512" s="1254"/>
      <c r="U512" s="1254"/>
    </row>
    <row r="513" spans="7:21" ht="15.6">
      <c r="G513" s="1255"/>
      <c r="H513" s="1254"/>
      <c r="I513" s="1254"/>
      <c r="J513" s="1254"/>
      <c r="K513" s="1254"/>
      <c r="L513" s="1254"/>
      <c r="M513" s="1254"/>
      <c r="N513" s="1254"/>
      <c r="O513" s="1254"/>
      <c r="P513" s="1254"/>
      <c r="Q513" s="1254"/>
      <c r="R513" s="1254"/>
      <c r="S513" s="1254"/>
      <c r="T513" s="1254"/>
      <c r="U513" s="1254"/>
    </row>
    <row r="514" spans="7:21" ht="15.6">
      <c r="G514" s="1255"/>
      <c r="H514" s="1254"/>
      <c r="I514" s="1254"/>
      <c r="J514" s="1254"/>
      <c r="K514" s="1254"/>
      <c r="L514" s="1254"/>
      <c r="M514" s="1254"/>
      <c r="N514" s="1254"/>
      <c r="O514" s="1254"/>
      <c r="P514" s="1254"/>
      <c r="Q514" s="1254"/>
      <c r="R514" s="1254"/>
      <c r="S514" s="1254"/>
      <c r="T514" s="1254"/>
      <c r="U514" s="1254"/>
    </row>
    <row r="515" spans="7:21" ht="15.6">
      <c r="G515" s="1255"/>
      <c r="H515" s="1254"/>
      <c r="I515" s="1254"/>
      <c r="J515" s="1254"/>
      <c r="K515" s="1254"/>
      <c r="L515" s="1254"/>
      <c r="M515" s="1254"/>
      <c r="N515" s="1254"/>
      <c r="O515" s="1254"/>
      <c r="P515" s="1254"/>
      <c r="Q515" s="1254"/>
      <c r="R515" s="1254"/>
      <c r="S515" s="1254"/>
      <c r="T515" s="1254"/>
      <c r="U515" s="1254"/>
    </row>
    <row r="516" spans="7:21" ht="15.6">
      <c r="G516" s="1255"/>
      <c r="H516" s="1254"/>
      <c r="I516" s="1254"/>
      <c r="J516" s="1254"/>
      <c r="K516" s="1254"/>
      <c r="L516" s="1254"/>
      <c r="M516" s="1254"/>
      <c r="N516" s="1254"/>
      <c r="O516" s="1254"/>
      <c r="P516" s="1254"/>
      <c r="Q516" s="1254"/>
      <c r="R516" s="1254"/>
      <c r="S516" s="1254"/>
      <c r="T516" s="1254"/>
      <c r="U516" s="1254"/>
    </row>
    <row r="517" spans="7:21" ht="15.6">
      <c r="G517" s="1255"/>
      <c r="H517" s="1254"/>
      <c r="I517" s="1254"/>
      <c r="J517" s="1254"/>
      <c r="K517" s="1254"/>
      <c r="L517" s="1254"/>
      <c r="M517" s="1254"/>
      <c r="N517" s="1254"/>
      <c r="O517" s="1254"/>
      <c r="P517" s="1254"/>
      <c r="Q517" s="1254"/>
      <c r="R517" s="1254"/>
      <c r="S517" s="1254"/>
      <c r="T517" s="1254"/>
      <c r="U517" s="1254"/>
    </row>
    <row r="518" spans="7:21" ht="15.6">
      <c r="G518" s="1255"/>
      <c r="H518" s="1254"/>
      <c r="I518" s="1254"/>
      <c r="J518" s="1254"/>
      <c r="K518" s="1254"/>
      <c r="L518" s="1254"/>
      <c r="M518" s="1254"/>
      <c r="N518" s="1254"/>
      <c r="O518" s="1254"/>
      <c r="P518" s="1254"/>
      <c r="Q518" s="1254"/>
      <c r="R518" s="1254"/>
      <c r="S518" s="1254"/>
      <c r="T518" s="1254"/>
      <c r="U518" s="1254"/>
    </row>
    <row r="519" spans="7:21" ht="15.6">
      <c r="G519" s="1255"/>
      <c r="H519" s="1254"/>
      <c r="I519" s="1254"/>
      <c r="J519" s="1254"/>
      <c r="K519" s="1254"/>
      <c r="L519" s="1254"/>
      <c r="M519" s="1254"/>
      <c r="N519" s="1254"/>
      <c r="O519" s="1254"/>
      <c r="P519" s="1254"/>
      <c r="Q519" s="1254"/>
      <c r="R519" s="1254"/>
      <c r="S519" s="1254"/>
      <c r="T519" s="1254"/>
      <c r="U519" s="1254"/>
    </row>
    <row r="520" spans="7:21" ht="15.6">
      <c r="G520" s="1255"/>
      <c r="H520" s="1254"/>
      <c r="I520" s="1254"/>
      <c r="J520" s="1254"/>
      <c r="K520" s="1254"/>
      <c r="L520" s="1254"/>
      <c r="M520" s="1254"/>
      <c r="N520" s="1254"/>
      <c r="O520" s="1254"/>
      <c r="P520" s="1254"/>
      <c r="Q520" s="1254"/>
      <c r="R520" s="1254"/>
      <c r="S520" s="1254"/>
      <c r="T520" s="1254"/>
      <c r="U520" s="1254"/>
    </row>
    <row r="521" spans="7:21" ht="15.6">
      <c r="G521" s="1255"/>
      <c r="H521" s="1254"/>
      <c r="I521" s="1254"/>
      <c r="J521" s="1254"/>
      <c r="K521" s="1254"/>
      <c r="L521" s="1254"/>
      <c r="M521" s="1254"/>
      <c r="N521" s="1254"/>
      <c r="O521" s="1254"/>
      <c r="P521" s="1254"/>
      <c r="Q521" s="1254"/>
      <c r="R521" s="1254"/>
      <c r="S521" s="1254"/>
      <c r="T521" s="1254"/>
      <c r="U521" s="1254"/>
    </row>
    <row r="522" spans="7:21" ht="15.6">
      <c r="G522" s="1255"/>
      <c r="H522" s="1254"/>
      <c r="I522" s="1254"/>
      <c r="J522" s="1254"/>
      <c r="K522" s="1254"/>
      <c r="L522" s="1254"/>
      <c r="M522" s="1254"/>
      <c r="N522" s="1254"/>
      <c r="O522" s="1254"/>
      <c r="P522" s="1254"/>
      <c r="Q522" s="1254"/>
      <c r="R522" s="1254"/>
      <c r="S522" s="1254"/>
      <c r="T522" s="1254"/>
      <c r="U522" s="1254"/>
    </row>
    <row r="523" spans="7:21" ht="15.6">
      <c r="G523" s="1255"/>
      <c r="H523" s="1254"/>
      <c r="I523" s="1254"/>
      <c r="J523" s="1254"/>
      <c r="K523" s="1254"/>
      <c r="L523" s="1254"/>
      <c r="M523" s="1254"/>
      <c r="N523" s="1254"/>
      <c r="O523" s="1254"/>
      <c r="P523" s="1254"/>
      <c r="Q523" s="1254"/>
      <c r="R523" s="1254"/>
      <c r="S523" s="1254"/>
      <c r="T523" s="1254"/>
      <c r="U523" s="1254"/>
    </row>
    <row r="524" spans="7:21" ht="15.6">
      <c r="G524" s="1255"/>
      <c r="H524" s="1254"/>
      <c r="I524" s="1254"/>
      <c r="J524" s="1254"/>
      <c r="K524" s="1254"/>
      <c r="L524" s="1254"/>
      <c r="M524" s="1254"/>
      <c r="N524" s="1254"/>
      <c r="O524" s="1254"/>
      <c r="P524" s="1254"/>
      <c r="Q524" s="1254"/>
      <c r="R524" s="1254"/>
      <c r="S524" s="1254"/>
      <c r="T524" s="1254"/>
      <c r="U524" s="1254"/>
    </row>
    <row r="525" spans="7:21" ht="15.6">
      <c r="G525" s="1255"/>
      <c r="H525" s="1254"/>
      <c r="I525" s="1254"/>
      <c r="J525" s="1254"/>
      <c r="K525" s="1254"/>
      <c r="L525" s="1254"/>
      <c r="M525" s="1254"/>
      <c r="N525" s="1254"/>
      <c r="O525" s="1254"/>
      <c r="P525" s="1254"/>
      <c r="Q525" s="1254"/>
      <c r="R525" s="1254"/>
      <c r="S525" s="1254"/>
      <c r="T525" s="1254"/>
      <c r="U525" s="1254"/>
    </row>
    <row r="526" spans="7:21" ht="15.6">
      <c r="G526" s="1255"/>
      <c r="H526" s="1254"/>
      <c r="I526" s="1254"/>
      <c r="J526" s="1254"/>
      <c r="K526" s="1254"/>
      <c r="L526" s="1254"/>
      <c r="M526" s="1254"/>
      <c r="N526" s="1254"/>
      <c r="O526" s="1254"/>
      <c r="P526" s="1254"/>
      <c r="Q526" s="1254"/>
      <c r="R526" s="1254"/>
      <c r="S526" s="1254"/>
      <c r="T526" s="1254"/>
      <c r="U526" s="1254"/>
    </row>
    <row r="527" spans="7:21" ht="15.6">
      <c r="G527" s="1255"/>
      <c r="H527" s="1254"/>
      <c r="I527" s="1254"/>
      <c r="J527" s="1254"/>
      <c r="K527" s="1254"/>
      <c r="L527" s="1254"/>
      <c r="M527" s="1254"/>
      <c r="N527" s="1254"/>
      <c r="O527" s="1254"/>
      <c r="P527" s="1254"/>
      <c r="Q527" s="1254"/>
      <c r="R527" s="1254"/>
      <c r="S527" s="1254"/>
      <c r="T527" s="1254"/>
      <c r="U527" s="1254"/>
    </row>
    <row r="528" spans="7:21" ht="15.6">
      <c r="G528" s="1255"/>
      <c r="H528" s="1254"/>
      <c r="I528" s="1254"/>
      <c r="J528" s="1254"/>
      <c r="K528" s="1254"/>
      <c r="L528" s="1254"/>
      <c r="M528" s="1254"/>
      <c r="N528" s="1254"/>
      <c r="O528" s="1254"/>
      <c r="P528" s="1254"/>
      <c r="Q528" s="1254"/>
      <c r="R528" s="1254"/>
      <c r="S528" s="1254"/>
      <c r="T528" s="1254"/>
      <c r="U528" s="1254"/>
    </row>
    <row r="529" spans="7:21" ht="15.6">
      <c r="G529" s="1255"/>
      <c r="H529" s="1254"/>
      <c r="I529" s="1254"/>
      <c r="J529" s="1254"/>
      <c r="K529" s="1254"/>
      <c r="L529" s="1254"/>
      <c r="M529" s="1254"/>
      <c r="N529" s="1254"/>
      <c r="O529" s="1254"/>
      <c r="P529" s="1254"/>
      <c r="Q529" s="1254"/>
      <c r="R529" s="1254"/>
      <c r="S529" s="1254"/>
      <c r="T529" s="1254"/>
      <c r="U529" s="1254"/>
    </row>
    <row r="530" spans="7:21" ht="15.6">
      <c r="G530" s="1255"/>
      <c r="H530" s="1254"/>
      <c r="I530" s="1254"/>
      <c r="J530" s="1254"/>
      <c r="K530" s="1254"/>
      <c r="L530" s="1254"/>
      <c r="M530" s="1254"/>
      <c r="N530" s="1254"/>
      <c r="O530" s="1254"/>
      <c r="P530" s="1254"/>
      <c r="Q530" s="1254"/>
      <c r="R530" s="1254"/>
      <c r="S530" s="1254"/>
      <c r="T530" s="1254"/>
      <c r="U530" s="1254"/>
    </row>
    <row r="531" spans="7:21" ht="15.6">
      <c r="G531" s="1255"/>
      <c r="H531" s="1254"/>
      <c r="I531" s="1254"/>
      <c r="J531" s="1254"/>
      <c r="K531" s="1254"/>
      <c r="L531" s="1254"/>
      <c r="M531" s="1254"/>
      <c r="N531" s="1254"/>
      <c r="O531" s="1254"/>
      <c r="P531" s="1254"/>
      <c r="Q531" s="1254"/>
      <c r="R531" s="1254"/>
      <c r="S531" s="1254"/>
      <c r="T531" s="1254"/>
      <c r="U531" s="1254"/>
    </row>
    <row r="532" spans="7:21" ht="15.6">
      <c r="G532" s="1255"/>
      <c r="H532" s="1254"/>
      <c r="I532" s="1254"/>
      <c r="J532" s="1254"/>
      <c r="K532" s="1254"/>
      <c r="L532" s="1254"/>
      <c r="M532" s="1254"/>
      <c r="N532" s="1254"/>
      <c r="O532" s="1254"/>
      <c r="P532" s="1254"/>
      <c r="Q532" s="1254"/>
      <c r="R532" s="1254"/>
      <c r="S532" s="1254"/>
      <c r="T532" s="1254"/>
      <c r="U532" s="1254"/>
    </row>
    <row r="533" spans="7:21" ht="15.6">
      <c r="G533" s="1255"/>
      <c r="H533" s="1254"/>
      <c r="I533" s="1254"/>
      <c r="J533" s="1254"/>
      <c r="K533" s="1254"/>
      <c r="L533" s="1254"/>
      <c r="M533" s="1254"/>
      <c r="N533" s="1254"/>
      <c r="O533" s="1254"/>
      <c r="P533" s="1254"/>
      <c r="Q533" s="1254"/>
      <c r="R533" s="1254"/>
      <c r="S533" s="1254"/>
      <c r="T533" s="1254"/>
      <c r="U533" s="1254"/>
    </row>
    <row r="534" spans="7:21" ht="15.6">
      <c r="G534" s="1255"/>
      <c r="H534" s="1254"/>
      <c r="I534" s="1254"/>
      <c r="J534" s="1254"/>
      <c r="K534" s="1254"/>
      <c r="L534" s="1254"/>
      <c r="M534" s="1254"/>
      <c r="N534" s="1254"/>
      <c r="O534" s="1254"/>
      <c r="P534" s="1254"/>
      <c r="Q534" s="1254"/>
      <c r="R534" s="1254"/>
      <c r="S534" s="1254"/>
      <c r="T534" s="1254"/>
      <c r="U534" s="1254"/>
    </row>
    <row r="535" spans="7:21" ht="15.6">
      <c r="G535" s="1255"/>
      <c r="H535" s="1254"/>
      <c r="I535" s="1254"/>
      <c r="J535" s="1254"/>
      <c r="K535" s="1254"/>
      <c r="L535" s="1254"/>
      <c r="M535" s="1254"/>
      <c r="N535" s="1254"/>
      <c r="O535" s="1254"/>
      <c r="P535" s="1254"/>
      <c r="Q535" s="1254"/>
      <c r="R535" s="1254"/>
      <c r="S535" s="1254"/>
      <c r="T535" s="1254"/>
      <c r="U535" s="1254"/>
    </row>
    <row r="536" spans="7:21" ht="15.6">
      <c r="G536" s="1255"/>
      <c r="H536" s="1254"/>
      <c r="I536" s="1254"/>
      <c r="J536" s="1254"/>
      <c r="K536" s="1254"/>
      <c r="L536" s="1254"/>
      <c r="M536" s="1254"/>
      <c r="N536" s="1254"/>
      <c r="O536" s="1254"/>
      <c r="P536" s="1254"/>
      <c r="Q536" s="1254"/>
      <c r="R536" s="1254"/>
      <c r="S536" s="1254"/>
      <c r="T536" s="1254"/>
      <c r="U536" s="1254"/>
    </row>
    <row r="537" spans="7:21" ht="15.6">
      <c r="G537" s="1255"/>
      <c r="H537" s="1254"/>
      <c r="I537" s="1254"/>
      <c r="J537" s="1254"/>
      <c r="K537" s="1254"/>
      <c r="L537" s="1254"/>
      <c r="M537" s="1254"/>
      <c r="N537" s="1254"/>
      <c r="O537" s="1254"/>
      <c r="P537" s="1254"/>
      <c r="Q537" s="1254"/>
      <c r="R537" s="1254"/>
      <c r="S537" s="1254"/>
      <c r="T537" s="1254"/>
      <c r="U537" s="1254"/>
    </row>
    <row r="538" spans="7:21" ht="15.6">
      <c r="G538" s="1255"/>
      <c r="H538" s="1254"/>
      <c r="I538" s="1254"/>
      <c r="J538" s="1254"/>
      <c r="K538" s="1254"/>
      <c r="L538" s="1254"/>
      <c r="M538" s="1254"/>
      <c r="N538" s="1254"/>
      <c r="O538" s="1254"/>
      <c r="P538" s="1254"/>
      <c r="Q538" s="1254"/>
      <c r="R538" s="1254"/>
      <c r="S538" s="1254"/>
      <c r="T538" s="1254"/>
      <c r="U538" s="1254"/>
    </row>
    <row r="539" spans="7:21" ht="15.6">
      <c r="G539" s="1255"/>
      <c r="H539" s="1254"/>
      <c r="I539" s="1254"/>
      <c r="J539" s="1254"/>
      <c r="K539" s="1254"/>
      <c r="L539" s="1254"/>
      <c r="M539" s="1254"/>
      <c r="N539" s="1254"/>
      <c r="O539" s="1254"/>
      <c r="P539" s="1254"/>
      <c r="Q539" s="1254"/>
      <c r="R539" s="1254"/>
      <c r="S539" s="1254"/>
      <c r="T539" s="1254"/>
      <c r="U539" s="1254"/>
    </row>
    <row r="540" spans="7:21" ht="15.6">
      <c r="G540" s="1255"/>
      <c r="H540" s="1254"/>
      <c r="I540" s="1254"/>
      <c r="J540" s="1254"/>
      <c r="K540" s="1254"/>
      <c r="L540" s="1254"/>
      <c r="M540" s="1254"/>
      <c r="N540" s="1254"/>
      <c r="O540" s="1254"/>
      <c r="P540" s="1254"/>
      <c r="Q540" s="1254"/>
      <c r="R540" s="1254"/>
      <c r="S540" s="1254"/>
      <c r="T540" s="1254"/>
      <c r="U540" s="1254"/>
    </row>
    <row r="541" spans="7:21" ht="15.6">
      <c r="G541" s="1255"/>
      <c r="H541" s="1254"/>
      <c r="I541" s="1254"/>
      <c r="J541" s="1254"/>
      <c r="K541" s="1254"/>
      <c r="L541" s="1254"/>
      <c r="M541" s="1254"/>
      <c r="N541" s="1254"/>
      <c r="O541" s="1254"/>
      <c r="P541" s="1254"/>
      <c r="Q541" s="1254"/>
      <c r="R541" s="1254"/>
      <c r="S541" s="1254"/>
      <c r="T541" s="1254"/>
      <c r="U541" s="1254"/>
    </row>
    <row r="542" spans="7:21" ht="15.6">
      <c r="G542" s="1255"/>
      <c r="H542" s="1254"/>
      <c r="I542" s="1254"/>
      <c r="J542" s="1254"/>
      <c r="K542" s="1254"/>
      <c r="L542" s="1254"/>
      <c r="M542" s="1254"/>
      <c r="N542" s="1254"/>
      <c r="O542" s="1254"/>
      <c r="P542" s="1254"/>
      <c r="Q542" s="1254"/>
      <c r="R542" s="1254"/>
      <c r="S542" s="1254"/>
      <c r="T542" s="1254"/>
      <c r="U542" s="1254"/>
    </row>
    <row r="543" spans="7:21" ht="15.6">
      <c r="G543" s="1255"/>
      <c r="H543" s="1254"/>
      <c r="I543" s="1254"/>
      <c r="J543" s="1254"/>
      <c r="K543" s="1254"/>
      <c r="L543" s="1254"/>
      <c r="M543" s="1254"/>
      <c r="N543" s="1254"/>
      <c r="O543" s="1254"/>
      <c r="P543" s="1254"/>
      <c r="Q543" s="1254"/>
      <c r="R543" s="1254"/>
      <c r="S543" s="1254"/>
      <c r="T543" s="1254"/>
      <c r="U543" s="1254"/>
    </row>
    <row r="544" spans="7:21" ht="15.6">
      <c r="G544" s="1255"/>
      <c r="H544" s="1254"/>
      <c r="I544" s="1254"/>
      <c r="J544" s="1254"/>
      <c r="K544" s="1254"/>
      <c r="L544" s="1254"/>
      <c r="M544" s="1254"/>
      <c r="N544" s="1254"/>
      <c r="O544" s="1254"/>
      <c r="P544" s="1254"/>
      <c r="Q544" s="1254"/>
      <c r="R544" s="1254"/>
      <c r="S544" s="1254"/>
      <c r="T544" s="1254"/>
      <c r="U544" s="1254"/>
    </row>
    <row r="545" spans="7:21" ht="15.6">
      <c r="G545" s="1255"/>
      <c r="H545" s="1254"/>
      <c r="I545" s="1254"/>
      <c r="J545" s="1254"/>
      <c r="K545" s="1254"/>
      <c r="L545" s="1254"/>
      <c r="M545" s="1254"/>
      <c r="N545" s="1254"/>
      <c r="O545" s="1254"/>
      <c r="P545" s="1254"/>
      <c r="Q545" s="1254"/>
      <c r="R545" s="1254"/>
      <c r="S545" s="1254"/>
      <c r="T545" s="1254"/>
      <c r="U545" s="1254"/>
    </row>
    <row r="546" spans="7:21" ht="15.6">
      <c r="G546" s="1255"/>
      <c r="H546" s="1254"/>
      <c r="I546" s="1254"/>
      <c r="J546" s="1254"/>
      <c r="K546" s="1254"/>
      <c r="L546" s="1254"/>
      <c r="M546" s="1254"/>
      <c r="N546" s="1254"/>
      <c r="O546" s="1254"/>
      <c r="P546" s="1254"/>
      <c r="Q546" s="1254"/>
      <c r="R546" s="1254"/>
      <c r="S546" s="1254"/>
      <c r="T546" s="1254"/>
      <c r="U546" s="1254"/>
    </row>
    <row r="547" spans="7:21" ht="15.6">
      <c r="G547" s="1255"/>
      <c r="H547" s="1254"/>
      <c r="I547" s="1254"/>
      <c r="J547" s="1254"/>
      <c r="K547" s="1254"/>
      <c r="L547" s="1254"/>
      <c r="M547" s="1254"/>
      <c r="N547" s="1254"/>
      <c r="O547" s="1254"/>
      <c r="P547" s="1254"/>
      <c r="Q547" s="1254"/>
      <c r="R547" s="1254"/>
      <c r="S547" s="1254"/>
      <c r="T547" s="1254"/>
      <c r="U547" s="1254"/>
    </row>
    <row r="548" spans="7:21" ht="15.6">
      <c r="G548" s="1255"/>
      <c r="H548" s="1254"/>
      <c r="I548" s="1254"/>
      <c r="J548" s="1254"/>
      <c r="K548" s="1254"/>
      <c r="L548" s="1254"/>
      <c r="M548" s="1254"/>
      <c r="N548" s="1254"/>
      <c r="O548" s="1254"/>
      <c r="P548" s="1254"/>
      <c r="Q548" s="1254"/>
      <c r="R548" s="1254"/>
      <c r="S548" s="1254"/>
      <c r="T548" s="1254"/>
      <c r="U548" s="1254"/>
    </row>
    <row r="549" spans="7:21" ht="15.6">
      <c r="G549" s="1255"/>
      <c r="H549" s="1254"/>
      <c r="I549" s="1254"/>
      <c r="J549" s="1254"/>
      <c r="K549" s="1254"/>
      <c r="L549" s="1254"/>
      <c r="M549" s="1254"/>
      <c r="N549" s="1254"/>
      <c r="O549" s="1254"/>
      <c r="P549" s="1254"/>
      <c r="Q549" s="1254"/>
      <c r="R549" s="1254"/>
      <c r="S549" s="1254"/>
      <c r="T549" s="1254"/>
      <c r="U549" s="1254"/>
    </row>
    <row r="550" spans="7:21" ht="15.6">
      <c r="G550" s="1255"/>
      <c r="H550" s="1254"/>
      <c r="I550" s="1254"/>
      <c r="J550" s="1254"/>
      <c r="K550" s="1254"/>
      <c r="L550" s="1254"/>
      <c r="M550" s="1254"/>
      <c r="N550" s="1254"/>
      <c r="O550" s="1254"/>
      <c r="P550" s="1254"/>
      <c r="Q550" s="1254"/>
      <c r="R550" s="1254"/>
      <c r="S550" s="1254"/>
      <c r="T550" s="1254"/>
      <c r="U550" s="1254"/>
    </row>
    <row r="551" spans="7:21" ht="15.6">
      <c r="G551" s="1255"/>
      <c r="H551" s="1254"/>
      <c r="I551" s="1254"/>
      <c r="J551" s="1254"/>
      <c r="K551" s="1254"/>
      <c r="L551" s="1254"/>
      <c r="M551" s="1254"/>
      <c r="N551" s="1254"/>
      <c r="O551" s="1254"/>
      <c r="P551" s="1254"/>
      <c r="Q551" s="1254"/>
      <c r="R551" s="1254"/>
      <c r="S551" s="1254"/>
      <c r="T551" s="1254"/>
      <c r="U551" s="1254"/>
    </row>
    <row r="552" spans="7:21" ht="15.6">
      <c r="G552" s="1255"/>
      <c r="H552" s="1254"/>
      <c r="I552" s="1254"/>
      <c r="J552" s="1254"/>
      <c r="K552" s="1254"/>
      <c r="L552" s="1254"/>
      <c r="M552" s="1254"/>
      <c r="N552" s="1254"/>
      <c r="O552" s="1254"/>
      <c r="P552" s="1254"/>
      <c r="Q552" s="1254"/>
      <c r="R552" s="1254"/>
      <c r="S552" s="1254"/>
      <c r="T552" s="1254"/>
      <c r="U552" s="1254"/>
    </row>
    <row r="553" spans="7:21" ht="15.6">
      <c r="G553" s="1255"/>
      <c r="H553" s="1254"/>
      <c r="I553" s="1254"/>
      <c r="J553" s="1254"/>
      <c r="K553" s="1254"/>
      <c r="L553" s="1254"/>
      <c r="M553" s="1254"/>
      <c r="N553" s="1254"/>
      <c r="O553" s="1254"/>
      <c r="P553" s="1254"/>
      <c r="Q553" s="1254"/>
      <c r="R553" s="1254"/>
      <c r="S553" s="1254"/>
      <c r="T553" s="1254"/>
      <c r="U553" s="1254"/>
    </row>
    <row r="554" spans="7:21" ht="15.6">
      <c r="G554" s="1255"/>
      <c r="H554" s="1254"/>
      <c r="I554" s="1254"/>
      <c r="J554" s="1254"/>
      <c r="K554" s="1254"/>
      <c r="L554" s="1254"/>
      <c r="M554" s="1254"/>
      <c r="N554" s="1254"/>
      <c r="O554" s="1254"/>
      <c r="P554" s="1254"/>
      <c r="Q554" s="1254"/>
      <c r="R554" s="1254"/>
      <c r="S554" s="1254"/>
      <c r="T554" s="1254"/>
      <c r="U554" s="1254"/>
    </row>
    <row r="555" spans="7:21" ht="15.6">
      <c r="G555" s="1255"/>
      <c r="H555" s="1254"/>
      <c r="I555" s="1254"/>
      <c r="J555" s="1254"/>
      <c r="K555" s="1254"/>
      <c r="L555" s="1254"/>
      <c r="M555" s="1254"/>
      <c r="N555" s="1254"/>
      <c r="O555" s="1254"/>
      <c r="P555" s="1254"/>
      <c r="Q555" s="1254"/>
      <c r="R555" s="1254"/>
      <c r="S555" s="1254"/>
      <c r="T555" s="1254"/>
      <c r="U555" s="1254"/>
    </row>
    <row r="556" spans="7:21" ht="15.6">
      <c r="G556" s="1255"/>
      <c r="H556" s="1254"/>
      <c r="I556" s="1254"/>
      <c r="J556" s="1254"/>
      <c r="K556" s="1254"/>
      <c r="L556" s="1254"/>
      <c r="M556" s="1254"/>
      <c r="N556" s="1254"/>
      <c r="O556" s="1254"/>
      <c r="P556" s="1254"/>
      <c r="Q556" s="1254"/>
      <c r="R556" s="1254"/>
      <c r="S556" s="1254"/>
      <c r="T556" s="1254"/>
      <c r="U556" s="1254"/>
    </row>
    <row r="557" spans="7:21" ht="15.6">
      <c r="G557" s="1255"/>
      <c r="H557" s="1254"/>
      <c r="I557" s="1254"/>
      <c r="J557" s="1254"/>
      <c r="K557" s="1254"/>
      <c r="L557" s="1254"/>
      <c r="M557" s="1254"/>
      <c r="N557" s="1254"/>
      <c r="O557" s="1254"/>
      <c r="P557" s="1254"/>
      <c r="Q557" s="1254"/>
      <c r="R557" s="1254"/>
      <c r="S557" s="1254"/>
      <c r="T557" s="1254"/>
      <c r="U557" s="1254"/>
    </row>
    <row r="558" spans="7:21" ht="15.6">
      <c r="G558" s="1255"/>
      <c r="H558" s="1254"/>
      <c r="I558" s="1254"/>
      <c r="J558" s="1254"/>
      <c r="K558" s="1254"/>
      <c r="L558" s="1254"/>
      <c r="M558" s="1254"/>
      <c r="N558" s="1254"/>
      <c r="O558" s="1254"/>
      <c r="P558" s="1254"/>
      <c r="Q558" s="1254"/>
      <c r="R558" s="1254"/>
      <c r="S558" s="1254"/>
      <c r="T558" s="1254"/>
      <c r="U558" s="1254"/>
    </row>
    <row r="559" spans="7:21" ht="15.6">
      <c r="G559" s="1255"/>
      <c r="H559" s="1254"/>
      <c r="I559" s="1254"/>
      <c r="J559" s="1254"/>
      <c r="K559" s="1254"/>
      <c r="L559" s="1254"/>
      <c r="M559" s="1254"/>
      <c r="N559" s="1254"/>
      <c r="O559" s="1254"/>
      <c r="P559" s="1254"/>
      <c r="Q559" s="1254"/>
      <c r="R559" s="1254"/>
      <c r="S559" s="1254"/>
      <c r="T559" s="1254"/>
      <c r="U559" s="1254"/>
    </row>
    <row r="560" spans="7:21" ht="15.6">
      <c r="G560" s="1255"/>
      <c r="H560" s="1254"/>
      <c r="I560" s="1254"/>
      <c r="J560" s="1254"/>
      <c r="K560" s="1254"/>
      <c r="L560" s="1254"/>
      <c r="M560" s="1254"/>
      <c r="N560" s="1254"/>
      <c r="O560" s="1254"/>
      <c r="P560" s="1254"/>
      <c r="Q560" s="1254"/>
      <c r="R560" s="1254"/>
      <c r="S560" s="1254"/>
      <c r="T560" s="1254"/>
      <c r="U560" s="1254"/>
    </row>
    <row r="561" spans="7:21" ht="15.6">
      <c r="G561" s="1255"/>
      <c r="H561" s="1254"/>
      <c r="I561" s="1254"/>
      <c r="J561" s="1254"/>
      <c r="K561" s="1254"/>
      <c r="L561" s="1254"/>
      <c r="M561" s="1254"/>
      <c r="N561" s="1254"/>
      <c r="O561" s="1254"/>
      <c r="P561" s="1254"/>
      <c r="Q561" s="1254"/>
      <c r="R561" s="1254"/>
      <c r="S561" s="1254"/>
      <c r="T561" s="1254"/>
      <c r="U561" s="1254"/>
    </row>
    <row r="562" spans="7:21" ht="15.6">
      <c r="G562" s="1255"/>
      <c r="H562" s="1254"/>
      <c r="I562" s="1254"/>
      <c r="J562" s="1254"/>
      <c r="K562" s="1254"/>
      <c r="L562" s="1254"/>
      <c r="M562" s="1254"/>
      <c r="N562" s="1254"/>
      <c r="O562" s="1254"/>
      <c r="P562" s="1254"/>
      <c r="Q562" s="1254"/>
      <c r="R562" s="1254"/>
      <c r="S562" s="1254"/>
      <c r="T562" s="1254"/>
      <c r="U562" s="1254"/>
    </row>
    <row r="563" spans="7:21" ht="15.6">
      <c r="G563" s="1255"/>
      <c r="H563" s="1254"/>
      <c r="I563" s="1254"/>
      <c r="J563" s="1254"/>
      <c r="K563" s="1254"/>
      <c r="L563" s="1254"/>
      <c r="M563" s="1254"/>
      <c r="N563" s="1254"/>
      <c r="O563" s="1254"/>
      <c r="P563" s="1254"/>
      <c r="Q563" s="1254"/>
      <c r="R563" s="1254"/>
      <c r="S563" s="1254"/>
      <c r="T563" s="1254"/>
      <c r="U563" s="1254"/>
    </row>
    <row r="564" spans="7:21" ht="15.6">
      <c r="G564" s="1255"/>
      <c r="H564" s="1254"/>
      <c r="I564" s="1254"/>
      <c r="J564" s="1254"/>
      <c r="K564" s="1254"/>
      <c r="L564" s="1254"/>
      <c r="M564" s="1254"/>
      <c r="N564" s="1254"/>
      <c r="O564" s="1254"/>
      <c r="P564" s="1254"/>
      <c r="Q564" s="1254"/>
      <c r="R564" s="1254"/>
      <c r="S564" s="1254"/>
      <c r="T564" s="1254"/>
      <c r="U564" s="1254"/>
    </row>
    <row r="565" spans="7:21" ht="15.6">
      <c r="G565" s="1255"/>
      <c r="H565" s="1254"/>
      <c r="I565" s="1254"/>
      <c r="J565" s="1254"/>
      <c r="K565" s="1254"/>
      <c r="L565" s="1254"/>
      <c r="M565" s="1254"/>
      <c r="N565" s="1254"/>
      <c r="O565" s="1254"/>
      <c r="P565" s="1254"/>
      <c r="Q565" s="1254"/>
      <c r="R565" s="1254"/>
      <c r="S565" s="1254"/>
      <c r="T565" s="1254"/>
      <c r="U565" s="1254"/>
    </row>
    <row r="566" spans="7:21" ht="15.6">
      <c r="G566" s="1255"/>
      <c r="H566" s="1254"/>
      <c r="I566" s="1254"/>
      <c r="J566" s="1254"/>
      <c r="K566" s="1254"/>
      <c r="L566" s="1254"/>
      <c r="M566" s="1254"/>
      <c r="N566" s="1254"/>
      <c r="O566" s="1254"/>
      <c r="P566" s="1254"/>
      <c r="Q566" s="1254"/>
      <c r="R566" s="1254"/>
      <c r="S566" s="1254"/>
      <c r="T566" s="1254"/>
      <c r="U566" s="1254"/>
    </row>
    <row r="567" spans="7:21" ht="15.6">
      <c r="G567" s="1255"/>
      <c r="H567" s="1254"/>
      <c r="I567" s="1254"/>
      <c r="J567" s="1254"/>
      <c r="K567" s="1254"/>
      <c r="L567" s="1254"/>
      <c r="M567" s="1254"/>
      <c r="N567" s="1254"/>
      <c r="O567" s="1254"/>
      <c r="P567" s="1254"/>
      <c r="Q567" s="1254"/>
      <c r="R567" s="1254"/>
      <c r="S567" s="1254"/>
      <c r="T567" s="1254"/>
      <c r="U567" s="1254"/>
    </row>
    <row r="568" spans="7:21" ht="15.6">
      <c r="G568" s="1255"/>
      <c r="H568" s="1254"/>
      <c r="I568" s="1254"/>
      <c r="J568" s="1254"/>
      <c r="K568" s="1254"/>
      <c r="L568" s="1254"/>
      <c r="M568" s="1254"/>
      <c r="N568" s="1254"/>
      <c r="O568" s="1254"/>
      <c r="P568" s="1254"/>
      <c r="Q568" s="1254"/>
      <c r="R568" s="1254"/>
      <c r="S568" s="1254"/>
      <c r="T568" s="1254"/>
      <c r="U568" s="1254"/>
    </row>
    <row r="569" spans="7:21" ht="15.6">
      <c r="G569" s="1255"/>
      <c r="H569" s="1254"/>
      <c r="I569" s="1254"/>
      <c r="J569" s="1254"/>
      <c r="K569" s="1254"/>
      <c r="L569" s="1254"/>
      <c r="M569" s="1254"/>
      <c r="N569" s="1254"/>
      <c r="O569" s="1254"/>
      <c r="P569" s="1254"/>
      <c r="Q569" s="1254"/>
      <c r="R569" s="1254"/>
      <c r="S569" s="1254"/>
      <c r="T569" s="1254"/>
      <c r="U569" s="1254"/>
    </row>
    <row r="570" spans="7:21" ht="15.6">
      <c r="G570" s="1255"/>
      <c r="H570" s="1254"/>
      <c r="I570" s="1254"/>
      <c r="J570" s="1254"/>
      <c r="K570" s="1254"/>
      <c r="L570" s="1254"/>
      <c r="M570" s="1254"/>
      <c r="N570" s="1254"/>
      <c r="O570" s="1254"/>
      <c r="P570" s="1254"/>
      <c r="Q570" s="1254"/>
      <c r="R570" s="1254"/>
      <c r="S570" s="1254"/>
      <c r="T570" s="1254"/>
      <c r="U570" s="1254"/>
    </row>
    <row r="571" spans="7:21" ht="15.6">
      <c r="G571" s="1255"/>
      <c r="H571" s="1254"/>
      <c r="I571" s="1254"/>
      <c r="J571" s="1254"/>
      <c r="K571" s="1254"/>
      <c r="L571" s="1254"/>
      <c r="M571" s="1254"/>
      <c r="N571" s="1254"/>
      <c r="O571" s="1254"/>
      <c r="P571" s="1254"/>
      <c r="Q571" s="1254"/>
      <c r="R571" s="1254"/>
      <c r="S571" s="1254"/>
      <c r="T571" s="1254"/>
      <c r="U571" s="1254"/>
    </row>
    <row r="572" spans="7:21" ht="15.6">
      <c r="G572" s="1255"/>
      <c r="H572" s="1254"/>
      <c r="I572" s="1254"/>
      <c r="J572" s="1254"/>
      <c r="K572" s="1254"/>
      <c r="L572" s="1254"/>
      <c r="M572" s="1254"/>
      <c r="N572" s="1254"/>
      <c r="O572" s="1254"/>
      <c r="P572" s="1254"/>
      <c r="Q572" s="1254"/>
      <c r="R572" s="1254"/>
      <c r="S572" s="1254"/>
      <c r="T572" s="1254"/>
      <c r="U572" s="1254"/>
    </row>
    <row r="573" spans="7:21" ht="15.6">
      <c r="G573" s="1255"/>
      <c r="H573" s="1254"/>
      <c r="I573" s="1254"/>
      <c r="J573" s="1254"/>
      <c r="K573" s="1254"/>
      <c r="L573" s="1254"/>
      <c r="M573" s="1254"/>
      <c r="N573" s="1254"/>
      <c r="O573" s="1254"/>
      <c r="P573" s="1254"/>
      <c r="Q573" s="1254"/>
      <c r="R573" s="1254"/>
      <c r="S573" s="1254"/>
      <c r="T573" s="1254"/>
      <c r="U573" s="1254"/>
    </row>
    <row r="574" spans="7:21" ht="15.6">
      <c r="G574" s="1255"/>
      <c r="H574" s="1254"/>
      <c r="I574" s="1254"/>
      <c r="J574" s="1254"/>
      <c r="K574" s="1254"/>
      <c r="L574" s="1254"/>
      <c r="M574" s="1254"/>
      <c r="N574" s="1254"/>
      <c r="O574" s="1254"/>
      <c r="P574" s="1254"/>
      <c r="Q574" s="1254"/>
      <c r="R574" s="1254"/>
      <c r="S574" s="1254"/>
      <c r="T574" s="1254"/>
      <c r="U574" s="1254"/>
    </row>
    <row r="575" spans="7:21" ht="15.6">
      <c r="G575" s="1255"/>
      <c r="H575" s="1254"/>
      <c r="I575" s="1254"/>
      <c r="J575" s="1254"/>
      <c r="K575" s="1254"/>
      <c r="L575" s="1254"/>
      <c r="M575" s="1254"/>
      <c r="N575" s="1254"/>
      <c r="O575" s="1254"/>
      <c r="P575" s="1254"/>
      <c r="Q575" s="1254"/>
      <c r="R575" s="1254"/>
      <c r="S575" s="1254"/>
      <c r="T575" s="1254"/>
      <c r="U575" s="1254"/>
    </row>
    <row r="576" spans="7:21" ht="15.6">
      <c r="G576" s="1255"/>
      <c r="H576" s="1254"/>
      <c r="I576" s="1254"/>
      <c r="J576" s="1254"/>
      <c r="K576" s="1254"/>
      <c r="L576" s="1254"/>
      <c r="M576" s="1254"/>
      <c r="N576" s="1254"/>
      <c r="O576" s="1254"/>
      <c r="P576" s="1254"/>
      <c r="Q576" s="1254"/>
      <c r="R576" s="1254"/>
      <c r="S576" s="1254"/>
      <c r="T576" s="1254"/>
      <c r="U576" s="1254"/>
    </row>
    <row r="577" spans="7:21" ht="15.6">
      <c r="G577" s="1255"/>
      <c r="H577" s="1254"/>
      <c r="I577" s="1254"/>
      <c r="J577" s="1254"/>
      <c r="K577" s="1254"/>
      <c r="L577" s="1254"/>
      <c r="M577" s="1254"/>
      <c r="N577" s="1254"/>
      <c r="O577" s="1254"/>
      <c r="P577" s="1254"/>
      <c r="Q577" s="1254"/>
      <c r="R577" s="1254"/>
      <c r="S577" s="1254"/>
      <c r="T577" s="1254"/>
      <c r="U577" s="1254"/>
    </row>
    <row r="578" spans="7:21" ht="15.6">
      <c r="G578" s="1255"/>
      <c r="H578" s="1254"/>
      <c r="I578" s="1254"/>
      <c r="J578" s="1254"/>
      <c r="K578" s="1254"/>
      <c r="L578" s="1254"/>
      <c r="M578" s="1254"/>
      <c r="N578" s="1254"/>
      <c r="O578" s="1254"/>
      <c r="P578" s="1254"/>
      <c r="Q578" s="1254"/>
      <c r="R578" s="1254"/>
      <c r="S578" s="1254"/>
      <c r="T578" s="1254"/>
      <c r="U578" s="1254"/>
    </row>
    <row r="579" spans="7:21" ht="15.6">
      <c r="G579" s="1255"/>
      <c r="H579" s="1254"/>
      <c r="I579" s="1254"/>
      <c r="J579" s="1254"/>
      <c r="K579" s="1254"/>
      <c r="L579" s="1254"/>
      <c r="M579" s="1254"/>
      <c r="N579" s="1254"/>
      <c r="O579" s="1254"/>
      <c r="P579" s="1254"/>
      <c r="Q579" s="1254"/>
      <c r="R579" s="1254"/>
      <c r="S579" s="1254"/>
      <c r="T579" s="1254"/>
      <c r="U579" s="1254"/>
    </row>
    <row r="580" spans="7:21" ht="15.6">
      <c r="G580" s="1255"/>
      <c r="H580" s="1254"/>
      <c r="I580" s="1254"/>
      <c r="J580" s="1254"/>
      <c r="K580" s="1254"/>
      <c r="L580" s="1254"/>
      <c r="M580" s="1254"/>
      <c r="N580" s="1254"/>
      <c r="O580" s="1254"/>
      <c r="P580" s="1254"/>
      <c r="Q580" s="1254"/>
      <c r="R580" s="1254"/>
      <c r="S580" s="1254"/>
      <c r="T580" s="1254"/>
      <c r="U580" s="1254"/>
    </row>
    <row r="581" spans="7:21" ht="15.6">
      <c r="G581" s="1255"/>
      <c r="H581" s="1254"/>
      <c r="I581" s="1254"/>
      <c r="J581" s="1254"/>
      <c r="K581" s="1254"/>
      <c r="L581" s="1254"/>
      <c r="M581" s="1254"/>
      <c r="N581" s="1254"/>
      <c r="O581" s="1254"/>
      <c r="P581" s="1254"/>
      <c r="Q581" s="1254"/>
      <c r="R581" s="1254"/>
      <c r="S581" s="1254"/>
      <c r="T581" s="1254"/>
      <c r="U581" s="1254"/>
    </row>
    <row r="582" spans="7:21" ht="15.6">
      <c r="G582" s="1255"/>
      <c r="H582" s="1254"/>
      <c r="I582" s="1254"/>
      <c r="J582" s="1254"/>
      <c r="K582" s="1254"/>
      <c r="L582" s="1254"/>
      <c r="M582" s="1254"/>
      <c r="N582" s="1254"/>
      <c r="O582" s="1254"/>
      <c r="P582" s="1254"/>
      <c r="Q582" s="1254"/>
      <c r="R582" s="1254"/>
      <c r="S582" s="1254"/>
      <c r="T582" s="1254"/>
      <c r="U582" s="1254"/>
    </row>
    <row r="583" spans="7:21" ht="15.6">
      <c r="G583" s="1255"/>
      <c r="H583" s="1254"/>
      <c r="I583" s="1254"/>
      <c r="J583" s="1254"/>
      <c r="K583" s="1254"/>
      <c r="L583" s="1254"/>
      <c r="M583" s="1254"/>
      <c r="N583" s="1254"/>
      <c r="O583" s="1254"/>
      <c r="P583" s="1254"/>
      <c r="Q583" s="1254"/>
      <c r="R583" s="1254"/>
      <c r="S583" s="1254"/>
      <c r="T583" s="1254"/>
      <c r="U583" s="1254"/>
    </row>
    <row r="584" spans="7:21" ht="15.6">
      <c r="G584" s="1255"/>
      <c r="H584" s="1254"/>
      <c r="I584" s="1254"/>
      <c r="J584" s="1254"/>
      <c r="K584" s="1254"/>
      <c r="L584" s="1254"/>
      <c r="M584" s="1254"/>
      <c r="N584" s="1254"/>
      <c r="O584" s="1254"/>
      <c r="P584" s="1254"/>
      <c r="Q584" s="1254"/>
      <c r="R584" s="1254"/>
      <c r="S584" s="1254"/>
      <c r="T584" s="1254"/>
      <c r="U584" s="1254"/>
    </row>
    <row r="585" spans="7:21" ht="15.6">
      <c r="G585" s="1255"/>
      <c r="H585" s="1254"/>
      <c r="I585" s="1254"/>
      <c r="J585" s="1254"/>
      <c r="K585" s="1254"/>
      <c r="L585" s="1254"/>
      <c r="M585" s="1254"/>
      <c r="N585" s="1254"/>
      <c r="O585" s="1254"/>
      <c r="P585" s="1254"/>
      <c r="Q585" s="1254"/>
      <c r="R585" s="1254"/>
      <c r="S585" s="1254"/>
      <c r="T585" s="1254"/>
      <c r="U585" s="1254"/>
    </row>
    <row r="586" spans="7:21" ht="15.6">
      <c r="G586" s="1255"/>
      <c r="H586" s="1254"/>
      <c r="I586" s="1254"/>
      <c r="J586" s="1254"/>
      <c r="K586" s="1254"/>
      <c r="L586" s="1254"/>
      <c r="M586" s="1254"/>
      <c r="N586" s="1254"/>
      <c r="O586" s="1254"/>
      <c r="P586" s="1254"/>
      <c r="Q586" s="1254"/>
      <c r="R586" s="1254"/>
      <c r="S586" s="1254"/>
      <c r="T586" s="1254"/>
      <c r="U586" s="1254"/>
    </row>
    <row r="587" spans="7:21" ht="15.6">
      <c r="G587" s="1255"/>
      <c r="H587" s="1254"/>
      <c r="I587" s="1254"/>
      <c r="J587" s="1254"/>
      <c r="K587" s="1254"/>
      <c r="L587" s="1254"/>
      <c r="M587" s="1254"/>
      <c r="N587" s="1254"/>
      <c r="O587" s="1254"/>
      <c r="P587" s="1254"/>
      <c r="Q587" s="1254"/>
      <c r="R587" s="1254"/>
      <c r="S587" s="1254"/>
      <c r="T587" s="1254"/>
      <c r="U587" s="1254"/>
    </row>
    <row r="588" spans="7:21" ht="15.6">
      <c r="G588" s="1255"/>
      <c r="H588" s="1254"/>
      <c r="I588" s="1254"/>
      <c r="J588" s="1254"/>
      <c r="K588" s="1254"/>
      <c r="L588" s="1254"/>
      <c r="M588" s="1254"/>
      <c r="N588" s="1254"/>
      <c r="O588" s="1254"/>
      <c r="P588" s="1254"/>
      <c r="Q588" s="1254"/>
      <c r="R588" s="1254"/>
      <c r="S588" s="1254"/>
      <c r="T588" s="1254"/>
      <c r="U588" s="1254"/>
    </row>
    <row r="589" spans="7:21" ht="15.6">
      <c r="G589" s="1255"/>
      <c r="H589" s="1254"/>
      <c r="I589" s="1254"/>
      <c r="J589" s="1254"/>
      <c r="K589" s="1254"/>
      <c r="L589" s="1254"/>
      <c r="M589" s="1254"/>
      <c r="N589" s="1254"/>
      <c r="O589" s="1254"/>
      <c r="P589" s="1254"/>
      <c r="Q589" s="1254"/>
      <c r="R589" s="1254"/>
      <c r="S589" s="1254"/>
      <c r="T589" s="1254"/>
      <c r="U589" s="1254"/>
    </row>
    <row r="590" spans="7:21" ht="15.6">
      <c r="G590" s="1255"/>
      <c r="H590" s="1254"/>
      <c r="I590" s="1254"/>
      <c r="J590" s="1254"/>
      <c r="K590" s="1254"/>
      <c r="L590" s="1254"/>
      <c r="M590" s="1254"/>
      <c r="N590" s="1254"/>
      <c r="O590" s="1254"/>
      <c r="P590" s="1254"/>
      <c r="Q590" s="1254"/>
      <c r="R590" s="1254"/>
      <c r="S590" s="1254"/>
      <c r="T590" s="1254"/>
      <c r="U590" s="1254"/>
    </row>
    <row r="591" spans="7:21" ht="15.6">
      <c r="G591" s="1255"/>
      <c r="H591" s="1254"/>
      <c r="I591" s="1254"/>
      <c r="J591" s="1254"/>
      <c r="K591" s="1254"/>
      <c r="L591" s="1254"/>
      <c r="M591" s="1254"/>
      <c r="N591" s="1254"/>
      <c r="O591" s="1254"/>
      <c r="P591" s="1254"/>
      <c r="Q591" s="1254"/>
      <c r="R591" s="1254"/>
      <c r="S591" s="1254"/>
      <c r="T591" s="1254"/>
      <c r="U591" s="1254"/>
    </row>
    <row r="592" spans="7:21" ht="15.6">
      <c r="G592" s="1255"/>
      <c r="H592" s="1254"/>
      <c r="I592" s="1254"/>
      <c r="J592" s="1254"/>
      <c r="K592" s="1254"/>
      <c r="L592" s="1254"/>
      <c r="M592" s="1254"/>
      <c r="N592" s="1254"/>
      <c r="O592" s="1254"/>
      <c r="P592" s="1254"/>
      <c r="Q592" s="1254"/>
      <c r="R592" s="1254"/>
      <c r="S592" s="1254"/>
      <c r="T592" s="1254"/>
      <c r="U592" s="1254"/>
    </row>
    <row r="593" spans="7:21" ht="15.6">
      <c r="G593" s="1255"/>
      <c r="H593" s="1254"/>
      <c r="I593" s="1254"/>
      <c r="J593" s="1254"/>
      <c r="K593" s="1254"/>
      <c r="L593" s="1254"/>
      <c r="M593" s="1254"/>
      <c r="N593" s="1254"/>
      <c r="O593" s="1254"/>
      <c r="P593" s="1254"/>
      <c r="Q593" s="1254"/>
      <c r="R593" s="1254"/>
      <c r="S593" s="1254"/>
      <c r="T593" s="1254"/>
      <c r="U593" s="1254"/>
    </row>
    <row r="594" spans="7:21" ht="15.6">
      <c r="G594" s="1255"/>
      <c r="H594" s="1254"/>
      <c r="I594" s="1254"/>
      <c r="J594" s="1254"/>
      <c r="K594" s="1254"/>
      <c r="L594" s="1254"/>
      <c r="M594" s="1254"/>
      <c r="N594" s="1254"/>
      <c r="O594" s="1254"/>
      <c r="P594" s="1254"/>
      <c r="Q594" s="1254"/>
      <c r="R594" s="1254"/>
      <c r="S594" s="1254"/>
      <c r="T594" s="1254"/>
      <c r="U594" s="1254"/>
    </row>
    <row r="595" spans="7:21" ht="15.6">
      <c r="G595" s="1255"/>
      <c r="H595" s="1254"/>
      <c r="I595" s="1254"/>
      <c r="J595" s="1254"/>
      <c r="K595" s="1254"/>
      <c r="L595" s="1254"/>
      <c r="M595" s="1254"/>
      <c r="N595" s="1254"/>
      <c r="O595" s="1254"/>
      <c r="P595" s="1254"/>
      <c r="Q595" s="1254"/>
      <c r="R595" s="1254"/>
      <c r="S595" s="1254"/>
      <c r="T595" s="1254"/>
      <c r="U595" s="1254"/>
    </row>
    <row r="596" spans="7:21" ht="15.6">
      <c r="G596" s="1255"/>
      <c r="H596" s="1254"/>
      <c r="I596" s="1254"/>
      <c r="J596" s="1254"/>
      <c r="K596" s="1254"/>
      <c r="L596" s="1254"/>
      <c r="M596" s="1254"/>
      <c r="N596" s="1254"/>
      <c r="O596" s="1254"/>
      <c r="P596" s="1254"/>
      <c r="Q596" s="1254"/>
      <c r="R596" s="1254"/>
      <c r="S596" s="1254"/>
      <c r="T596" s="1254"/>
      <c r="U596" s="1254"/>
    </row>
    <row r="597" spans="7:21" ht="15.6">
      <c r="G597" s="1255"/>
      <c r="H597" s="1254"/>
      <c r="I597" s="1254"/>
      <c r="J597" s="1254"/>
      <c r="K597" s="1254"/>
      <c r="L597" s="1254"/>
      <c r="M597" s="1254"/>
      <c r="N597" s="1254"/>
      <c r="O597" s="1254"/>
      <c r="P597" s="1254"/>
      <c r="Q597" s="1254"/>
      <c r="R597" s="1254"/>
      <c r="S597" s="1254"/>
      <c r="T597" s="1254"/>
      <c r="U597" s="1254"/>
    </row>
    <row r="598" spans="7:21" ht="15.6">
      <c r="G598" s="1255"/>
      <c r="H598" s="1254"/>
      <c r="I598" s="1254"/>
      <c r="J598" s="1254"/>
      <c r="K598" s="1254"/>
      <c r="L598" s="1254"/>
      <c r="M598" s="1254"/>
      <c r="N598" s="1254"/>
      <c r="O598" s="1254"/>
      <c r="P598" s="1254"/>
      <c r="Q598" s="1254"/>
      <c r="R598" s="1254"/>
      <c r="S598" s="1254"/>
      <c r="T598" s="1254"/>
      <c r="U598" s="1254"/>
    </row>
    <row r="599" spans="7:21" ht="15.6">
      <c r="G599" s="1255"/>
      <c r="H599" s="1254"/>
      <c r="I599" s="1254"/>
      <c r="J599" s="1254"/>
      <c r="K599" s="1254"/>
      <c r="L599" s="1254"/>
      <c r="M599" s="1254"/>
      <c r="N599" s="1254"/>
      <c r="O599" s="1254"/>
      <c r="P599" s="1254"/>
      <c r="Q599" s="1254"/>
      <c r="R599" s="1254"/>
      <c r="S599" s="1254"/>
      <c r="T599" s="1254"/>
      <c r="U599" s="1254"/>
    </row>
    <row r="600" spans="7:21" ht="15.6">
      <c r="G600" s="1255"/>
      <c r="H600" s="1254"/>
      <c r="I600" s="1254"/>
      <c r="J600" s="1254"/>
      <c r="K600" s="1254"/>
      <c r="L600" s="1254"/>
      <c r="M600" s="1254"/>
      <c r="N600" s="1254"/>
      <c r="O600" s="1254"/>
      <c r="P600" s="1254"/>
      <c r="Q600" s="1254"/>
      <c r="R600" s="1254"/>
      <c r="S600" s="1254"/>
      <c r="T600" s="1254"/>
      <c r="U600" s="1254"/>
    </row>
    <row r="601" spans="7:21" ht="15.6">
      <c r="G601" s="1255"/>
      <c r="H601" s="1254"/>
      <c r="I601" s="1254"/>
      <c r="J601" s="1254"/>
      <c r="K601" s="1254"/>
      <c r="L601" s="1254"/>
      <c r="M601" s="1254"/>
      <c r="N601" s="1254"/>
      <c r="O601" s="1254"/>
      <c r="P601" s="1254"/>
      <c r="Q601" s="1254"/>
      <c r="R601" s="1254"/>
      <c r="S601" s="1254"/>
      <c r="T601" s="1254"/>
      <c r="U601" s="1254"/>
    </row>
    <row r="602" spans="7:21" ht="15.6">
      <c r="G602" s="1255"/>
      <c r="H602" s="1254"/>
      <c r="I602" s="1254"/>
      <c r="J602" s="1254"/>
      <c r="K602" s="1254"/>
      <c r="L602" s="1254"/>
      <c r="M602" s="1254"/>
      <c r="N602" s="1254"/>
      <c r="O602" s="1254"/>
      <c r="P602" s="1254"/>
      <c r="Q602" s="1254"/>
      <c r="R602" s="1254"/>
      <c r="S602" s="1254"/>
      <c r="T602" s="1254"/>
      <c r="U602" s="1254"/>
    </row>
    <row r="603" spans="7:21" ht="15.6">
      <c r="G603" s="1255"/>
      <c r="H603" s="1254"/>
      <c r="I603" s="1254"/>
      <c r="J603" s="1254"/>
      <c r="K603" s="1254"/>
      <c r="L603" s="1254"/>
      <c r="M603" s="1254"/>
      <c r="N603" s="1254"/>
      <c r="O603" s="1254"/>
      <c r="P603" s="1254"/>
      <c r="Q603" s="1254"/>
      <c r="R603" s="1254"/>
      <c r="S603" s="1254"/>
      <c r="T603" s="1254"/>
      <c r="U603" s="1254"/>
    </row>
    <row r="604" spans="7:21" ht="15.6">
      <c r="G604" s="1255"/>
      <c r="H604" s="1254"/>
      <c r="I604" s="1254"/>
      <c r="J604" s="1254"/>
      <c r="K604" s="1254"/>
      <c r="L604" s="1254"/>
      <c r="M604" s="1254"/>
      <c r="N604" s="1254"/>
      <c r="O604" s="1254"/>
      <c r="P604" s="1254"/>
      <c r="Q604" s="1254"/>
      <c r="R604" s="1254"/>
      <c r="S604" s="1254"/>
      <c r="T604" s="1254"/>
      <c r="U604" s="1254"/>
    </row>
    <row r="605" spans="7:21" ht="15.6">
      <c r="G605" s="1255"/>
      <c r="H605" s="1254"/>
      <c r="I605" s="1254"/>
      <c r="J605" s="1254"/>
      <c r="K605" s="1254"/>
      <c r="L605" s="1254"/>
      <c r="M605" s="1254"/>
      <c r="N605" s="1254"/>
      <c r="O605" s="1254"/>
      <c r="P605" s="1254"/>
      <c r="Q605" s="1254"/>
      <c r="R605" s="1254"/>
      <c r="S605" s="1254"/>
      <c r="T605" s="1254"/>
      <c r="U605" s="1254"/>
    </row>
    <row r="606" spans="7:21" ht="15.6">
      <c r="G606" s="1255"/>
      <c r="H606" s="1254"/>
      <c r="I606" s="1254"/>
      <c r="J606" s="1254"/>
      <c r="K606" s="1254"/>
      <c r="L606" s="1254"/>
      <c r="M606" s="1254"/>
      <c r="N606" s="1254"/>
      <c r="O606" s="1254"/>
      <c r="P606" s="1254"/>
      <c r="Q606" s="1254"/>
      <c r="R606" s="1254"/>
      <c r="S606" s="1254"/>
      <c r="T606" s="1254"/>
      <c r="U606" s="1254"/>
    </row>
    <row r="607" spans="7:21" ht="15.6">
      <c r="G607" s="1255"/>
      <c r="H607" s="1254"/>
      <c r="I607" s="1254"/>
      <c r="J607" s="1254"/>
      <c r="K607" s="1254"/>
      <c r="L607" s="1254"/>
      <c r="M607" s="1254"/>
      <c r="N607" s="1254"/>
      <c r="O607" s="1254"/>
      <c r="P607" s="1254"/>
      <c r="Q607" s="1254"/>
      <c r="R607" s="1254"/>
      <c r="S607" s="1254"/>
      <c r="T607" s="1254"/>
      <c r="U607" s="1254"/>
    </row>
    <row r="608" spans="7:21" ht="15.6">
      <c r="G608" s="1255"/>
      <c r="H608" s="1254"/>
      <c r="I608" s="1254"/>
      <c r="J608" s="1254"/>
      <c r="K608" s="1254"/>
      <c r="L608" s="1254"/>
      <c r="M608" s="1254"/>
      <c r="N608" s="1254"/>
      <c r="O608" s="1254"/>
      <c r="P608" s="1254"/>
      <c r="Q608" s="1254"/>
      <c r="R608" s="1254"/>
      <c r="S608" s="1254"/>
      <c r="T608" s="1254"/>
      <c r="U608" s="1254"/>
    </row>
    <row r="609" spans="7:21" ht="15.6">
      <c r="G609" s="1255"/>
      <c r="H609" s="1254"/>
      <c r="I609" s="1254"/>
      <c r="J609" s="1254"/>
      <c r="K609" s="1254"/>
      <c r="L609" s="1254"/>
      <c r="M609" s="1254"/>
      <c r="N609" s="1254"/>
      <c r="O609" s="1254"/>
      <c r="P609" s="1254"/>
      <c r="Q609" s="1254"/>
      <c r="R609" s="1254"/>
      <c r="S609" s="1254"/>
      <c r="T609" s="1254"/>
      <c r="U609" s="1254"/>
    </row>
    <row r="610" spans="7:21" ht="15.6">
      <c r="G610" s="1255"/>
      <c r="H610" s="1254"/>
      <c r="I610" s="1254"/>
      <c r="J610" s="1254"/>
      <c r="K610" s="1254"/>
      <c r="L610" s="1254"/>
      <c r="M610" s="1254"/>
      <c r="N610" s="1254"/>
      <c r="O610" s="1254"/>
      <c r="P610" s="1254"/>
      <c r="Q610" s="1254"/>
      <c r="R610" s="1254"/>
      <c r="S610" s="1254"/>
      <c r="T610" s="1254"/>
      <c r="U610" s="1254"/>
    </row>
    <row r="611" spans="7:21" ht="15.6">
      <c r="G611" s="1255"/>
      <c r="H611" s="1254"/>
      <c r="I611" s="1254"/>
      <c r="J611" s="1254"/>
      <c r="K611" s="1254"/>
      <c r="L611" s="1254"/>
      <c r="M611" s="1254"/>
      <c r="N611" s="1254"/>
      <c r="O611" s="1254"/>
      <c r="P611" s="1254"/>
      <c r="Q611" s="1254"/>
      <c r="R611" s="1254"/>
      <c r="S611" s="1254"/>
      <c r="T611" s="1254"/>
      <c r="U611" s="1254"/>
    </row>
    <row r="612" spans="7:21" ht="15.6">
      <c r="G612" s="1255"/>
      <c r="H612" s="1254"/>
      <c r="I612" s="1254"/>
      <c r="J612" s="1254"/>
      <c r="K612" s="1254"/>
      <c r="L612" s="1254"/>
      <c r="M612" s="1254"/>
      <c r="N612" s="1254"/>
      <c r="O612" s="1254"/>
      <c r="P612" s="1254"/>
      <c r="Q612" s="1254"/>
      <c r="R612" s="1254"/>
      <c r="S612" s="1254"/>
      <c r="T612" s="1254"/>
      <c r="U612" s="1254"/>
    </row>
    <row r="613" spans="7:21" ht="15.6">
      <c r="G613" s="1255"/>
      <c r="H613" s="1254"/>
      <c r="I613" s="1254"/>
      <c r="J613" s="1254"/>
      <c r="K613" s="1254"/>
      <c r="L613" s="1254"/>
      <c r="M613" s="1254"/>
      <c r="N613" s="1254"/>
      <c r="O613" s="1254"/>
      <c r="P613" s="1254"/>
      <c r="Q613" s="1254"/>
      <c r="R613" s="1254"/>
      <c r="S613" s="1254"/>
      <c r="T613" s="1254"/>
      <c r="U613" s="1254"/>
    </row>
    <row r="614" spans="7:21" ht="15.6">
      <c r="G614" s="1255"/>
      <c r="H614" s="1254"/>
      <c r="I614" s="1254"/>
      <c r="J614" s="1254"/>
      <c r="K614" s="1254"/>
      <c r="L614" s="1254"/>
      <c r="M614" s="1254"/>
      <c r="N614" s="1254"/>
      <c r="O614" s="1254"/>
      <c r="P614" s="1254"/>
      <c r="Q614" s="1254"/>
      <c r="R614" s="1254"/>
      <c r="S614" s="1254"/>
      <c r="T614" s="1254"/>
      <c r="U614" s="1254"/>
    </row>
    <row r="615" spans="7:21" ht="15.6">
      <c r="G615" s="1255"/>
      <c r="H615" s="1254"/>
      <c r="I615" s="1254"/>
      <c r="J615" s="1254"/>
      <c r="K615" s="1254"/>
      <c r="L615" s="1254"/>
      <c r="M615" s="1254"/>
      <c r="N615" s="1254"/>
      <c r="O615" s="1254"/>
      <c r="P615" s="1254"/>
      <c r="Q615" s="1254"/>
      <c r="R615" s="1254"/>
      <c r="S615" s="1254"/>
      <c r="T615" s="1254"/>
      <c r="U615" s="1254"/>
    </row>
    <row r="616" spans="7:21" ht="15.6">
      <c r="G616" s="1255"/>
      <c r="H616" s="1254"/>
      <c r="I616" s="1254"/>
      <c r="J616" s="1254"/>
      <c r="K616" s="1254"/>
      <c r="L616" s="1254"/>
      <c r="M616" s="1254"/>
      <c r="N616" s="1254"/>
      <c r="O616" s="1254"/>
      <c r="P616" s="1254"/>
      <c r="Q616" s="1254"/>
      <c r="R616" s="1254"/>
      <c r="S616" s="1254"/>
      <c r="T616" s="1254"/>
      <c r="U616" s="1254"/>
    </row>
    <row r="617" spans="7:21" ht="15.6">
      <c r="G617" s="1255"/>
      <c r="H617" s="1254"/>
      <c r="I617" s="1254"/>
      <c r="J617" s="1254"/>
      <c r="K617" s="1254"/>
      <c r="L617" s="1254"/>
      <c r="M617" s="1254"/>
      <c r="N617" s="1254"/>
      <c r="O617" s="1254"/>
      <c r="P617" s="1254"/>
      <c r="Q617" s="1254"/>
      <c r="R617" s="1254"/>
      <c r="S617" s="1254"/>
      <c r="T617" s="1254"/>
      <c r="U617" s="1254"/>
    </row>
    <row r="618" spans="7:21" ht="15.6">
      <c r="G618" s="1255"/>
      <c r="H618" s="1254"/>
      <c r="I618" s="1254"/>
      <c r="J618" s="1254"/>
      <c r="K618" s="1254"/>
      <c r="L618" s="1254"/>
      <c r="M618" s="1254"/>
      <c r="N618" s="1254"/>
      <c r="O618" s="1254"/>
      <c r="P618" s="1254"/>
      <c r="Q618" s="1254"/>
      <c r="R618" s="1254"/>
      <c r="S618" s="1254"/>
      <c r="T618" s="1254"/>
      <c r="U618" s="1254"/>
    </row>
    <row r="619" spans="7:21" ht="15.6">
      <c r="G619" s="1255"/>
      <c r="H619" s="1254"/>
      <c r="I619" s="1254"/>
      <c r="J619" s="1254"/>
      <c r="K619" s="1254"/>
      <c r="L619" s="1254"/>
      <c r="M619" s="1254"/>
      <c r="N619" s="1254"/>
      <c r="O619" s="1254"/>
      <c r="P619" s="1254"/>
      <c r="Q619" s="1254"/>
      <c r="R619" s="1254"/>
      <c r="S619" s="1254"/>
      <c r="T619" s="1254"/>
      <c r="U619" s="1254"/>
    </row>
    <row r="620" spans="7:21" ht="15.6">
      <c r="G620" s="1255"/>
      <c r="H620" s="1254"/>
      <c r="I620" s="1254"/>
      <c r="J620" s="1254"/>
      <c r="K620" s="1254"/>
      <c r="L620" s="1254"/>
      <c r="M620" s="1254"/>
      <c r="N620" s="1254"/>
      <c r="O620" s="1254"/>
      <c r="P620" s="1254"/>
      <c r="Q620" s="1254"/>
      <c r="R620" s="1254"/>
      <c r="S620" s="1254"/>
      <c r="T620" s="1254"/>
      <c r="U620" s="1254"/>
    </row>
    <row r="621" spans="7:21" ht="15.6">
      <c r="G621" s="1255"/>
      <c r="H621" s="1254"/>
      <c r="I621" s="1254"/>
      <c r="J621" s="1254"/>
      <c r="K621" s="1254"/>
      <c r="L621" s="1254"/>
      <c r="M621" s="1254"/>
      <c r="N621" s="1254"/>
      <c r="O621" s="1254"/>
      <c r="P621" s="1254"/>
      <c r="Q621" s="1254"/>
      <c r="R621" s="1254"/>
      <c r="S621" s="1254"/>
      <c r="T621" s="1254"/>
      <c r="U621" s="1254"/>
    </row>
    <row r="622" spans="7:21" ht="15.6">
      <c r="G622" s="1255"/>
      <c r="H622" s="1254"/>
      <c r="I622" s="1254"/>
      <c r="J622" s="1254"/>
      <c r="K622" s="1254"/>
      <c r="L622" s="1254"/>
      <c r="M622" s="1254"/>
      <c r="N622" s="1254"/>
      <c r="O622" s="1254"/>
      <c r="P622" s="1254"/>
      <c r="Q622" s="1254"/>
      <c r="R622" s="1254"/>
      <c r="S622" s="1254"/>
      <c r="T622" s="1254"/>
      <c r="U622" s="1254"/>
    </row>
    <row r="623" spans="7:21" ht="15.6">
      <c r="G623" s="1255"/>
      <c r="H623" s="1254"/>
      <c r="I623" s="1254"/>
      <c r="J623" s="1254"/>
      <c r="K623" s="1254"/>
      <c r="L623" s="1254"/>
      <c r="M623" s="1254"/>
      <c r="N623" s="1254"/>
      <c r="O623" s="1254"/>
      <c r="P623" s="1254"/>
      <c r="Q623" s="1254"/>
      <c r="R623" s="1254"/>
      <c r="S623" s="1254"/>
      <c r="T623" s="1254"/>
      <c r="U623" s="1254"/>
    </row>
    <row r="624" spans="7:21" ht="15.6">
      <c r="G624" s="1255"/>
      <c r="H624" s="1254"/>
      <c r="I624" s="1254"/>
      <c r="J624" s="1254"/>
      <c r="K624" s="1254"/>
      <c r="L624" s="1254"/>
      <c r="M624" s="1254"/>
      <c r="N624" s="1254"/>
      <c r="O624" s="1254"/>
      <c r="P624" s="1254"/>
      <c r="Q624" s="1254"/>
      <c r="R624" s="1254"/>
      <c r="S624" s="1254"/>
      <c r="T624" s="1254"/>
      <c r="U624" s="1254"/>
    </row>
    <row r="625" spans="7:21" ht="15.6">
      <c r="G625" s="1255"/>
      <c r="H625" s="1254"/>
      <c r="I625" s="1254"/>
      <c r="J625" s="1254"/>
      <c r="K625" s="1254"/>
      <c r="L625" s="1254"/>
      <c r="M625" s="1254"/>
      <c r="N625" s="1254"/>
      <c r="O625" s="1254"/>
      <c r="P625" s="1254"/>
      <c r="Q625" s="1254"/>
      <c r="R625" s="1254"/>
      <c r="S625" s="1254"/>
      <c r="T625" s="1254"/>
      <c r="U625" s="1254"/>
    </row>
    <row r="626" spans="7:21" ht="15.6">
      <c r="G626" s="1255"/>
      <c r="H626" s="1254"/>
      <c r="I626" s="1254"/>
      <c r="J626" s="1254"/>
      <c r="K626" s="1254"/>
      <c r="L626" s="1254"/>
      <c r="M626" s="1254"/>
      <c r="N626" s="1254"/>
      <c r="O626" s="1254"/>
      <c r="P626" s="1254"/>
      <c r="Q626" s="1254"/>
      <c r="R626" s="1254"/>
      <c r="S626" s="1254"/>
      <c r="T626" s="1254"/>
      <c r="U626" s="1254"/>
    </row>
    <row r="627" spans="7:21" ht="15.6">
      <c r="G627" s="1255"/>
      <c r="H627" s="1254"/>
      <c r="I627" s="1254"/>
      <c r="J627" s="1254"/>
      <c r="K627" s="1254"/>
      <c r="L627" s="1254"/>
      <c r="M627" s="1254"/>
      <c r="N627" s="1254"/>
      <c r="O627" s="1254"/>
      <c r="P627" s="1254"/>
      <c r="Q627" s="1254"/>
      <c r="R627" s="1254"/>
      <c r="S627" s="1254"/>
      <c r="T627" s="1254"/>
      <c r="U627" s="1254"/>
    </row>
    <row r="628" spans="7:21" ht="15.6">
      <c r="G628" s="1255"/>
      <c r="H628" s="1254"/>
      <c r="I628" s="1254"/>
      <c r="J628" s="1254"/>
      <c r="K628" s="1254"/>
      <c r="L628" s="1254"/>
      <c r="M628" s="1254"/>
      <c r="N628" s="1254"/>
      <c r="O628" s="1254"/>
      <c r="P628" s="1254"/>
      <c r="Q628" s="1254"/>
      <c r="R628" s="1254"/>
      <c r="S628" s="1254"/>
      <c r="T628" s="1254"/>
      <c r="U628" s="1254"/>
    </row>
    <row r="629" spans="7:21" ht="15.6">
      <c r="G629" s="1255"/>
      <c r="H629" s="1254"/>
      <c r="I629" s="1254"/>
      <c r="J629" s="1254"/>
      <c r="K629" s="1254"/>
      <c r="L629" s="1254"/>
      <c r="M629" s="1254"/>
      <c r="N629" s="1254"/>
      <c r="O629" s="1254"/>
      <c r="P629" s="1254"/>
      <c r="Q629" s="1254"/>
      <c r="R629" s="1254"/>
      <c r="S629" s="1254"/>
      <c r="T629" s="1254"/>
      <c r="U629" s="1254"/>
    </row>
    <row r="630" spans="7:21" ht="15.6">
      <c r="G630" s="1255"/>
      <c r="H630" s="1254"/>
      <c r="I630" s="1254"/>
      <c r="J630" s="1254"/>
      <c r="K630" s="1254"/>
      <c r="L630" s="1254"/>
      <c r="M630" s="1254"/>
      <c r="N630" s="1254"/>
      <c r="O630" s="1254"/>
      <c r="P630" s="1254"/>
      <c r="Q630" s="1254"/>
      <c r="R630" s="1254"/>
      <c r="S630" s="1254"/>
      <c r="T630" s="1254"/>
      <c r="U630" s="1254"/>
    </row>
    <row r="631" spans="7:21" ht="15.6">
      <c r="G631" s="1255"/>
      <c r="H631" s="1254"/>
      <c r="I631" s="1254"/>
      <c r="J631" s="1254"/>
      <c r="K631" s="1254"/>
      <c r="L631" s="1254"/>
      <c r="M631" s="1254"/>
      <c r="N631" s="1254"/>
      <c r="O631" s="1254"/>
      <c r="P631" s="1254"/>
      <c r="Q631" s="1254"/>
      <c r="R631" s="1254"/>
      <c r="S631" s="1254"/>
      <c r="T631" s="1254"/>
      <c r="U631" s="1254"/>
    </row>
    <row r="632" spans="7:21" ht="15.6">
      <c r="G632" s="1255"/>
      <c r="H632" s="1254"/>
      <c r="I632" s="1254"/>
      <c r="J632" s="1254"/>
      <c r="K632" s="1254"/>
      <c r="L632" s="1254"/>
      <c r="M632" s="1254"/>
      <c r="N632" s="1254"/>
      <c r="O632" s="1254"/>
      <c r="P632" s="1254"/>
      <c r="Q632" s="1254"/>
      <c r="R632" s="1254"/>
      <c r="S632" s="1254"/>
      <c r="T632" s="1254"/>
      <c r="U632" s="1254"/>
    </row>
    <row r="633" spans="7:21" ht="15.6">
      <c r="G633" s="1255"/>
      <c r="H633" s="1254"/>
      <c r="I633" s="1254"/>
      <c r="J633" s="1254"/>
      <c r="K633" s="1254"/>
      <c r="L633" s="1254"/>
      <c r="M633" s="1254"/>
      <c r="N633" s="1254"/>
      <c r="O633" s="1254"/>
      <c r="P633" s="1254"/>
      <c r="Q633" s="1254"/>
      <c r="R633" s="1254"/>
      <c r="S633" s="1254"/>
      <c r="T633" s="1254"/>
      <c r="U633" s="1254"/>
    </row>
    <row r="634" spans="7:21" ht="15.6">
      <c r="G634" s="1255"/>
      <c r="H634" s="1254"/>
      <c r="I634" s="1254"/>
      <c r="J634" s="1254"/>
      <c r="K634" s="1254"/>
      <c r="L634" s="1254"/>
      <c r="M634" s="1254"/>
      <c r="N634" s="1254"/>
      <c r="O634" s="1254"/>
      <c r="P634" s="1254"/>
      <c r="Q634" s="1254"/>
      <c r="R634" s="1254"/>
      <c r="S634" s="1254"/>
      <c r="T634" s="1254"/>
      <c r="U634" s="1254"/>
    </row>
    <row r="635" spans="7:21" ht="15.6">
      <c r="G635" s="1255"/>
      <c r="H635" s="1254"/>
      <c r="I635" s="1254"/>
      <c r="J635" s="1254"/>
      <c r="K635" s="1254"/>
      <c r="L635" s="1254"/>
      <c r="M635" s="1254"/>
      <c r="N635" s="1254"/>
      <c r="O635" s="1254"/>
      <c r="P635" s="1254"/>
      <c r="Q635" s="1254"/>
      <c r="R635" s="1254"/>
      <c r="S635" s="1254"/>
      <c r="T635" s="1254"/>
      <c r="U635" s="1254"/>
    </row>
    <row r="636" spans="7:21" ht="15.6">
      <c r="G636" s="1255"/>
      <c r="H636" s="1254"/>
      <c r="I636" s="1254"/>
      <c r="J636" s="1254"/>
      <c r="K636" s="1254"/>
      <c r="L636" s="1254"/>
      <c r="M636" s="1254"/>
      <c r="N636" s="1254"/>
      <c r="O636" s="1254"/>
      <c r="P636" s="1254"/>
      <c r="Q636" s="1254"/>
      <c r="R636" s="1254"/>
      <c r="S636" s="1254"/>
      <c r="T636" s="1254"/>
      <c r="U636" s="1254"/>
    </row>
    <row r="637" spans="7:21" ht="15.6">
      <c r="G637" s="1255"/>
      <c r="H637" s="1254"/>
      <c r="I637" s="1254"/>
      <c r="J637" s="1254"/>
      <c r="K637" s="1254"/>
      <c r="L637" s="1254"/>
      <c r="M637" s="1254"/>
      <c r="N637" s="1254"/>
      <c r="O637" s="1254"/>
      <c r="P637" s="1254"/>
      <c r="Q637" s="1254"/>
      <c r="R637" s="1254"/>
      <c r="S637" s="1254"/>
      <c r="T637" s="1254"/>
      <c r="U637" s="1254"/>
    </row>
    <row r="638" spans="7:21" ht="15.6">
      <c r="G638" s="1255"/>
      <c r="H638" s="1254"/>
      <c r="I638" s="1254"/>
      <c r="J638" s="1254"/>
      <c r="K638" s="1254"/>
      <c r="L638" s="1254"/>
      <c r="M638" s="1254"/>
      <c r="N638" s="1254"/>
      <c r="O638" s="1254"/>
      <c r="P638" s="1254"/>
      <c r="Q638" s="1254"/>
      <c r="R638" s="1254"/>
      <c r="S638" s="1254"/>
      <c r="T638" s="1254"/>
      <c r="U638" s="1254"/>
    </row>
    <row r="639" spans="7:21" ht="15.6">
      <c r="G639" s="1255"/>
      <c r="H639" s="1254"/>
      <c r="I639" s="1254"/>
      <c r="J639" s="1254"/>
      <c r="K639" s="1254"/>
      <c r="L639" s="1254"/>
      <c r="M639" s="1254"/>
      <c r="N639" s="1254"/>
      <c r="O639" s="1254"/>
      <c r="P639" s="1254"/>
      <c r="Q639" s="1254"/>
      <c r="R639" s="1254"/>
      <c r="S639" s="1254"/>
      <c r="T639" s="1254"/>
      <c r="U639" s="1254"/>
    </row>
    <row r="640" spans="7:21" ht="15.6">
      <c r="G640" s="1255"/>
      <c r="H640" s="1254"/>
      <c r="I640" s="1254"/>
      <c r="J640" s="1254"/>
      <c r="K640" s="1254"/>
      <c r="L640" s="1254"/>
      <c r="M640" s="1254"/>
      <c r="N640" s="1254"/>
      <c r="O640" s="1254"/>
      <c r="P640" s="1254"/>
      <c r="Q640" s="1254"/>
      <c r="R640" s="1254"/>
      <c r="S640" s="1254"/>
      <c r="T640" s="1254"/>
      <c r="U640" s="1254"/>
    </row>
    <row r="641" spans="7:21" ht="15.6">
      <c r="G641" s="1255"/>
      <c r="H641" s="1254"/>
      <c r="I641" s="1254"/>
      <c r="J641" s="1254"/>
      <c r="K641" s="1254"/>
      <c r="L641" s="1254"/>
      <c r="M641" s="1254"/>
      <c r="N641" s="1254"/>
      <c r="O641" s="1254"/>
      <c r="P641" s="1254"/>
      <c r="Q641" s="1254"/>
      <c r="R641" s="1254"/>
      <c r="S641" s="1254"/>
      <c r="T641" s="1254"/>
      <c r="U641" s="1254"/>
    </row>
    <row r="642" spans="7:21" ht="15.6">
      <c r="G642" s="1255"/>
      <c r="H642" s="1254"/>
      <c r="I642" s="1254"/>
      <c r="J642" s="1254"/>
      <c r="K642" s="1254"/>
      <c r="L642" s="1254"/>
      <c r="M642" s="1254"/>
      <c r="N642" s="1254"/>
      <c r="O642" s="1254"/>
      <c r="P642" s="1254"/>
      <c r="Q642" s="1254"/>
      <c r="R642" s="1254"/>
      <c r="S642" s="1254"/>
      <c r="T642" s="1254"/>
      <c r="U642" s="1254"/>
    </row>
    <row r="643" spans="7:21" ht="15.6">
      <c r="G643" s="1255"/>
      <c r="H643" s="1254"/>
      <c r="I643" s="1254"/>
      <c r="J643" s="1254"/>
      <c r="K643" s="1254"/>
      <c r="L643" s="1254"/>
      <c r="M643" s="1254"/>
      <c r="N643" s="1254"/>
      <c r="O643" s="1254"/>
      <c r="P643" s="1254"/>
      <c r="Q643" s="1254"/>
      <c r="R643" s="1254"/>
      <c r="S643" s="1254"/>
      <c r="T643" s="1254"/>
      <c r="U643" s="1254"/>
    </row>
    <row r="644" spans="7:21" ht="15.6">
      <c r="G644" s="1255"/>
      <c r="H644" s="1254"/>
      <c r="I644" s="1254"/>
      <c r="J644" s="1254"/>
      <c r="K644" s="1254"/>
      <c r="L644" s="1254"/>
      <c r="M644" s="1254"/>
      <c r="N644" s="1254"/>
      <c r="O644" s="1254"/>
      <c r="P644" s="1254"/>
      <c r="Q644" s="1254"/>
      <c r="R644" s="1254"/>
      <c r="S644" s="1254"/>
      <c r="T644" s="1254"/>
      <c r="U644" s="1254"/>
    </row>
    <row r="645" spans="7:21" ht="15.6">
      <c r="G645" s="1255"/>
      <c r="H645" s="1254"/>
      <c r="I645" s="1254"/>
      <c r="J645" s="1254"/>
      <c r="K645" s="1254"/>
      <c r="L645" s="1254"/>
      <c r="M645" s="1254"/>
      <c r="N645" s="1254"/>
      <c r="O645" s="1254"/>
      <c r="P645" s="1254"/>
      <c r="Q645" s="1254"/>
      <c r="R645" s="1254"/>
      <c r="S645" s="1254"/>
      <c r="T645" s="1254"/>
      <c r="U645" s="1254"/>
    </row>
    <row r="646" spans="7:21" ht="15.6">
      <c r="G646" s="1255"/>
      <c r="H646" s="1254"/>
      <c r="I646" s="1254"/>
      <c r="J646" s="1254"/>
      <c r="K646" s="1254"/>
      <c r="L646" s="1254"/>
      <c r="M646" s="1254"/>
      <c r="N646" s="1254"/>
      <c r="O646" s="1254"/>
      <c r="P646" s="1254"/>
      <c r="Q646" s="1254"/>
      <c r="R646" s="1254"/>
      <c r="S646" s="1254"/>
      <c r="T646" s="1254"/>
      <c r="U646" s="1254"/>
    </row>
    <row r="647" spans="7:21" ht="15.6">
      <c r="G647" s="1255"/>
      <c r="H647" s="1254"/>
      <c r="I647" s="1254"/>
      <c r="J647" s="1254"/>
      <c r="K647" s="1254"/>
      <c r="L647" s="1254"/>
      <c r="M647" s="1254"/>
      <c r="N647" s="1254"/>
      <c r="O647" s="1254"/>
      <c r="P647" s="1254"/>
      <c r="Q647" s="1254"/>
      <c r="R647" s="1254"/>
      <c r="S647" s="1254"/>
      <c r="T647" s="1254"/>
      <c r="U647" s="1254"/>
    </row>
    <row r="648" spans="7:21" ht="15.6">
      <c r="G648" s="1255"/>
      <c r="H648" s="1254"/>
      <c r="I648" s="1254"/>
      <c r="J648" s="1254"/>
      <c r="K648" s="1254"/>
      <c r="L648" s="1254"/>
      <c r="M648" s="1254"/>
      <c r="N648" s="1254"/>
      <c r="O648" s="1254"/>
      <c r="P648" s="1254"/>
      <c r="Q648" s="1254"/>
      <c r="R648" s="1254"/>
      <c r="S648" s="1254"/>
      <c r="T648" s="1254"/>
      <c r="U648" s="1254"/>
    </row>
    <row r="649" spans="7:21" ht="15.6">
      <c r="G649" s="1255"/>
      <c r="H649" s="1254"/>
      <c r="I649" s="1254"/>
      <c r="J649" s="1254"/>
      <c r="K649" s="1254"/>
      <c r="L649" s="1254"/>
      <c r="M649" s="1254"/>
      <c r="N649" s="1254"/>
      <c r="O649" s="1254"/>
      <c r="P649" s="1254"/>
      <c r="Q649" s="1254"/>
      <c r="R649" s="1254"/>
      <c r="S649" s="1254"/>
      <c r="T649" s="1254"/>
      <c r="U649" s="1254"/>
    </row>
    <row r="650" spans="7:21" ht="15.6">
      <c r="G650" s="1255"/>
      <c r="H650" s="1254"/>
      <c r="I650" s="1254"/>
      <c r="J650" s="1254"/>
      <c r="K650" s="1254"/>
      <c r="L650" s="1254"/>
      <c r="M650" s="1254"/>
      <c r="N650" s="1254"/>
      <c r="O650" s="1254"/>
      <c r="P650" s="1254"/>
      <c r="Q650" s="1254"/>
      <c r="R650" s="1254"/>
      <c r="S650" s="1254"/>
      <c r="T650" s="1254"/>
      <c r="U650" s="1254"/>
    </row>
    <row r="651" spans="7:21" ht="15.6">
      <c r="G651" s="1255"/>
      <c r="H651" s="1254"/>
      <c r="I651" s="1254"/>
      <c r="J651" s="1254"/>
      <c r="K651" s="1254"/>
      <c r="L651" s="1254"/>
      <c r="M651" s="1254"/>
      <c r="N651" s="1254"/>
      <c r="O651" s="1254"/>
      <c r="P651" s="1254"/>
      <c r="Q651" s="1254"/>
      <c r="R651" s="1254"/>
      <c r="S651" s="1254"/>
      <c r="T651" s="1254"/>
      <c r="U651" s="1254"/>
    </row>
    <row r="652" spans="7:21" ht="15.6">
      <c r="G652" s="1255"/>
      <c r="H652" s="1254"/>
      <c r="I652" s="1254"/>
      <c r="J652" s="1254"/>
      <c r="K652" s="1254"/>
      <c r="L652" s="1254"/>
      <c r="M652" s="1254"/>
      <c r="N652" s="1254"/>
      <c r="O652" s="1254"/>
      <c r="P652" s="1254"/>
      <c r="Q652" s="1254"/>
      <c r="R652" s="1254"/>
      <c r="S652" s="1254"/>
      <c r="T652" s="1254"/>
      <c r="U652" s="1254"/>
    </row>
    <row r="653" spans="7:21" ht="15.6">
      <c r="G653" s="1255"/>
      <c r="H653" s="1254"/>
      <c r="I653" s="1254"/>
      <c r="J653" s="1254"/>
      <c r="K653" s="1254"/>
      <c r="L653" s="1254"/>
      <c r="M653" s="1254"/>
      <c r="N653" s="1254"/>
      <c r="O653" s="1254"/>
      <c r="P653" s="1254"/>
      <c r="Q653" s="1254"/>
      <c r="R653" s="1254"/>
      <c r="S653" s="1254"/>
      <c r="T653" s="1254"/>
      <c r="U653" s="1254"/>
    </row>
    <row r="654" spans="7:21" ht="15.6">
      <c r="G654" s="1255"/>
      <c r="H654" s="1254"/>
      <c r="I654" s="1254"/>
      <c r="J654" s="1254"/>
      <c r="K654" s="1254"/>
      <c r="L654" s="1254"/>
      <c r="M654" s="1254"/>
      <c r="N654" s="1254"/>
      <c r="O654" s="1254"/>
      <c r="P654" s="1254"/>
      <c r="Q654" s="1254"/>
      <c r="R654" s="1254"/>
      <c r="S654" s="1254"/>
      <c r="T654" s="1254"/>
      <c r="U654" s="1254"/>
    </row>
    <row r="655" spans="7:21" ht="15.6">
      <c r="G655" s="1255"/>
      <c r="H655" s="1254"/>
      <c r="I655" s="1254"/>
      <c r="J655" s="1254"/>
      <c r="K655" s="1254"/>
      <c r="L655" s="1254"/>
      <c r="M655" s="1254"/>
      <c r="N655" s="1254"/>
      <c r="O655" s="1254"/>
      <c r="P655" s="1254"/>
      <c r="Q655" s="1254"/>
      <c r="R655" s="1254"/>
      <c r="S655" s="1254"/>
      <c r="T655" s="1254"/>
      <c r="U655" s="1254"/>
    </row>
    <row r="656" spans="7:21" ht="15.6">
      <c r="G656" s="1255"/>
      <c r="H656" s="1254"/>
      <c r="I656" s="1254"/>
      <c r="J656" s="1254"/>
      <c r="K656" s="1254"/>
      <c r="L656" s="1254"/>
      <c r="M656" s="1254"/>
      <c r="N656" s="1254"/>
      <c r="O656" s="1254"/>
      <c r="P656" s="1254"/>
      <c r="Q656" s="1254"/>
      <c r="R656" s="1254"/>
      <c r="S656" s="1254"/>
      <c r="T656" s="1254"/>
      <c r="U656" s="1254"/>
    </row>
    <row r="657" spans="7:21" ht="15.6">
      <c r="G657" s="1255"/>
      <c r="H657" s="1254"/>
      <c r="I657" s="1254"/>
      <c r="J657" s="1254"/>
      <c r="K657" s="1254"/>
      <c r="L657" s="1254"/>
      <c r="M657" s="1254"/>
      <c r="N657" s="1254"/>
      <c r="O657" s="1254"/>
      <c r="P657" s="1254"/>
      <c r="Q657" s="1254"/>
      <c r="R657" s="1254"/>
      <c r="S657" s="1254"/>
      <c r="T657" s="1254"/>
      <c r="U657" s="1254"/>
    </row>
    <row r="658" spans="7:21" ht="15.6">
      <c r="G658" s="1255"/>
      <c r="H658" s="1254"/>
      <c r="I658" s="1254"/>
      <c r="J658" s="1254"/>
      <c r="K658" s="1254"/>
      <c r="L658" s="1254"/>
      <c r="M658" s="1254"/>
      <c r="N658" s="1254"/>
      <c r="O658" s="1254"/>
      <c r="P658" s="1254"/>
      <c r="Q658" s="1254"/>
      <c r="R658" s="1254"/>
      <c r="S658" s="1254"/>
      <c r="T658" s="1254"/>
      <c r="U658" s="1254"/>
    </row>
    <row r="659" spans="7:21" ht="15.6">
      <c r="G659" s="1255"/>
      <c r="H659" s="1254"/>
      <c r="I659" s="1254"/>
      <c r="J659" s="1254"/>
      <c r="K659" s="1254"/>
      <c r="L659" s="1254"/>
      <c r="M659" s="1254"/>
      <c r="N659" s="1254"/>
      <c r="O659" s="1254"/>
      <c r="P659" s="1254"/>
      <c r="Q659" s="1254"/>
      <c r="R659" s="1254"/>
      <c r="S659" s="1254"/>
      <c r="T659" s="1254"/>
      <c r="U659" s="1254"/>
    </row>
    <row r="660" spans="7:21" ht="15.6">
      <c r="G660" s="1255"/>
      <c r="H660" s="1254"/>
      <c r="I660" s="1254"/>
      <c r="J660" s="1254"/>
      <c r="K660" s="1254"/>
      <c r="L660" s="1254"/>
      <c r="M660" s="1254"/>
      <c r="N660" s="1254"/>
      <c r="O660" s="1254"/>
      <c r="P660" s="1254"/>
      <c r="Q660" s="1254"/>
      <c r="R660" s="1254"/>
      <c r="S660" s="1254"/>
      <c r="T660" s="1254"/>
      <c r="U660" s="1254"/>
    </row>
    <row r="661" spans="7:21" ht="15.6">
      <c r="G661" s="1255"/>
      <c r="H661" s="1254"/>
      <c r="I661" s="1254"/>
      <c r="J661" s="1254"/>
      <c r="K661" s="1254"/>
      <c r="L661" s="1254"/>
      <c r="M661" s="1254"/>
      <c r="N661" s="1254"/>
      <c r="O661" s="1254"/>
      <c r="P661" s="1254"/>
      <c r="Q661" s="1254"/>
      <c r="R661" s="1254"/>
      <c r="S661" s="1254"/>
      <c r="T661" s="1254"/>
      <c r="U661" s="1254"/>
    </row>
    <row r="662" spans="7:21" ht="15.6">
      <c r="G662" s="1255"/>
      <c r="H662" s="1254"/>
      <c r="I662" s="1254"/>
      <c r="J662" s="1254"/>
      <c r="K662" s="1254"/>
      <c r="L662" s="1254"/>
      <c r="M662" s="1254"/>
      <c r="N662" s="1254"/>
      <c r="O662" s="1254"/>
      <c r="P662" s="1254"/>
      <c r="Q662" s="1254"/>
      <c r="R662" s="1254"/>
      <c r="S662" s="1254"/>
      <c r="T662" s="1254"/>
      <c r="U662" s="1254"/>
    </row>
    <row r="663" spans="7:21" ht="15.6">
      <c r="G663" s="1255"/>
      <c r="H663" s="1254"/>
      <c r="I663" s="1254"/>
      <c r="J663" s="1254"/>
      <c r="K663" s="1254"/>
      <c r="L663" s="1254"/>
      <c r="M663" s="1254"/>
      <c r="N663" s="1254"/>
      <c r="O663" s="1254"/>
      <c r="P663" s="1254"/>
      <c r="Q663" s="1254"/>
      <c r="R663" s="1254"/>
      <c r="S663" s="1254"/>
      <c r="T663" s="1254"/>
      <c r="U663" s="1254"/>
    </row>
    <row r="664" spans="7:21" ht="15.6">
      <c r="G664" s="1255"/>
      <c r="H664" s="1254"/>
      <c r="I664" s="1254"/>
      <c r="J664" s="1254"/>
      <c r="K664" s="1254"/>
      <c r="L664" s="1254"/>
      <c r="M664" s="1254"/>
      <c r="N664" s="1254"/>
      <c r="O664" s="1254"/>
      <c r="P664" s="1254"/>
      <c r="Q664" s="1254"/>
      <c r="R664" s="1254"/>
      <c r="S664" s="1254"/>
      <c r="T664" s="1254"/>
      <c r="U664" s="1254"/>
    </row>
    <row r="665" spans="7:21" ht="15.6">
      <c r="G665" s="1255"/>
      <c r="H665" s="1254"/>
      <c r="I665" s="1254"/>
      <c r="J665" s="1254"/>
      <c r="K665" s="1254"/>
      <c r="L665" s="1254"/>
      <c r="M665" s="1254"/>
      <c r="N665" s="1254"/>
      <c r="O665" s="1254"/>
      <c r="P665" s="1254"/>
      <c r="Q665" s="1254"/>
      <c r="R665" s="1254"/>
      <c r="S665" s="1254"/>
      <c r="T665" s="1254"/>
      <c r="U665" s="1254"/>
    </row>
    <row r="666" spans="7:21" ht="15.6">
      <c r="G666" s="1255"/>
      <c r="H666" s="1254"/>
      <c r="I666" s="1254"/>
      <c r="J666" s="1254"/>
      <c r="K666" s="1254"/>
      <c r="L666" s="1254"/>
      <c r="M666" s="1254"/>
      <c r="N666" s="1254"/>
      <c r="O666" s="1254"/>
      <c r="P666" s="1254"/>
      <c r="Q666" s="1254"/>
      <c r="R666" s="1254"/>
      <c r="S666" s="1254"/>
      <c r="T666" s="1254"/>
      <c r="U666" s="1254"/>
    </row>
    <row r="667" spans="7:21" ht="15.6">
      <c r="G667" s="1255"/>
      <c r="H667" s="1254"/>
      <c r="I667" s="1254"/>
      <c r="J667" s="1254"/>
      <c r="K667" s="1254"/>
      <c r="L667" s="1254"/>
      <c r="M667" s="1254"/>
      <c r="N667" s="1254"/>
      <c r="O667" s="1254"/>
      <c r="P667" s="1254"/>
      <c r="Q667" s="1254"/>
      <c r="R667" s="1254"/>
      <c r="S667" s="1254"/>
      <c r="T667" s="1254"/>
      <c r="U667" s="1254"/>
    </row>
    <row r="668" spans="7:21" ht="15.6">
      <c r="G668" s="1255"/>
      <c r="H668" s="1254"/>
      <c r="I668" s="1254"/>
      <c r="J668" s="1254"/>
      <c r="K668" s="1254"/>
      <c r="L668" s="1254"/>
      <c r="M668" s="1254"/>
      <c r="N668" s="1254"/>
      <c r="O668" s="1254"/>
      <c r="P668" s="1254"/>
      <c r="Q668" s="1254"/>
      <c r="R668" s="1254"/>
      <c r="S668" s="1254"/>
      <c r="T668" s="1254"/>
      <c r="U668" s="1254"/>
    </row>
    <row r="669" spans="7:21" ht="15.6">
      <c r="G669" s="1255"/>
      <c r="H669" s="1254"/>
      <c r="I669" s="1254"/>
      <c r="J669" s="1254"/>
      <c r="K669" s="1254"/>
      <c r="L669" s="1254"/>
      <c r="M669" s="1254"/>
      <c r="N669" s="1254"/>
      <c r="O669" s="1254"/>
      <c r="P669" s="1254"/>
      <c r="Q669" s="1254"/>
      <c r="R669" s="1254"/>
      <c r="S669" s="1254"/>
      <c r="T669" s="1254"/>
      <c r="U669" s="1254"/>
    </row>
    <row r="670" spans="7:21" ht="15.6">
      <c r="G670" s="1255"/>
      <c r="H670" s="1254"/>
      <c r="I670" s="1254"/>
      <c r="J670" s="1254"/>
      <c r="K670" s="1254"/>
      <c r="L670" s="1254"/>
      <c r="M670" s="1254"/>
      <c r="N670" s="1254"/>
      <c r="O670" s="1254"/>
      <c r="P670" s="1254"/>
      <c r="Q670" s="1254"/>
      <c r="R670" s="1254"/>
      <c r="S670" s="1254"/>
      <c r="T670" s="1254"/>
      <c r="U670" s="1254"/>
    </row>
    <row r="671" spans="7:21" ht="15.6">
      <c r="G671" s="1255"/>
      <c r="H671" s="1254"/>
      <c r="I671" s="1254"/>
      <c r="J671" s="1254"/>
      <c r="K671" s="1254"/>
      <c r="L671" s="1254"/>
      <c r="M671" s="1254"/>
      <c r="N671" s="1254"/>
      <c r="O671" s="1254"/>
      <c r="P671" s="1254"/>
      <c r="Q671" s="1254"/>
      <c r="R671" s="1254"/>
      <c r="S671" s="1254"/>
      <c r="T671" s="1254"/>
      <c r="U671" s="1254"/>
    </row>
    <row r="672" spans="7:21" ht="15.6">
      <c r="G672" s="1255"/>
      <c r="H672" s="1254"/>
      <c r="I672" s="1254"/>
      <c r="J672" s="1254"/>
      <c r="K672" s="1254"/>
      <c r="L672" s="1254"/>
      <c r="M672" s="1254"/>
      <c r="N672" s="1254"/>
      <c r="O672" s="1254"/>
      <c r="P672" s="1254"/>
      <c r="Q672" s="1254"/>
      <c r="R672" s="1254"/>
      <c r="S672" s="1254"/>
      <c r="T672" s="1254"/>
      <c r="U672" s="1254"/>
    </row>
    <row r="673" spans="7:21" ht="15.6">
      <c r="G673" s="1255"/>
      <c r="H673" s="1254"/>
      <c r="I673" s="1254"/>
      <c r="J673" s="1254"/>
      <c r="K673" s="1254"/>
      <c r="L673" s="1254"/>
      <c r="M673" s="1254"/>
      <c r="N673" s="1254"/>
      <c r="O673" s="1254"/>
      <c r="P673" s="1254"/>
      <c r="Q673" s="1254"/>
      <c r="R673" s="1254"/>
      <c r="S673" s="1254"/>
      <c r="T673" s="1254"/>
      <c r="U673" s="1254"/>
    </row>
    <row r="674" spans="7:21" ht="15.6">
      <c r="G674" s="1255"/>
      <c r="H674" s="1254"/>
      <c r="I674" s="1254"/>
      <c r="J674" s="1254"/>
      <c r="K674" s="1254"/>
      <c r="L674" s="1254"/>
      <c r="M674" s="1254"/>
      <c r="N674" s="1254"/>
      <c r="O674" s="1254"/>
      <c r="P674" s="1254"/>
      <c r="Q674" s="1254"/>
      <c r="R674" s="1254"/>
      <c r="S674" s="1254"/>
      <c r="T674" s="1254"/>
      <c r="U674" s="1254"/>
    </row>
    <row r="675" spans="7:21" ht="15.6">
      <c r="G675" s="1255"/>
      <c r="H675" s="1254"/>
      <c r="I675" s="1254"/>
      <c r="J675" s="1254"/>
      <c r="K675" s="1254"/>
      <c r="L675" s="1254"/>
      <c r="M675" s="1254"/>
      <c r="N675" s="1254"/>
      <c r="O675" s="1254"/>
      <c r="P675" s="1254"/>
      <c r="Q675" s="1254"/>
      <c r="R675" s="1254"/>
      <c r="S675" s="1254"/>
      <c r="T675" s="1254"/>
      <c r="U675" s="1254"/>
    </row>
    <row r="676" spans="7:21" ht="15.6">
      <c r="G676" s="1255"/>
      <c r="H676" s="1254"/>
      <c r="I676" s="1254"/>
      <c r="J676" s="1254"/>
      <c r="K676" s="1254"/>
      <c r="L676" s="1254"/>
      <c r="M676" s="1254"/>
      <c r="N676" s="1254"/>
      <c r="O676" s="1254"/>
      <c r="P676" s="1254"/>
      <c r="Q676" s="1254"/>
      <c r="R676" s="1254"/>
      <c r="S676" s="1254"/>
      <c r="T676" s="1254"/>
      <c r="U676" s="1254"/>
    </row>
    <row r="677" spans="7:21" ht="15.6">
      <c r="G677" s="1255"/>
      <c r="H677" s="1254"/>
      <c r="I677" s="1254"/>
      <c r="J677" s="1254"/>
      <c r="K677" s="1254"/>
      <c r="L677" s="1254"/>
      <c r="M677" s="1254"/>
      <c r="N677" s="1254"/>
      <c r="O677" s="1254"/>
      <c r="P677" s="1254"/>
      <c r="Q677" s="1254"/>
      <c r="R677" s="1254"/>
      <c r="S677" s="1254"/>
      <c r="T677" s="1254"/>
      <c r="U677" s="1254"/>
    </row>
    <row r="678" spans="7:21" ht="15.6">
      <c r="G678" s="1255"/>
      <c r="H678" s="1254"/>
      <c r="I678" s="1254"/>
      <c r="J678" s="1254"/>
      <c r="K678" s="1254"/>
      <c r="L678" s="1254"/>
      <c r="M678" s="1254"/>
      <c r="N678" s="1254"/>
      <c r="O678" s="1254"/>
      <c r="P678" s="1254"/>
      <c r="Q678" s="1254"/>
      <c r="R678" s="1254"/>
      <c r="S678" s="1254"/>
      <c r="T678" s="1254"/>
      <c r="U678" s="1254"/>
    </row>
    <row r="679" spans="7:21" ht="15.6">
      <c r="G679" s="1255"/>
      <c r="H679" s="1254"/>
      <c r="I679" s="1254"/>
      <c r="J679" s="1254"/>
      <c r="K679" s="1254"/>
      <c r="L679" s="1254"/>
      <c r="M679" s="1254"/>
      <c r="N679" s="1254"/>
      <c r="O679" s="1254"/>
      <c r="P679" s="1254"/>
      <c r="Q679" s="1254"/>
      <c r="R679" s="1254"/>
      <c r="S679" s="1254"/>
      <c r="T679" s="1254"/>
      <c r="U679" s="1254"/>
    </row>
    <row r="680" spans="7:21" ht="15.6">
      <c r="G680" s="1255"/>
      <c r="H680" s="1254"/>
      <c r="I680" s="1254"/>
      <c r="J680" s="1254"/>
      <c r="K680" s="1254"/>
      <c r="L680" s="1254"/>
      <c r="M680" s="1254"/>
      <c r="N680" s="1254"/>
      <c r="O680" s="1254"/>
      <c r="P680" s="1254"/>
      <c r="Q680" s="1254"/>
      <c r="R680" s="1254"/>
      <c r="S680" s="1254"/>
      <c r="T680" s="1254"/>
      <c r="U680" s="1254"/>
    </row>
    <row r="681" spans="7:21" ht="15.6">
      <c r="G681" s="1255"/>
      <c r="H681" s="1254"/>
      <c r="I681" s="1254"/>
      <c r="J681" s="1254"/>
      <c r="K681" s="1254"/>
      <c r="L681" s="1254"/>
      <c r="M681" s="1254"/>
      <c r="N681" s="1254"/>
      <c r="O681" s="1254"/>
      <c r="P681" s="1254"/>
      <c r="Q681" s="1254"/>
      <c r="R681" s="1254"/>
      <c r="S681" s="1254"/>
      <c r="T681" s="1254"/>
      <c r="U681" s="1254"/>
    </row>
    <row r="682" spans="7:21" ht="15.6">
      <c r="G682" s="1255"/>
      <c r="H682" s="1254"/>
      <c r="I682" s="1254"/>
      <c r="J682" s="1254"/>
      <c r="K682" s="1254"/>
      <c r="L682" s="1254"/>
      <c r="M682" s="1254"/>
      <c r="N682" s="1254"/>
      <c r="O682" s="1254"/>
      <c r="P682" s="1254"/>
      <c r="Q682" s="1254"/>
      <c r="R682" s="1254"/>
      <c r="S682" s="1254"/>
      <c r="T682" s="1254"/>
      <c r="U682" s="1254"/>
    </row>
    <row r="683" spans="7:21" ht="15.6">
      <c r="G683" s="1255"/>
      <c r="H683" s="1254"/>
      <c r="I683" s="1254"/>
      <c r="J683" s="1254"/>
      <c r="K683" s="1254"/>
      <c r="L683" s="1254"/>
      <c r="M683" s="1254"/>
      <c r="N683" s="1254"/>
      <c r="O683" s="1254"/>
      <c r="P683" s="1254"/>
      <c r="Q683" s="1254"/>
      <c r="R683" s="1254"/>
      <c r="S683" s="1254"/>
      <c r="T683" s="1254"/>
      <c r="U683" s="1254"/>
    </row>
    <row r="684" spans="7:21" ht="15.6">
      <c r="G684" s="1255"/>
      <c r="H684" s="1254"/>
      <c r="I684" s="1254"/>
      <c r="J684" s="1254"/>
      <c r="K684" s="1254"/>
      <c r="L684" s="1254"/>
      <c r="M684" s="1254"/>
      <c r="N684" s="1254"/>
      <c r="O684" s="1254"/>
      <c r="P684" s="1254"/>
      <c r="Q684" s="1254"/>
      <c r="R684" s="1254"/>
      <c r="S684" s="1254"/>
      <c r="T684" s="1254"/>
      <c r="U684" s="1254"/>
    </row>
    <row r="685" spans="7:21" ht="15.6">
      <c r="G685" s="1255"/>
      <c r="H685" s="1254"/>
      <c r="I685" s="1254"/>
      <c r="J685" s="1254"/>
      <c r="K685" s="1254"/>
      <c r="L685" s="1254"/>
      <c r="M685" s="1254"/>
      <c r="N685" s="1254"/>
      <c r="O685" s="1254"/>
      <c r="P685" s="1254"/>
      <c r="Q685" s="1254"/>
      <c r="R685" s="1254"/>
      <c r="S685" s="1254"/>
      <c r="T685" s="1254"/>
      <c r="U685" s="1254"/>
    </row>
    <row r="686" spans="7:21" ht="15.6">
      <c r="G686" s="1255"/>
      <c r="H686" s="1254"/>
      <c r="I686" s="1254"/>
      <c r="J686" s="1254"/>
      <c r="K686" s="1254"/>
      <c r="L686" s="1254"/>
      <c r="M686" s="1254"/>
      <c r="N686" s="1254"/>
      <c r="O686" s="1254"/>
      <c r="P686" s="1254"/>
      <c r="Q686" s="1254"/>
      <c r="R686" s="1254"/>
      <c r="S686" s="1254"/>
      <c r="T686" s="1254"/>
      <c r="U686" s="1254"/>
    </row>
    <row r="687" spans="7:21" ht="15.6">
      <c r="G687" s="1255"/>
      <c r="H687" s="1254"/>
      <c r="I687" s="1254"/>
      <c r="J687" s="1254"/>
      <c r="K687" s="1254"/>
      <c r="L687" s="1254"/>
      <c r="M687" s="1254"/>
      <c r="N687" s="1254"/>
      <c r="O687" s="1254"/>
      <c r="P687" s="1254"/>
      <c r="Q687" s="1254"/>
      <c r="R687" s="1254"/>
      <c r="S687" s="1254"/>
      <c r="T687" s="1254"/>
      <c r="U687" s="1254"/>
    </row>
    <row r="688" spans="7:21" ht="15.6">
      <c r="G688" s="1255"/>
      <c r="H688" s="1254"/>
      <c r="I688" s="1254"/>
      <c r="J688" s="1254"/>
      <c r="K688" s="1254"/>
      <c r="L688" s="1254"/>
      <c r="M688" s="1254"/>
      <c r="N688" s="1254"/>
      <c r="O688" s="1254"/>
      <c r="P688" s="1254"/>
      <c r="Q688" s="1254"/>
      <c r="R688" s="1254"/>
      <c r="S688" s="1254"/>
      <c r="T688" s="1254"/>
      <c r="U688" s="1254"/>
    </row>
    <row r="689" spans="7:21" ht="15.6">
      <c r="G689" s="1255"/>
      <c r="H689" s="1254"/>
      <c r="I689" s="1254"/>
      <c r="J689" s="1254"/>
      <c r="K689" s="1254"/>
      <c r="L689" s="1254"/>
      <c r="M689" s="1254"/>
      <c r="N689" s="1254"/>
      <c r="O689" s="1254"/>
      <c r="P689" s="1254"/>
      <c r="Q689" s="1254"/>
      <c r="R689" s="1254"/>
      <c r="S689" s="1254"/>
      <c r="T689" s="1254"/>
      <c r="U689" s="1254"/>
    </row>
    <row r="690" spans="7:21" ht="15.6">
      <c r="G690" s="1255"/>
      <c r="H690" s="1254"/>
      <c r="I690" s="1254"/>
      <c r="J690" s="1254"/>
      <c r="K690" s="1254"/>
      <c r="L690" s="1254"/>
      <c r="M690" s="1254"/>
      <c r="N690" s="1254"/>
      <c r="O690" s="1254"/>
      <c r="P690" s="1254"/>
      <c r="Q690" s="1254"/>
      <c r="R690" s="1254"/>
      <c r="S690" s="1254"/>
      <c r="T690" s="1254"/>
      <c r="U690" s="1254"/>
    </row>
    <row r="691" spans="7:21" ht="15.6">
      <c r="G691" s="1255"/>
      <c r="H691" s="1254"/>
      <c r="I691" s="1254"/>
      <c r="J691" s="1254"/>
      <c r="K691" s="1254"/>
      <c r="L691" s="1254"/>
      <c r="M691" s="1254"/>
      <c r="N691" s="1254"/>
      <c r="O691" s="1254"/>
      <c r="P691" s="1254"/>
      <c r="Q691" s="1254"/>
      <c r="R691" s="1254"/>
      <c r="S691" s="1254"/>
      <c r="T691" s="1254"/>
      <c r="U691" s="1254"/>
    </row>
    <row r="692" spans="7:21" ht="15.6">
      <c r="G692" s="1255"/>
      <c r="H692" s="1254"/>
      <c r="I692" s="1254"/>
      <c r="J692" s="1254"/>
      <c r="K692" s="1254"/>
      <c r="L692" s="1254"/>
      <c r="M692" s="1254"/>
      <c r="N692" s="1254"/>
      <c r="O692" s="1254"/>
      <c r="P692" s="1254"/>
      <c r="Q692" s="1254"/>
      <c r="R692" s="1254"/>
      <c r="S692" s="1254"/>
      <c r="T692" s="1254"/>
      <c r="U692" s="1254"/>
    </row>
    <row r="693" spans="7:21" ht="15.6">
      <c r="G693" s="1255"/>
      <c r="H693" s="1254"/>
      <c r="I693" s="1254"/>
      <c r="J693" s="1254"/>
      <c r="K693" s="1254"/>
      <c r="L693" s="1254"/>
      <c r="M693" s="1254"/>
      <c r="N693" s="1254"/>
      <c r="O693" s="1254"/>
      <c r="P693" s="1254"/>
      <c r="Q693" s="1254"/>
      <c r="R693" s="1254"/>
      <c r="S693" s="1254"/>
      <c r="T693" s="1254"/>
      <c r="U693" s="1254"/>
    </row>
    <row r="694" spans="7:21" ht="15.6">
      <c r="G694" s="1255"/>
      <c r="H694" s="1254"/>
      <c r="I694" s="1254"/>
      <c r="J694" s="1254"/>
      <c r="K694" s="1254"/>
      <c r="L694" s="1254"/>
      <c r="M694" s="1254"/>
      <c r="N694" s="1254"/>
      <c r="O694" s="1254"/>
      <c r="P694" s="1254"/>
      <c r="Q694" s="1254"/>
      <c r="R694" s="1254"/>
      <c r="S694" s="1254"/>
      <c r="T694" s="1254"/>
      <c r="U694" s="1254"/>
    </row>
    <row r="695" spans="7:21" ht="15.6">
      <c r="G695" s="1255"/>
      <c r="H695" s="1254"/>
      <c r="I695" s="1254"/>
      <c r="J695" s="1254"/>
      <c r="K695" s="1254"/>
      <c r="L695" s="1254"/>
      <c r="M695" s="1254"/>
      <c r="N695" s="1254"/>
      <c r="O695" s="1254"/>
      <c r="P695" s="1254"/>
      <c r="Q695" s="1254"/>
      <c r="R695" s="1254"/>
      <c r="S695" s="1254"/>
      <c r="T695" s="1254"/>
      <c r="U695" s="1254"/>
    </row>
    <row r="696" spans="7:21" ht="15.6">
      <c r="G696" s="1255"/>
      <c r="H696" s="1254"/>
      <c r="I696" s="1254"/>
      <c r="J696" s="1254"/>
      <c r="K696" s="1254"/>
      <c r="L696" s="1254"/>
      <c r="M696" s="1254"/>
      <c r="N696" s="1254"/>
      <c r="O696" s="1254"/>
      <c r="P696" s="1254"/>
      <c r="Q696" s="1254"/>
      <c r="R696" s="1254"/>
      <c r="S696" s="1254"/>
      <c r="T696" s="1254"/>
      <c r="U696" s="1254"/>
    </row>
    <row r="697" spans="7:21" ht="15.6">
      <c r="G697" s="1255"/>
      <c r="H697" s="1254"/>
      <c r="I697" s="1254"/>
      <c r="J697" s="1254"/>
      <c r="K697" s="1254"/>
      <c r="L697" s="1254"/>
      <c r="M697" s="1254"/>
      <c r="N697" s="1254"/>
      <c r="O697" s="1254"/>
      <c r="P697" s="1254"/>
      <c r="Q697" s="1254"/>
      <c r="R697" s="1254"/>
      <c r="S697" s="1254"/>
      <c r="T697" s="1254"/>
      <c r="U697" s="1254"/>
    </row>
    <row r="698" spans="7:21" ht="15.6">
      <c r="G698" s="1255"/>
      <c r="H698" s="1254"/>
      <c r="I698" s="1254"/>
      <c r="J698" s="1254"/>
      <c r="K698" s="1254"/>
      <c r="L698" s="1254"/>
      <c r="M698" s="1254"/>
      <c r="N698" s="1254"/>
      <c r="O698" s="1254"/>
      <c r="P698" s="1254"/>
      <c r="Q698" s="1254"/>
      <c r="R698" s="1254"/>
      <c r="S698" s="1254"/>
      <c r="T698" s="1254"/>
      <c r="U698" s="1254"/>
    </row>
    <row r="699" spans="7:21" ht="15.6">
      <c r="G699" s="1255"/>
      <c r="H699" s="1254"/>
      <c r="I699" s="1254"/>
      <c r="J699" s="1254"/>
      <c r="K699" s="1254"/>
      <c r="L699" s="1254"/>
      <c r="M699" s="1254"/>
      <c r="N699" s="1254"/>
      <c r="O699" s="1254"/>
      <c r="P699" s="1254"/>
      <c r="Q699" s="1254"/>
      <c r="R699" s="1254"/>
      <c r="S699" s="1254"/>
      <c r="T699" s="1254"/>
      <c r="U699" s="1254"/>
    </row>
    <row r="700" spans="7:21" ht="15.6">
      <c r="G700" s="1255"/>
      <c r="H700" s="1254"/>
      <c r="I700" s="1254"/>
      <c r="J700" s="1254"/>
      <c r="K700" s="1254"/>
      <c r="L700" s="1254"/>
      <c r="M700" s="1254"/>
      <c r="N700" s="1254"/>
      <c r="O700" s="1254"/>
      <c r="P700" s="1254"/>
      <c r="Q700" s="1254"/>
      <c r="R700" s="1254"/>
      <c r="S700" s="1254"/>
      <c r="T700" s="1254"/>
      <c r="U700" s="1254"/>
    </row>
    <row r="701" spans="7:21" ht="15.6">
      <c r="G701" s="1255"/>
      <c r="H701" s="1254"/>
      <c r="I701" s="1254"/>
      <c r="J701" s="1254"/>
      <c r="K701" s="1254"/>
      <c r="L701" s="1254"/>
      <c r="M701" s="1254"/>
      <c r="N701" s="1254"/>
      <c r="O701" s="1254"/>
      <c r="P701" s="1254"/>
      <c r="Q701" s="1254"/>
      <c r="R701" s="1254"/>
      <c r="S701" s="1254"/>
      <c r="T701" s="1254"/>
      <c r="U701" s="1254"/>
    </row>
    <row r="702" spans="7:21" ht="15.6">
      <c r="G702" s="1255"/>
      <c r="H702" s="1254"/>
      <c r="I702" s="1254"/>
      <c r="J702" s="1254"/>
      <c r="K702" s="1254"/>
      <c r="L702" s="1254"/>
      <c r="M702" s="1254"/>
      <c r="N702" s="1254"/>
      <c r="O702" s="1254"/>
      <c r="P702" s="1254"/>
      <c r="Q702" s="1254"/>
      <c r="R702" s="1254"/>
      <c r="S702" s="1254"/>
      <c r="T702" s="1254"/>
      <c r="U702" s="1254"/>
    </row>
    <row r="703" spans="7:21" ht="15.6">
      <c r="G703" s="1255"/>
      <c r="H703" s="1254"/>
      <c r="I703" s="1254"/>
      <c r="J703" s="1254"/>
      <c r="K703" s="1254"/>
      <c r="L703" s="1254"/>
      <c r="M703" s="1254"/>
      <c r="N703" s="1254"/>
      <c r="O703" s="1254"/>
      <c r="P703" s="1254"/>
      <c r="Q703" s="1254"/>
      <c r="R703" s="1254"/>
      <c r="S703" s="1254"/>
      <c r="T703" s="1254"/>
      <c r="U703" s="1254"/>
    </row>
    <row r="704" spans="7:21" ht="15.6">
      <c r="G704" s="1255"/>
      <c r="H704" s="1254"/>
      <c r="I704" s="1254"/>
      <c r="J704" s="1254"/>
      <c r="K704" s="1254"/>
      <c r="L704" s="1254"/>
      <c r="M704" s="1254"/>
      <c r="N704" s="1254"/>
      <c r="O704" s="1254"/>
      <c r="P704" s="1254"/>
      <c r="Q704" s="1254"/>
      <c r="R704" s="1254"/>
      <c r="S704" s="1254"/>
      <c r="T704" s="1254"/>
      <c r="U704" s="1254"/>
    </row>
    <row r="705" spans="7:21" ht="15.6">
      <c r="G705" s="1255"/>
      <c r="H705" s="1254"/>
      <c r="I705" s="1254"/>
      <c r="J705" s="1254"/>
      <c r="K705" s="1254"/>
      <c r="L705" s="1254"/>
      <c r="M705" s="1254"/>
      <c r="N705" s="1254"/>
      <c r="O705" s="1254"/>
      <c r="P705" s="1254"/>
      <c r="Q705" s="1254"/>
      <c r="R705" s="1254"/>
      <c r="S705" s="1254"/>
      <c r="T705" s="1254"/>
      <c r="U705" s="1254"/>
    </row>
    <row r="706" spans="7:21" ht="15.6">
      <c r="G706" s="1255"/>
      <c r="H706" s="1254"/>
      <c r="I706" s="1254"/>
      <c r="J706" s="1254"/>
      <c r="K706" s="1254"/>
      <c r="L706" s="1254"/>
      <c r="M706" s="1254"/>
      <c r="N706" s="1254"/>
      <c r="O706" s="1254"/>
      <c r="P706" s="1254"/>
      <c r="Q706" s="1254"/>
      <c r="R706" s="1254"/>
      <c r="S706" s="1254"/>
      <c r="T706" s="1254"/>
      <c r="U706" s="1254"/>
    </row>
    <row r="707" spans="7:21" ht="15.6">
      <c r="G707" s="1255"/>
      <c r="H707" s="1254"/>
      <c r="I707" s="1254"/>
      <c r="J707" s="1254"/>
      <c r="K707" s="1254"/>
      <c r="L707" s="1254"/>
      <c r="M707" s="1254"/>
      <c r="N707" s="1254"/>
      <c r="O707" s="1254"/>
      <c r="P707" s="1254"/>
      <c r="Q707" s="1254"/>
      <c r="R707" s="1254"/>
      <c r="S707" s="1254"/>
      <c r="T707" s="1254"/>
      <c r="U707" s="1254"/>
    </row>
    <row r="708" spans="7:21" ht="15.6">
      <c r="G708" s="1255"/>
      <c r="H708" s="1254"/>
      <c r="I708" s="1254"/>
      <c r="J708" s="1254"/>
      <c r="K708" s="1254"/>
      <c r="L708" s="1254"/>
      <c r="M708" s="1254"/>
      <c r="N708" s="1254"/>
      <c r="O708" s="1254"/>
      <c r="P708" s="1254"/>
      <c r="Q708" s="1254"/>
      <c r="R708" s="1254"/>
      <c r="S708" s="1254"/>
      <c r="T708" s="1254"/>
      <c r="U708" s="1254"/>
    </row>
    <row r="709" spans="7:21" ht="15.6">
      <c r="G709" s="1255"/>
      <c r="H709" s="1254"/>
      <c r="I709" s="1254"/>
      <c r="J709" s="1254"/>
      <c r="K709" s="1254"/>
      <c r="L709" s="1254"/>
      <c r="M709" s="1254"/>
      <c r="N709" s="1254"/>
      <c r="O709" s="1254"/>
      <c r="P709" s="1254"/>
      <c r="Q709" s="1254"/>
      <c r="R709" s="1254"/>
      <c r="S709" s="1254"/>
      <c r="T709" s="1254"/>
      <c r="U709" s="1254"/>
    </row>
    <row r="710" spans="7:21" ht="15.6">
      <c r="G710" s="1255"/>
      <c r="H710" s="1254"/>
      <c r="I710" s="1254"/>
      <c r="J710" s="1254"/>
      <c r="K710" s="1254"/>
      <c r="L710" s="1254"/>
      <c r="M710" s="1254"/>
      <c r="N710" s="1254"/>
      <c r="O710" s="1254"/>
      <c r="P710" s="1254"/>
      <c r="Q710" s="1254"/>
      <c r="R710" s="1254"/>
      <c r="S710" s="1254"/>
      <c r="T710" s="1254"/>
      <c r="U710" s="1254"/>
    </row>
    <row r="711" spans="7:21" ht="15.6">
      <c r="G711" s="1255"/>
      <c r="H711" s="1254"/>
      <c r="I711" s="1254"/>
      <c r="J711" s="1254"/>
      <c r="K711" s="1254"/>
      <c r="L711" s="1254"/>
      <c r="M711" s="1254"/>
      <c r="N711" s="1254"/>
      <c r="O711" s="1254"/>
      <c r="P711" s="1254"/>
      <c r="Q711" s="1254"/>
      <c r="R711" s="1254"/>
      <c r="S711" s="1254"/>
      <c r="T711" s="1254"/>
      <c r="U711" s="1254"/>
    </row>
    <row r="712" spans="7:21" ht="15.6">
      <c r="G712" s="1255"/>
      <c r="H712" s="1254"/>
      <c r="I712" s="1254"/>
      <c r="J712" s="1254"/>
      <c r="K712" s="1254"/>
      <c r="L712" s="1254"/>
      <c r="M712" s="1254"/>
      <c r="N712" s="1254"/>
      <c r="O712" s="1254"/>
      <c r="P712" s="1254"/>
      <c r="Q712" s="1254"/>
      <c r="R712" s="1254"/>
      <c r="S712" s="1254"/>
      <c r="T712" s="1254"/>
      <c r="U712" s="1254"/>
    </row>
    <row r="713" spans="7:21" ht="15.6">
      <c r="G713" s="1255"/>
      <c r="H713" s="1254"/>
      <c r="I713" s="1254"/>
      <c r="J713" s="1254"/>
      <c r="K713" s="1254"/>
      <c r="L713" s="1254"/>
      <c r="M713" s="1254"/>
      <c r="N713" s="1254"/>
      <c r="O713" s="1254"/>
      <c r="P713" s="1254"/>
      <c r="Q713" s="1254"/>
      <c r="R713" s="1254"/>
      <c r="S713" s="1254"/>
      <c r="T713" s="1254"/>
      <c r="U713" s="1254"/>
    </row>
    <row r="714" spans="7:21" ht="15.6">
      <c r="G714" s="1255"/>
      <c r="H714" s="1254"/>
      <c r="I714" s="1254"/>
      <c r="J714" s="1254"/>
      <c r="K714" s="1254"/>
      <c r="L714" s="1254"/>
      <c r="M714" s="1254"/>
      <c r="N714" s="1254"/>
      <c r="O714" s="1254"/>
      <c r="P714" s="1254"/>
      <c r="Q714" s="1254"/>
      <c r="R714" s="1254"/>
      <c r="S714" s="1254"/>
      <c r="T714" s="1254"/>
      <c r="U714" s="1254"/>
    </row>
    <row r="715" spans="7:21" ht="15.6">
      <c r="G715" s="1255"/>
      <c r="H715" s="1254"/>
      <c r="I715" s="1254"/>
      <c r="J715" s="1254"/>
      <c r="K715" s="1254"/>
      <c r="L715" s="1254"/>
      <c r="M715" s="1254"/>
      <c r="N715" s="1254"/>
      <c r="O715" s="1254"/>
      <c r="P715" s="1254"/>
      <c r="Q715" s="1254"/>
      <c r="R715" s="1254"/>
      <c r="S715" s="1254"/>
      <c r="T715" s="1254"/>
      <c r="U715" s="1254"/>
    </row>
    <row r="716" spans="7:21" ht="15.6">
      <c r="G716" s="1255"/>
      <c r="H716" s="1254"/>
      <c r="I716" s="1254"/>
      <c r="J716" s="1254"/>
      <c r="K716" s="1254"/>
      <c r="L716" s="1254"/>
      <c r="M716" s="1254"/>
      <c r="N716" s="1254"/>
      <c r="O716" s="1254"/>
      <c r="P716" s="1254"/>
      <c r="Q716" s="1254"/>
      <c r="R716" s="1254"/>
      <c r="S716" s="1254"/>
      <c r="T716" s="1254"/>
      <c r="U716" s="1254"/>
    </row>
    <row r="717" spans="7:21" ht="15.6">
      <c r="G717" s="1255"/>
      <c r="H717" s="1254"/>
      <c r="I717" s="1254"/>
      <c r="J717" s="1254"/>
      <c r="K717" s="1254"/>
      <c r="L717" s="1254"/>
      <c r="M717" s="1254"/>
      <c r="N717" s="1254"/>
      <c r="O717" s="1254"/>
      <c r="P717" s="1254"/>
      <c r="Q717" s="1254"/>
      <c r="R717" s="1254"/>
      <c r="S717" s="1254"/>
      <c r="T717" s="1254"/>
      <c r="U717" s="1254"/>
    </row>
    <row r="718" spans="7:21" ht="15.6">
      <c r="G718" s="1255"/>
      <c r="H718" s="1254"/>
      <c r="I718" s="1254"/>
      <c r="J718" s="1254"/>
      <c r="K718" s="1254"/>
      <c r="L718" s="1254"/>
      <c r="M718" s="1254"/>
      <c r="N718" s="1254"/>
      <c r="O718" s="1254"/>
      <c r="P718" s="1254"/>
      <c r="Q718" s="1254"/>
      <c r="R718" s="1254"/>
      <c r="S718" s="1254"/>
      <c r="T718" s="1254"/>
      <c r="U718" s="1254"/>
    </row>
    <row r="719" spans="7:21" ht="15.6">
      <c r="G719" s="1255"/>
      <c r="H719" s="1254"/>
      <c r="I719" s="1254"/>
      <c r="J719" s="1254"/>
      <c r="K719" s="1254"/>
      <c r="L719" s="1254"/>
      <c r="M719" s="1254"/>
      <c r="N719" s="1254"/>
      <c r="O719" s="1254"/>
      <c r="P719" s="1254"/>
      <c r="Q719" s="1254"/>
      <c r="R719" s="1254"/>
      <c r="S719" s="1254"/>
      <c r="T719" s="1254"/>
      <c r="U719" s="1254"/>
    </row>
    <row r="720" spans="7:21" ht="15.6">
      <c r="G720" s="1255"/>
      <c r="H720" s="1254"/>
      <c r="I720" s="1254"/>
      <c r="J720" s="1254"/>
      <c r="K720" s="1254"/>
      <c r="L720" s="1254"/>
      <c r="M720" s="1254"/>
      <c r="N720" s="1254"/>
      <c r="O720" s="1254"/>
      <c r="P720" s="1254"/>
      <c r="Q720" s="1254"/>
      <c r="R720" s="1254"/>
      <c r="S720" s="1254"/>
      <c r="T720" s="1254"/>
      <c r="U720" s="1254"/>
    </row>
    <row r="721" spans="7:21" ht="15.6">
      <c r="G721" s="1255"/>
      <c r="H721" s="1254"/>
      <c r="I721" s="1254"/>
      <c r="J721" s="1254"/>
      <c r="K721" s="1254"/>
      <c r="L721" s="1254"/>
      <c r="M721" s="1254"/>
      <c r="N721" s="1254"/>
      <c r="O721" s="1254"/>
      <c r="P721" s="1254"/>
      <c r="Q721" s="1254"/>
      <c r="R721" s="1254"/>
      <c r="S721" s="1254"/>
      <c r="T721" s="1254"/>
      <c r="U721" s="1254"/>
    </row>
    <row r="722" spans="7:21" ht="15.6">
      <c r="G722" s="1255"/>
      <c r="H722" s="1254"/>
      <c r="I722" s="1254"/>
      <c r="J722" s="1254"/>
      <c r="K722" s="1254"/>
      <c r="L722" s="1254"/>
      <c r="M722" s="1254"/>
      <c r="N722" s="1254"/>
      <c r="O722" s="1254"/>
      <c r="P722" s="1254"/>
      <c r="Q722" s="1254"/>
      <c r="R722" s="1254"/>
      <c r="S722" s="1254"/>
      <c r="T722" s="1254"/>
      <c r="U722" s="1254"/>
    </row>
    <row r="723" spans="7:21" ht="15.6">
      <c r="G723" s="1255"/>
      <c r="H723" s="1254"/>
      <c r="I723" s="1254"/>
      <c r="J723" s="1254"/>
      <c r="K723" s="1254"/>
      <c r="L723" s="1254"/>
      <c r="M723" s="1254"/>
      <c r="N723" s="1254"/>
      <c r="O723" s="1254"/>
      <c r="P723" s="1254"/>
      <c r="Q723" s="1254"/>
      <c r="R723" s="1254"/>
      <c r="S723" s="1254"/>
      <c r="T723" s="1254"/>
      <c r="U723" s="1254"/>
    </row>
    <row r="724" spans="7:21" ht="15.6">
      <c r="G724" s="1255"/>
      <c r="H724" s="1254"/>
      <c r="I724" s="1254"/>
      <c r="J724" s="1254"/>
      <c r="K724" s="1254"/>
      <c r="L724" s="1254"/>
      <c r="M724" s="1254"/>
      <c r="N724" s="1254"/>
      <c r="O724" s="1254"/>
      <c r="P724" s="1254"/>
      <c r="Q724" s="1254"/>
      <c r="R724" s="1254"/>
      <c r="S724" s="1254"/>
      <c r="T724" s="1254"/>
      <c r="U724" s="1254"/>
    </row>
    <row r="725" spans="7:21" ht="15.6">
      <c r="G725" s="1255"/>
      <c r="H725" s="1254"/>
      <c r="I725" s="1254"/>
      <c r="J725" s="1254"/>
      <c r="K725" s="1254"/>
      <c r="L725" s="1254"/>
      <c r="M725" s="1254"/>
      <c r="N725" s="1254"/>
      <c r="O725" s="1254"/>
      <c r="P725" s="1254"/>
      <c r="Q725" s="1254"/>
      <c r="R725" s="1254"/>
      <c r="S725" s="1254"/>
      <c r="T725" s="1254"/>
      <c r="U725" s="1254"/>
    </row>
    <row r="726" spans="7:21" ht="15.6">
      <c r="G726" s="1255"/>
      <c r="H726" s="1254"/>
      <c r="I726" s="1254"/>
      <c r="J726" s="1254"/>
      <c r="K726" s="1254"/>
      <c r="L726" s="1254"/>
      <c r="M726" s="1254"/>
      <c r="N726" s="1254"/>
      <c r="O726" s="1254"/>
      <c r="P726" s="1254"/>
      <c r="Q726" s="1254"/>
      <c r="R726" s="1254"/>
      <c r="S726" s="1254"/>
      <c r="T726" s="1254"/>
      <c r="U726" s="1254"/>
    </row>
    <row r="727" spans="7:21" ht="15.6">
      <c r="G727" s="1255"/>
      <c r="H727" s="1254"/>
      <c r="I727" s="1254"/>
      <c r="J727" s="1254"/>
      <c r="K727" s="1254"/>
      <c r="L727" s="1254"/>
      <c r="M727" s="1254"/>
      <c r="N727" s="1254"/>
      <c r="O727" s="1254"/>
      <c r="P727" s="1254"/>
      <c r="Q727" s="1254"/>
      <c r="R727" s="1254"/>
      <c r="S727" s="1254"/>
      <c r="T727" s="1254"/>
      <c r="U727" s="1254"/>
    </row>
    <row r="728" spans="7:21" ht="15.6">
      <c r="G728" s="1255"/>
      <c r="H728" s="1254"/>
      <c r="I728" s="1254"/>
      <c r="J728" s="1254"/>
      <c r="K728" s="1254"/>
      <c r="L728" s="1254"/>
      <c r="M728" s="1254"/>
      <c r="N728" s="1254"/>
      <c r="O728" s="1254"/>
      <c r="P728" s="1254"/>
      <c r="Q728" s="1254"/>
      <c r="R728" s="1254"/>
      <c r="S728" s="1254"/>
      <c r="T728" s="1254"/>
      <c r="U728" s="1254"/>
    </row>
    <row r="729" spans="7:21" ht="15.6">
      <c r="G729" s="1255"/>
      <c r="H729" s="1254"/>
      <c r="I729" s="1254"/>
      <c r="J729" s="1254"/>
      <c r="K729" s="1254"/>
      <c r="L729" s="1254"/>
      <c r="M729" s="1254"/>
      <c r="N729" s="1254"/>
      <c r="O729" s="1254"/>
      <c r="P729" s="1254"/>
      <c r="Q729" s="1254"/>
      <c r="R729" s="1254"/>
      <c r="S729" s="1254"/>
      <c r="T729" s="1254"/>
      <c r="U729" s="1254"/>
    </row>
    <row r="730" spans="7:21" ht="15.6">
      <c r="G730" s="1255"/>
      <c r="H730" s="1254"/>
      <c r="I730" s="1254"/>
      <c r="J730" s="1254"/>
      <c r="K730" s="1254"/>
      <c r="L730" s="1254"/>
      <c r="M730" s="1254"/>
      <c r="N730" s="1254"/>
      <c r="O730" s="1254"/>
      <c r="P730" s="1254"/>
      <c r="Q730" s="1254"/>
      <c r="R730" s="1254"/>
      <c r="S730" s="1254"/>
      <c r="T730" s="1254"/>
      <c r="U730" s="1254"/>
    </row>
    <row r="731" spans="7:21" ht="15.6">
      <c r="G731" s="1255"/>
      <c r="H731" s="1254"/>
      <c r="I731" s="1254"/>
      <c r="J731" s="1254"/>
      <c r="K731" s="1254"/>
      <c r="L731" s="1254"/>
      <c r="M731" s="1254"/>
      <c r="N731" s="1254"/>
      <c r="O731" s="1254"/>
      <c r="P731" s="1254"/>
      <c r="Q731" s="1254"/>
      <c r="R731" s="1254"/>
      <c r="S731" s="1254"/>
      <c r="T731" s="1254"/>
      <c r="U731" s="1254"/>
    </row>
    <row r="732" spans="7:21" ht="15.6">
      <c r="G732" s="1255"/>
      <c r="H732" s="1254"/>
      <c r="I732" s="1254"/>
      <c r="J732" s="1254"/>
      <c r="K732" s="1254"/>
      <c r="L732" s="1254"/>
      <c r="M732" s="1254"/>
      <c r="N732" s="1254"/>
      <c r="O732" s="1254"/>
      <c r="P732" s="1254"/>
      <c r="Q732" s="1254"/>
      <c r="R732" s="1254"/>
      <c r="S732" s="1254"/>
      <c r="T732" s="1254"/>
      <c r="U732" s="1254"/>
    </row>
    <row r="733" spans="7:21" ht="15.6">
      <c r="G733" s="1255"/>
      <c r="H733" s="1254"/>
      <c r="I733" s="1254"/>
      <c r="J733" s="1254"/>
      <c r="K733" s="1254"/>
      <c r="L733" s="1254"/>
      <c r="M733" s="1254"/>
      <c r="N733" s="1254"/>
      <c r="O733" s="1254"/>
      <c r="P733" s="1254"/>
      <c r="Q733" s="1254"/>
      <c r="R733" s="1254"/>
      <c r="S733" s="1254"/>
      <c r="T733" s="1254"/>
      <c r="U733" s="1254"/>
    </row>
    <row r="734" spans="7:21" ht="15.6">
      <c r="G734" s="1255"/>
      <c r="H734" s="1254"/>
      <c r="I734" s="1254"/>
      <c r="J734" s="1254"/>
      <c r="K734" s="1254"/>
      <c r="L734" s="1254"/>
      <c r="M734" s="1254"/>
      <c r="N734" s="1254"/>
      <c r="O734" s="1254"/>
      <c r="P734" s="1254"/>
      <c r="Q734" s="1254"/>
      <c r="R734" s="1254"/>
      <c r="S734" s="1254"/>
      <c r="T734" s="1254"/>
      <c r="U734" s="1254"/>
    </row>
    <row r="735" spans="7:21" ht="15.6">
      <c r="G735" s="1255"/>
      <c r="H735" s="1254"/>
      <c r="I735" s="1254"/>
      <c r="J735" s="1254"/>
      <c r="K735" s="1254"/>
      <c r="L735" s="1254"/>
      <c r="M735" s="1254"/>
      <c r="N735" s="1254"/>
      <c r="O735" s="1254"/>
      <c r="P735" s="1254"/>
      <c r="Q735" s="1254"/>
      <c r="R735" s="1254"/>
      <c r="S735" s="1254"/>
      <c r="T735" s="1254"/>
      <c r="U735" s="1254"/>
    </row>
    <row r="736" spans="7:21" ht="15.6">
      <c r="G736" s="1255"/>
      <c r="H736" s="1254"/>
      <c r="I736" s="1254"/>
      <c r="J736" s="1254"/>
      <c r="K736" s="1254"/>
      <c r="L736" s="1254"/>
      <c r="M736" s="1254"/>
      <c r="N736" s="1254"/>
      <c r="O736" s="1254"/>
      <c r="P736" s="1254"/>
      <c r="Q736" s="1254"/>
      <c r="R736" s="1254"/>
      <c r="S736" s="1254"/>
      <c r="T736" s="1254"/>
      <c r="U736" s="1254"/>
    </row>
    <row r="737" spans="7:21" ht="15.6">
      <c r="G737" s="1255"/>
      <c r="H737" s="1254"/>
      <c r="I737" s="1254"/>
      <c r="J737" s="1254"/>
      <c r="K737" s="1254"/>
      <c r="L737" s="1254"/>
      <c r="M737" s="1254"/>
      <c r="N737" s="1254"/>
      <c r="O737" s="1254"/>
      <c r="P737" s="1254"/>
      <c r="Q737" s="1254"/>
      <c r="R737" s="1254"/>
      <c r="S737" s="1254"/>
      <c r="T737" s="1254"/>
      <c r="U737" s="1254"/>
    </row>
    <row r="738" spans="7:21" ht="15.6">
      <c r="G738" s="1255"/>
      <c r="H738" s="1254"/>
      <c r="I738" s="1254"/>
      <c r="J738" s="1254"/>
      <c r="K738" s="1254"/>
      <c r="L738" s="1254"/>
      <c r="M738" s="1254"/>
      <c r="N738" s="1254"/>
      <c r="O738" s="1254"/>
      <c r="P738" s="1254"/>
      <c r="Q738" s="1254"/>
      <c r="R738" s="1254"/>
      <c r="S738" s="1254"/>
      <c r="T738" s="1254"/>
      <c r="U738" s="1254"/>
    </row>
    <row r="739" spans="7:21" ht="15.6">
      <c r="G739" s="1255"/>
      <c r="H739" s="1254"/>
      <c r="I739" s="1254"/>
      <c r="J739" s="1254"/>
      <c r="K739" s="1254"/>
      <c r="L739" s="1254"/>
      <c r="M739" s="1254"/>
      <c r="N739" s="1254"/>
      <c r="O739" s="1254"/>
      <c r="P739" s="1254"/>
      <c r="Q739" s="1254"/>
      <c r="R739" s="1254"/>
      <c r="S739" s="1254"/>
      <c r="T739" s="1254"/>
      <c r="U739" s="1254"/>
    </row>
    <row r="740" spans="7:21" ht="15.6">
      <c r="G740" s="1255"/>
      <c r="H740" s="1254"/>
      <c r="I740" s="1254"/>
      <c r="J740" s="1254"/>
      <c r="K740" s="1254"/>
      <c r="L740" s="1254"/>
      <c r="M740" s="1254"/>
      <c r="N740" s="1254"/>
      <c r="O740" s="1254"/>
      <c r="P740" s="1254"/>
      <c r="Q740" s="1254"/>
      <c r="R740" s="1254"/>
      <c r="S740" s="1254"/>
      <c r="T740" s="1254"/>
      <c r="U740" s="1254"/>
    </row>
    <row r="741" spans="7:21" ht="15.6">
      <c r="G741" s="1255"/>
      <c r="H741" s="1254"/>
      <c r="I741" s="1254"/>
      <c r="J741" s="1254"/>
      <c r="K741" s="1254"/>
      <c r="L741" s="1254"/>
      <c r="M741" s="1254"/>
      <c r="N741" s="1254"/>
      <c r="O741" s="1254"/>
      <c r="P741" s="1254"/>
      <c r="Q741" s="1254"/>
      <c r="R741" s="1254"/>
      <c r="S741" s="1254"/>
      <c r="T741" s="1254"/>
      <c r="U741" s="1254"/>
    </row>
    <row r="742" spans="7:21" ht="15.6">
      <c r="G742" s="1255"/>
      <c r="H742" s="1254"/>
      <c r="I742" s="1254"/>
      <c r="J742" s="1254"/>
      <c r="K742" s="1254"/>
      <c r="L742" s="1254"/>
      <c r="M742" s="1254"/>
      <c r="N742" s="1254"/>
      <c r="O742" s="1254"/>
      <c r="P742" s="1254"/>
      <c r="Q742" s="1254"/>
      <c r="R742" s="1254"/>
      <c r="S742" s="1254"/>
      <c r="T742" s="1254"/>
      <c r="U742" s="1254"/>
    </row>
    <row r="743" spans="7:21" ht="15.6">
      <c r="G743" s="1255"/>
      <c r="H743" s="1254"/>
      <c r="I743" s="1254"/>
      <c r="J743" s="1254"/>
      <c r="K743" s="1254"/>
      <c r="L743" s="1254"/>
      <c r="M743" s="1254"/>
      <c r="N743" s="1254"/>
      <c r="O743" s="1254"/>
      <c r="P743" s="1254"/>
      <c r="Q743" s="1254"/>
      <c r="R743" s="1254"/>
      <c r="S743" s="1254"/>
      <c r="T743" s="1254"/>
      <c r="U743" s="1254"/>
    </row>
    <row r="744" spans="7:21" ht="15.6">
      <c r="G744" s="1255"/>
      <c r="H744" s="1254"/>
      <c r="I744" s="1254"/>
      <c r="J744" s="1254"/>
      <c r="K744" s="1254"/>
      <c r="L744" s="1254"/>
      <c r="M744" s="1254"/>
      <c r="N744" s="1254"/>
      <c r="O744" s="1254"/>
      <c r="P744" s="1254"/>
      <c r="Q744" s="1254"/>
      <c r="R744" s="1254"/>
      <c r="S744" s="1254"/>
      <c r="T744" s="1254"/>
      <c r="U744" s="1254"/>
    </row>
    <row r="745" spans="7:21" ht="15.6">
      <c r="G745" s="1255"/>
      <c r="H745" s="1254"/>
      <c r="I745" s="1254"/>
      <c r="J745" s="1254"/>
      <c r="K745" s="1254"/>
      <c r="L745" s="1254"/>
      <c r="M745" s="1254"/>
      <c r="N745" s="1254"/>
      <c r="O745" s="1254"/>
      <c r="P745" s="1254"/>
      <c r="Q745" s="1254"/>
      <c r="R745" s="1254"/>
      <c r="S745" s="1254"/>
      <c r="T745" s="1254"/>
      <c r="U745" s="1254"/>
    </row>
    <row r="746" spans="7:21" ht="15.6">
      <c r="G746" s="1255"/>
      <c r="H746" s="1254"/>
      <c r="I746" s="1254"/>
      <c r="J746" s="1254"/>
      <c r="K746" s="1254"/>
      <c r="L746" s="1254"/>
      <c r="M746" s="1254"/>
      <c r="N746" s="1254"/>
      <c r="O746" s="1254"/>
      <c r="P746" s="1254"/>
      <c r="Q746" s="1254"/>
      <c r="R746" s="1254"/>
      <c r="S746" s="1254"/>
      <c r="T746" s="1254"/>
      <c r="U746" s="1254"/>
    </row>
    <row r="747" spans="7:21" ht="15.6">
      <c r="G747" s="1255"/>
      <c r="H747" s="1254"/>
      <c r="I747" s="1254"/>
      <c r="J747" s="1254"/>
      <c r="K747" s="1254"/>
      <c r="L747" s="1254"/>
      <c r="M747" s="1254"/>
      <c r="N747" s="1254"/>
      <c r="O747" s="1254"/>
      <c r="P747" s="1254"/>
      <c r="Q747" s="1254"/>
      <c r="R747" s="1254"/>
      <c r="S747" s="1254"/>
      <c r="T747" s="1254"/>
      <c r="U747" s="1254"/>
    </row>
    <row r="748" spans="7:21" ht="15.6">
      <c r="G748" s="1255"/>
      <c r="H748" s="1254"/>
      <c r="I748" s="1254"/>
      <c r="J748" s="1254"/>
      <c r="K748" s="1254"/>
      <c r="L748" s="1254"/>
      <c r="M748" s="1254"/>
      <c r="N748" s="1254"/>
      <c r="O748" s="1254"/>
      <c r="P748" s="1254"/>
      <c r="Q748" s="1254"/>
      <c r="R748" s="1254"/>
      <c r="S748" s="1254"/>
      <c r="T748" s="1254"/>
      <c r="U748" s="1254"/>
    </row>
    <row r="749" spans="7:21" ht="15.6">
      <c r="G749" s="1255"/>
      <c r="H749" s="1254"/>
      <c r="I749" s="1254"/>
      <c r="J749" s="1254"/>
      <c r="K749" s="1254"/>
      <c r="L749" s="1254"/>
      <c r="M749" s="1254"/>
      <c r="N749" s="1254"/>
      <c r="O749" s="1254"/>
      <c r="P749" s="1254"/>
      <c r="Q749" s="1254"/>
      <c r="R749" s="1254"/>
      <c r="S749" s="1254"/>
      <c r="T749" s="1254"/>
      <c r="U749" s="1254"/>
    </row>
    <row r="750" spans="7:21" ht="15.6">
      <c r="G750" s="1255"/>
      <c r="H750" s="1254"/>
      <c r="I750" s="1254"/>
      <c r="J750" s="1254"/>
      <c r="K750" s="1254"/>
      <c r="L750" s="1254"/>
      <c r="M750" s="1254"/>
      <c r="N750" s="1254"/>
      <c r="O750" s="1254"/>
      <c r="P750" s="1254"/>
      <c r="Q750" s="1254"/>
      <c r="R750" s="1254"/>
      <c r="S750" s="1254"/>
      <c r="T750" s="1254"/>
      <c r="U750" s="1254"/>
    </row>
    <row r="751" spans="7:21" ht="15.6">
      <c r="G751" s="1255"/>
      <c r="H751" s="1254"/>
      <c r="I751" s="1254"/>
      <c r="J751" s="1254"/>
      <c r="K751" s="1254"/>
      <c r="L751" s="1254"/>
      <c r="M751" s="1254"/>
      <c r="N751" s="1254"/>
      <c r="O751" s="1254"/>
      <c r="P751" s="1254"/>
      <c r="Q751" s="1254"/>
      <c r="R751" s="1254"/>
      <c r="S751" s="1254"/>
      <c r="T751" s="1254"/>
      <c r="U751" s="1254"/>
    </row>
    <row r="752" spans="7:21" ht="15.6">
      <c r="G752" s="1255"/>
      <c r="H752" s="1254"/>
      <c r="I752" s="1254"/>
      <c r="J752" s="1254"/>
      <c r="K752" s="1254"/>
      <c r="L752" s="1254"/>
      <c r="M752" s="1254"/>
      <c r="N752" s="1254"/>
      <c r="O752" s="1254"/>
      <c r="P752" s="1254"/>
      <c r="Q752" s="1254"/>
      <c r="R752" s="1254"/>
      <c r="S752" s="1254"/>
      <c r="T752" s="1254"/>
      <c r="U752" s="1254"/>
    </row>
    <row r="753" spans="7:21" ht="15.6">
      <c r="G753" s="1255"/>
      <c r="H753" s="1254"/>
      <c r="I753" s="1254"/>
      <c r="J753" s="1254"/>
      <c r="K753" s="1254"/>
      <c r="L753" s="1254"/>
      <c r="M753" s="1254"/>
      <c r="N753" s="1254"/>
      <c r="O753" s="1254"/>
      <c r="P753" s="1254"/>
      <c r="Q753" s="1254"/>
      <c r="R753" s="1254"/>
      <c r="S753" s="1254"/>
      <c r="T753" s="1254"/>
      <c r="U753" s="1254"/>
    </row>
    <row r="754" spans="7:21" ht="15.6">
      <c r="G754" s="1255"/>
      <c r="H754" s="1254"/>
      <c r="I754" s="1254"/>
      <c r="J754" s="1254"/>
      <c r="K754" s="1254"/>
      <c r="L754" s="1254"/>
      <c r="M754" s="1254"/>
      <c r="N754" s="1254"/>
      <c r="O754" s="1254"/>
      <c r="P754" s="1254"/>
      <c r="Q754" s="1254"/>
      <c r="R754" s="1254"/>
      <c r="S754" s="1254"/>
      <c r="T754" s="1254"/>
      <c r="U754" s="1254"/>
    </row>
    <row r="755" spans="7:21" ht="15.6">
      <c r="G755" s="1255"/>
      <c r="H755" s="1254"/>
      <c r="I755" s="1254"/>
      <c r="J755" s="1254"/>
      <c r="K755" s="1254"/>
      <c r="L755" s="1254"/>
      <c r="M755" s="1254"/>
      <c r="N755" s="1254"/>
      <c r="O755" s="1254"/>
      <c r="P755" s="1254"/>
      <c r="Q755" s="1254"/>
      <c r="R755" s="1254"/>
      <c r="S755" s="1254"/>
      <c r="T755" s="1254"/>
      <c r="U755" s="1254"/>
    </row>
    <row r="756" spans="7:21" ht="15.6">
      <c r="G756" s="1255"/>
      <c r="H756" s="1254"/>
      <c r="I756" s="1254"/>
      <c r="J756" s="1254"/>
      <c r="K756" s="1254"/>
      <c r="L756" s="1254"/>
      <c r="M756" s="1254"/>
      <c r="N756" s="1254"/>
      <c r="O756" s="1254"/>
      <c r="P756" s="1254"/>
      <c r="Q756" s="1254"/>
      <c r="R756" s="1254"/>
      <c r="S756" s="1254"/>
      <c r="T756" s="1254"/>
      <c r="U756" s="1254"/>
    </row>
    <row r="757" spans="7:21" ht="15.6">
      <c r="G757" s="1255"/>
      <c r="H757" s="1254"/>
      <c r="I757" s="1254"/>
      <c r="J757" s="1254"/>
      <c r="K757" s="1254"/>
      <c r="L757" s="1254"/>
      <c r="M757" s="1254"/>
      <c r="N757" s="1254"/>
      <c r="O757" s="1254"/>
      <c r="P757" s="1254"/>
      <c r="Q757" s="1254"/>
      <c r="R757" s="1254"/>
      <c r="S757" s="1254"/>
      <c r="T757" s="1254"/>
      <c r="U757" s="1254"/>
    </row>
    <row r="758" spans="7:21" ht="15.6">
      <c r="G758" s="1255"/>
      <c r="H758" s="1254"/>
      <c r="I758" s="1254"/>
      <c r="J758" s="1254"/>
      <c r="K758" s="1254"/>
      <c r="L758" s="1254"/>
      <c r="M758" s="1254"/>
      <c r="N758" s="1254"/>
      <c r="O758" s="1254"/>
      <c r="P758" s="1254"/>
      <c r="Q758" s="1254"/>
      <c r="R758" s="1254"/>
      <c r="S758" s="1254"/>
      <c r="T758" s="1254"/>
      <c r="U758" s="1254"/>
    </row>
    <row r="759" spans="7:21" ht="15.6">
      <c r="G759" s="1255"/>
      <c r="H759" s="1254"/>
      <c r="I759" s="1254"/>
      <c r="J759" s="1254"/>
      <c r="K759" s="1254"/>
      <c r="L759" s="1254"/>
      <c r="M759" s="1254"/>
      <c r="N759" s="1254"/>
      <c r="O759" s="1254"/>
      <c r="P759" s="1254"/>
      <c r="Q759" s="1254"/>
      <c r="R759" s="1254"/>
      <c r="S759" s="1254"/>
      <c r="T759" s="1254"/>
      <c r="U759" s="1254"/>
    </row>
    <row r="760" spans="7:21" ht="15.6">
      <c r="G760" s="1255"/>
      <c r="H760" s="1254"/>
      <c r="I760" s="1254"/>
      <c r="J760" s="1254"/>
      <c r="K760" s="1254"/>
      <c r="L760" s="1254"/>
      <c r="M760" s="1254"/>
      <c r="N760" s="1254"/>
      <c r="O760" s="1254"/>
      <c r="P760" s="1254"/>
      <c r="Q760" s="1254"/>
      <c r="R760" s="1254"/>
      <c r="S760" s="1254"/>
      <c r="T760" s="1254"/>
      <c r="U760" s="1254"/>
    </row>
    <row r="761" spans="7:21" ht="15.6">
      <c r="G761" s="1255"/>
      <c r="H761" s="1254"/>
      <c r="I761" s="1254"/>
      <c r="J761" s="1254"/>
      <c r="K761" s="1254"/>
      <c r="L761" s="1254"/>
      <c r="M761" s="1254"/>
      <c r="N761" s="1254"/>
      <c r="O761" s="1254"/>
      <c r="P761" s="1254"/>
      <c r="Q761" s="1254"/>
      <c r="R761" s="1254"/>
      <c r="S761" s="1254"/>
      <c r="T761" s="1254"/>
      <c r="U761" s="1254"/>
    </row>
    <row r="762" spans="7:21" ht="15.6">
      <c r="G762" s="1255"/>
      <c r="H762" s="1254"/>
      <c r="I762" s="1254"/>
      <c r="J762" s="1254"/>
      <c r="K762" s="1254"/>
      <c r="L762" s="1254"/>
      <c r="M762" s="1254"/>
      <c r="N762" s="1254"/>
      <c r="O762" s="1254"/>
      <c r="P762" s="1254"/>
      <c r="Q762" s="1254"/>
      <c r="R762" s="1254"/>
      <c r="S762" s="1254"/>
      <c r="T762" s="1254"/>
      <c r="U762" s="1254"/>
    </row>
    <row r="763" spans="7:21" ht="15.6">
      <c r="G763" s="1255"/>
      <c r="H763" s="1254"/>
      <c r="I763" s="1254"/>
      <c r="J763" s="1254"/>
      <c r="K763" s="1254"/>
      <c r="L763" s="1254"/>
      <c r="M763" s="1254"/>
      <c r="N763" s="1254"/>
      <c r="O763" s="1254"/>
      <c r="P763" s="1254"/>
      <c r="Q763" s="1254"/>
      <c r="R763" s="1254"/>
      <c r="S763" s="1254"/>
      <c r="T763" s="1254"/>
      <c r="U763" s="1254"/>
    </row>
    <row r="764" spans="7:21" ht="15.6">
      <c r="G764" s="1255"/>
      <c r="H764" s="1254"/>
      <c r="I764" s="1254"/>
      <c r="J764" s="1254"/>
      <c r="K764" s="1254"/>
      <c r="L764" s="1254"/>
      <c r="M764" s="1254"/>
      <c r="N764" s="1254"/>
      <c r="O764" s="1254"/>
      <c r="P764" s="1254"/>
      <c r="Q764" s="1254"/>
      <c r="R764" s="1254"/>
      <c r="S764" s="1254"/>
      <c r="T764" s="1254"/>
      <c r="U764" s="1254"/>
    </row>
    <row r="765" spans="7:21" ht="15.6">
      <c r="G765" s="1255"/>
      <c r="H765" s="1254"/>
      <c r="I765" s="1254"/>
      <c r="J765" s="1254"/>
      <c r="K765" s="1254"/>
      <c r="L765" s="1254"/>
      <c r="M765" s="1254"/>
      <c r="N765" s="1254"/>
      <c r="O765" s="1254"/>
      <c r="P765" s="1254"/>
      <c r="Q765" s="1254"/>
      <c r="R765" s="1254"/>
      <c r="S765" s="1254"/>
      <c r="T765" s="1254"/>
      <c r="U765" s="1254"/>
    </row>
    <row r="766" spans="7:21" ht="15.6">
      <c r="G766" s="1255"/>
      <c r="H766" s="1254"/>
      <c r="I766" s="1254"/>
      <c r="J766" s="1254"/>
      <c r="K766" s="1254"/>
      <c r="L766" s="1254"/>
      <c r="M766" s="1254"/>
      <c r="N766" s="1254"/>
      <c r="O766" s="1254"/>
      <c r="P766" s="1254"/>
      <c r="Q766" s="1254"/>
      <c r="R766" s="1254"/>
      <c r="S766" s="1254"/>
      <c r="T766" s="1254"/>
      <c r="U766" s="1254"/>
    </row>
    <row r="767" spans="7:21" ht="15.6">
      <c r="G767" s="1255"/>
      <c r="H767" s="1254"/>
      <c r="I767" s="1254"/>
      <c r="J767" s="1254"/>
      <c r="K767" s="1254"/>
      <c r="L767" s="1254"/>
      <c r="M767" s="1254"/>
      <c r="N767" s="1254"/>
      <c r="O767" s="1254"/>
      <c r="P767" s="1254"/>
      <c r="Q767" s="1254"/>
      <c r="R767" s="1254"/>
      <c r="S767" s="1254"/>
      <c r="T767" s="1254"/>
      <c r="U767" s="1254"/>
    </row>
    <row r="768" spans="7:21" ht="15.6">
      <c r="G768" s="1255"/>
      <c r="H768" s="1254"/>
      <c r="I768" s="1254"/>
      <c r="J768" s="1254"/>
      <c r="K768" s="1254"/>
      <c r="L768" s="1254"/>
      <c r="M768" s="1254"/>
      <c r="N768" s="1254"/>
      <c r="O768" s="1254"/>
      <c r="P768" s="1254"/>
      <c r="Q768" s="1254"/>
      <c r="R768" s="1254"/>
      <c r="S768" s="1254"/>
      <c r="T768" s="1254"/>
      <c r="U768" s="1254"/>
    </row>
    <row r="769" spans="7:21" ht="15.6">
      <c r="G769" s="1255"/>
      <c r="H769" s="1254"/>
      <c r="I769" s="1254"/>
      <c r="J769" s="1254"/>
      <c r="K769" s="1254"/>
      <c r="L769" s="1254"/>
      <c r="M769" s="1254"/>
      <c r="N769" s="1254"/>
      <c r="O769" s="1254"/>
      <c r="P769" s="1254"/>
      <c r="Q769" s="1254"/>
      <c r="R769" s="1254"/>
      <c r="S769" s="1254"/>
      <c r="T769" s="1254"/>
      <c r="U769" s="1254"/>
    </row>
    <row r="770" spans="7:21" ht="15.6">
      <c r="G770" s="1255"/>
      <c r="H770" s="1254"/>
      <c r="I770" s="1254"/>
      <c r="J770" s="1254"/>
      <c r="K770" s="1254"/>
      <c r="L770" s="1254"/>
      <c r="M770" s="1254"/>
      <c r="N770" s="1254"/>
      <c r="O770" s="1254"/>
      <c r="P770" s="1254"/>
      <c r="Q770" s="1254"/>
      <c r="R770" s="1254"/>
      <c r="S770" s="1254"/>
      <c r="T770" s="1254"/>
      <c r="U770" s="1254"/>
    </row>
    <row r="771" spans="7:21" ht="15.6">
      <c r="G771" s="1255"/>
      <c r="H771" s="1254"/>
      <c r="I771" s="1254"/>
      <c r="J771" s="1254"/>
      <c r="K771" s="1254"/>
      <c r="L771" s="1254"/>
      <c r="M771" s="1254"/>
      <c r="N771" s="1254"/>
      <c r="O771" s="1254"/>
      <c r="P771" s="1254"/>
      <c r="Q771" s="1254"/>
      <c r="R771" s="1254"/>
      <c r="S771" s="1254"/>
      <c r="T771" s="1254"/>
      <c r="U771" s="1254"/>
    </row>
    <row r="772" spans="7:21" ht="15.6">
      <c r="G772" s="1255"/>
      <c r="H772" s="1254"/>
      <c r="I772" s="1254"/>
      <c r="J772" s="1254"/>
      <c r="K772" s="1254"/>
      <c r="L772" s="1254"/>
      <c r="M772" s="1254"/>
      <c r="N772" s="1254"/>
      <c r="O772" s="1254"/>
      <c r="P772" s="1254"/>
      <c r="Q772" s="1254"/>
      <c r="R772" s="1254"/>
      <c r="S772" s="1254"/>
      <c r="T772" s="1254"/>
      <c r="U772" s="1254"/>
    </row>
    <row r="773" spans="7:21" ht="15.6">
      <c r="G773" s="1255"/>
      <c r="H773" s="1254"/>
      <c r="I773" s="1254"/>
      <c r="J773" s="1254"/>
      <c r="K773" s="1254"/>
      <c r="L773" s="1254"/>
      <c r="M773" s="1254"/>
      <c r="N773" s="1254"/>
      <c r="O773" s="1254"/>
      <c r="P773" s="1254"/>
      <c r="Q773" s="1254"/>
      <c r="R773" s="1254"/>
      <c r="S773" s="1254"/>
      <c r="T773" s="1254"/>
      <c r="U773" s="1254"/>
    </row>
    <row r="774" spans="7:21" ht="15.6">
      <c r="G774" s="1255"/>
      <c r="H774" s="1254"/>
      <c r="I774" s="1254"/>
      <c r="J774" s="1254"/>
      <c r="K774" s="1254"/>
      <c r="L774" s="1254"/>
      <c r="M774" s="1254"/>
      <c r="N774" s="1254"/>
      <c r="O774" s="1254"/>
      <c r="P774" s="1254"/>
      <c r="Q774" s="1254"/>
      <c r="R774" s="1254"/>
      <c r="S774" s="1254"/>
      <c r="T774" s="1254"/>
      <c r="U774" s="1254"/>
    </row>
    <row r="775" spans="7:21" ht="15.6">
      <c r="G775" s="1255"/>
      <c r="H775" s="1254"/>
      <c r="I775" s="1254"/>
      <c r="J775" s="1254"/>
      <c r="K775" s="1254"/>
      <c r="L775" s="1254"/>
      <c r="M775" s="1254"/>
      <c r="N775" s="1254"/>
      <c r="O775" s="1254"/>
      <c r="P775" s="1254"/>
      <c r="Q775" s="1254"/>
      <c r="R775" s="1254"/>
      <c r="S775" s="1254"/>
      <c r="T775" s="1254"/>
      <c r="U775" s="1254"/>
    </row>
    <row r="776" spans="7:21" ht="15.6">
      <c r="G776" s="1255"/>
      <c r="H776" s="1254"/>
      <c r="I776" s="1254"/>
      <c r="J776" s="1254"/>
      <c r="K776" s="1254"/>
      <c r="L776" s="1254"/>
      <c r="M776" s="1254"/>
      <c r="N776" s="1254"/>
      <c r="O776" s="1254"/>
      <c r="P776" s="1254"/>
      <c r="Q776" s="1254"/>
      <c r="R776" s="1254"/>
      <c r="S776" s="1254"/>
      <c r="T776" s="1254"/>
      <c r="U776" s="1254"/>
    </row>
    <row r="777" spans="7:21" ht="15.6">
      <c r="G777" s="1255"/>
      <c r="H777" s="1254"/>
      <c r="I777" s="1254"/>
      <c r="J777" s="1254"/>
      <c r="K777" s="1254"/>
      <c r="L777" s="1254"/>
      <c r="M777" s="1254"/>
      <c r="N777" s="1254"/>
      <c r="O777" s="1254"/>
      <c r="P777" s="1254"/>
      <c r="Q777" s="1254"/>
      <c r="R777" s="1254"/>
      <c r="S777" s="1254"/>
      <c r="T777" s="1254"/>
      <c r="U777" s="1254"/>
    </row>
    <row r="778" spans="7:21" ht="15.6">
      <c r="G778" s="1255"/>
      <c r="H778" s="1254"/>
      <c r="I778" s="1254"/>
      <c r="J778" s="1254"/>
      <c r="K778" s="1254"/>
      <c r="L778" s="1254"/>
      <c r="M778" s="1254"/>
      <c r="N778" s="1254"/>
      <c r="O778" s="1254"/>
      <c r="P778" s="1254"/>
      <c r="Q778" s="1254"/>
      <c r="R778" s="1254"/>
      <c r="S778" s="1254"/>
      <c r="T778" s="1254"/>
      <c r="U778" s="1254"/>
    </row>
    <row r="779" spans="7:21" ht="15.6">
      <c r="G779" s="1255"/>
      <c r="H779" s="1254"/>
      <c r="I779" s="1254"/>
      <c r="J779" s="1254"/>
      <c r="K779" s="1254"/>
      <c r="L779" s="1254"/>
      <c r="M779" s="1254"/>
      <c r="N779" s="1254"/>
      <c r="O779" s="1254"/>
      <c r="P779" s="1254"/>
      <c r="Q779" s="1254"/>
      <c r="R779" s="1254"/>
      <c r="S779" s="1254"/>
      <c r="T779" s="1254"/>
      <c r="U779" s="1254"/>
    </row>
    <row r="780" spans="7:21" ht="15.6">
      <c r="G780" s="1255"/>
      <c r="H780" s="1254"/>
      <c r="I780" s="1254"/>
      <c r="J780" s="1254"/>
      <c r="K780" s="1254"/>
      <c r="L780" s="1254"/>
      <c r="M780" s="1254"/>
      <c r="N780" s="1254"/>
      <c r="O780" s="1254"/>
      <c r="P780" s="1254"/>
      <c r="Q780" s="1254"/>
      <c r="R780" s="1254"/>
      <c r="S780" s="1254"/>
      <c r="T780" s="1254"/>
      <c r="U780" s="1254"/>
    </row>
    <row r="781" spans="7:21" ht="15.6">
      <c r="G781" s="1255"/>
      <c r="H781" s="1254"/>
      <c r="I781" s="1254"/>
      <c r="J781" s="1254"/>
      <c r="K781" s="1254"/>
      <c r="L781" s="1254"/>
      <c r="M781" s="1254"/>
      <c r="N781" s="1254"/>
      <c r="O781" s="1254"/>
      <c r="P781" s="1254"/>
      <c r="Q781" s="1254"/>
      <c r="R781" s="1254"/>
      <c r="S781" s="1254"/>
      <c r="T781" s="1254"/>
      <c r="U781" s="1254"/>
    </row>
    <row r="782" spans="7:21" ht="15.6">
      <c r="G782" s="1255"/>
      <c r="H782" s="1254"/>
      <c r="I782" s="1254"/>
      <c r="J782" s="1254"/>
      <c r="K782" s="1254"/>
      <c r="L782" s="1254"/>
      <c r="M782" s="1254"/>
      <c r="N782" s="1254"/>
      <c r="O782" s="1254"/>
      <c r="P782" s="1254"/>
      <c r="Q782" s="1254"/>
      <c r="R782" s="1254"/>
      <c r="S782" s="1254"/>
      <c r="T782" s="1254"/>
      <c r="U782" s="1254"/>
    </row>
    <row r="783" spans="7:21" ht="15.6">
      <c r="G783" s="1255"/>
      <c r="H783" s="1254"/>
      <c r="I783" s="1254"/>
      <c r="J783" s="1254"/>
      <c r="K783" s="1254"/>
      <c r="L783" s="1254"/>
      <c r="M783" s="1254"/>
      <c r="N783" s="1254"/>
      <c r="O783" s="1254"/>
      <c r="P783" s="1254"/>
      <c r="Q783" s="1254"/>
      <c r="R783" s="1254"/>
      <c r="S783" s="1254"/>
      <c r="T783" s="1254"/>
      <c r="U783" s="1254"/>
    </row>
    <row r="784" spans="7:21" ht="15.6">
      <c r="G784" s="1255"/>
      <c r="H784" s="1254"/>
      <c r="I784" s="1254"/>
      <c r="J784" s="1254"/>
      <c r="K784" s="1254"/>
      <c r="L784" s="1254"/>
      <c r="M784" s="1254"/>
      <c r="N784" s="1254"/>
      <c r="O784" s="1254"/>
      <c r="P784" s="1254"/>
      <c r="Q784" s="1254"/>
      <c r="R784" s="1254"/>
      <c r="S784" s="1254"/>
      <c r="T784" s="1254"/>
      <c r="U784" s="1254"/>
    </row>
    <row r="785" spans="7:21" ht="15.6">
      <c r="G785" s="1255"/>
      <c r="H785" s="1254"/>
      <c r="I785" s="1254"/>
      <c r="J785" s="1254"/>
      <c r="K785" s="1254"/>
      <c r="L785" s="1254"/>
      <c r="M785" s="1254"/>
      <c r="N785" s="1254"/>
      <c r="O785" s="1254"/>
      <c r="P785" s="1254"/>
      <c r="Q785" s="1254"/>
      <c r="R785" s="1254"/>
      <c r="S785" s="1254"/>
      <c r="T785" s="1254"/>
      <c r="U785" s="1254"/>
    </row>
    <row r="786" spans="7:21" ht="15.6">
      <c r="G786" s="1255"/>
      <c r="H786" s="1254"/>
      <c r="I786" s="1254"/>
      <c r="J786" s="1254"/>
      <c r="K786" s="1254"/>
      <c r="L786" s="1254"/>
      <c r="M786" s="1254"/>
      <c r="N786" s="1254"/>
      <c r="O786" s="1254"/>
      <c r="P786" s="1254"/>
      <c r="Q786" s="1254"/>
      <c r="R786" s="1254"/>
      <c r="S786" s="1254"/>
      <c r="T786" s="1254"/>
      <c r="U786" s="1254"/>
    </row>
    <row r="787" spans="7:21" ht="15.6">
      <c r="G787" s="1255"/>
      <c r="H787" s="1254"/>
      <c r="I787" s="1254"/>
      <c r="J787" s="1254"/>
      <c r="K787" s="1254"/>
      <c r="L787" s="1254"/>
      <c r="M787" s="1254"/>
      <c r="N787" s="1254"/>
      <c r="O787" s="1254"/>
      <c r="P787" s="1254"/>
      <c r="Q787" s="1254"/>
      <c r="R787" s="1254"/>
      <c r="S787" s="1254"/>
      <c r="T787" s="1254"/>
      <c r="U787" s="1254"/>
    </row>
    <row r="788" spans="7:21" ht="15.6">
      <c r="G788" s="1255"/>
      <c r="H788" s="1254"/>
      <c r="I788" s="1254"/>
      <c r="J788" s="1254"/>
      <c r="K788" s="1254"/>
      <c r="L788" s="1254"/>
      <c r="M788" s="1254"/>
      <c r="N788" s="1254"/>
      <c r="O788" s="1254"/>
      <c r="P788" s="1254"/>
      <c r="Q788" s="1254"/>
      <c r="R788" s="1254"/>
      <c r="S788" s="1254"/>
      <c r="T788" s="1254"/>
      <c r="U788" s="1254"/>
    </row>
    <row r="789" spans="7:21" ht="15.6">
      <c r="G789" s="1255"/>
      <c r="H789" s="1254"/>
      <c r="I789" s="1254"/>
      <c r="J789" s="1254"/>
      <c r="K789" s="1254"/>
      <c r="L789" s="1254"/>
      <c r="M789" s="1254"/>
      <c r="N789" s="1254"/>
      <c r="O789" s="1254"/>
      <c r="P789" s="1254"/>
      <c r="Q789" s="1254"/>
      <c r="R789" s="1254"/>
      <c r="S789" s="1254"/>
      <c r="T789" s="1254"/>
      <c r="U789" s="1254"/>
    </row>
    <row r="790" spans="7:21" ht="15.6">
      <c r="G790" s="1255"/>
      <c r="H790" s="1254"/>
      <c r="I790" s="1254"/>
      <c r="J790" s="1254"/>
      <c r="K790" s="1254"/>
      <c r="L790" s="1254"/>
      <c r="M790" s="1254"/>
      <c r="N790" s="1254"/>
      <c r="O790" s="1254"/>
      <c r="P790" s="1254"/>
      <c r="Q790" s="1254"/>
      <c r="R790" s="1254"/>
      <c r="S790" s="1254"/>
      <c r="T790" s="1254"/>
      <c r="U790" s="1254"/>
    </row>
    <row r="791" spans="7:21" ht="15.6">
      <c r="G791" s="1255"/>
      <c r="H791" s="1254"/>
      <c r="I791" s="1254"/>
      <c r="J791" s="1254"/>
      <c r="K791" s="1254"/>
      <c r="L791" s="1254"/>
      <c r="M791" s="1254"/>
      <c r="N791" s="1254"/>
      <c r="O791" s="1254"/>
      <c r="P791" s="1254"/>
      <c r="Q791" s="1254"/>
      <c r="R791" s="1254"/>
      <c r="S791" s="1254"/>
      <c r="T791" s="1254"/>
      <c r="U791" s="1254"/>
    </row>
    <row r="792" spans="7:21" ht="15.6">
      <c r="G792" s="1255"/>
      <c r="H792" s="1254"/>
      <c r="I792" s="1254"/>
      <c r="J792" s="1254"/>
      <c r="K792" s="1254"/>
      <c r="L792" s="1254"/>
      <c r="M792" s="1254"/>
      <c r="N792" s="1254"/>
      <c r="O792" s="1254"/>
      <c r="P792" s="1254"/>
      <c r="Q792" s="1254"/>
      <c r="R792" s="1254"/>
      <c r="S792" s="1254"/>
      <c r="T792" s="1254"/>
      <c r="U792" s="1254"/>
    </row>
    <row r="793" spans="7:21" ht="15.6">
      <c r="G793" s="1255"/>
      <c r="H793" s="1254"/>
      <c r="I793" s="1254"/>
      <c r="J793" s="1254"/>
      <c r="K793" s="1254"/>
      <c r="L793" s="1254"/>
      <c r="M793" s="1254"/>
      <c r="N793" s="1254"/>
      <c r="O793" s="1254"/>
      <c r="P793" s="1254"/>
      <c r="Q793" s="1254"/>
      <c r="R793" s="1254"/>
      <c r="S793" s="1254"/>
      <c r="T793" s="1254"/>
      <c r="U793" s="1254"/>
    </row>
    <row r="794" spans="7:21" ht="15.6">
      <c r="G794" s="1255"/>
      <c r="H794" s="1254"/>
      <c r="I794" s="1254"/>
      <c r="J794" s="1254"/>
      <c r="K794" s="1254"/>
      <c r="L794" s="1254"/>
      <c r="M794" s="1254"/>
      <c r="N794" s="1254"/>
      <c r="O794" s="1254"/>
      <c r="P794" s="1254"/>
      <c r="Q794" s="1254"/>
      <c r="R794" s="1254"/>
      <c r="S794" s="1254"/>
      <c r="T794" s="1254"/>
      <c r="U794" s="1254"/>
    </row>
    <row r="795" spans="7:21" ht="15.6">
      <c r="G795" s="1255"/>
      <c r="H795" s="1254"/>
      <c r="I795" s="1254"/>
      <c r="J795" s="1254"/>
      <c r="K795" s="1254"/>
      <c r="L795" s="1254"/>
      <c r="M795" s="1254"/>
      <c r="N795" s="1254"/>
      <c r="O795" s="1254"/>
      <c r="P795" s="1254"/>
      <c r="Q795" s="1254"/>
      <c r="R795" s="1254"/>
      <c r="S795" s="1254"/>
      <c r="T795" s="1254"/>
      <c r="U795" s="1254"/>
    </row>
    <row r="796" spans="7:21" ht="15.6">
      <c r="G796" s="1255"/>
      <c r="H796" s="1254"/>
      <c r="I796" s="1254"/>
      <c r="J796" s="1254"/>
      <c r="K796" s="1254"/>
      <c r="L796" s="1254"/>
      <c r="M796" s="1254"/>
      <c r="N796" s="1254"/>
      <c r="O796" s="1254"/>
      <c r="P796" s="1254"/>
      <c r="Q796" s="1254"/>
      <c r="R796" s="1254"/>
      <c r="S796" s="1254"/>
      <c r="T796" s="1254"/>
      <c r="U796" s="1254"/>
    </row>
    <row r="797" spans="7:21" ht="15.6">
      <c r="G797" s="1255"/>
      <c r="H797" s="1254"/>
      <c r="I797" s="1254"/>
      <c r="J797" s="1254"/>
      <c r="K797" s="1254"/>
      <c r="L797" s="1254"/>
      <c r="M797" s="1254"/>
      <c r="N797" s="1254"/>
      <c r="O797" s="1254"/>
      <c r="P797" s="1254"/>
      <c r="Q797" s="1254"/>
      <c r="R797" s="1254"/>
      <c r="S797" s="1254"/>
      <c r="T797" s="1254"/>
      <c r="U797" s="1254"/>
    </row>
    <row r="798" spans="7:21" ht="15.6">
      <c r="G798" s="1255"/>
      <c r="H798" s="1254"/>
      <c r="I798" s="1254"/>
      <c r="J798" s="1254"/>
      <c r="K798" s="1254"/>
      <c r="L798" s="1254"/>
      <c r="M798" s="1254"/>
      <c r="N798" s="1254"/>
      <c r="O798" s="1254"/>
      <c r="P798" s="1254"/>
      <c r="Q798" s="1254"/>
      <c r="R798" s="1254"/>
      <c r="S798" s="1254"/>
      <c r="T798" s="1254"/>
      <c r="U798" s="1254"/>
    </row>
    <row r="799" spans="7:21" ht="15.6">
      <c r="G799" s="1255"/>
      <c r="H799" s="1254"/>
      <c r="I799" s="1254"/>
      <c r="J799" s="1254"/>
      <c r="K799" s="1254"/>
      <c r="L799" s="1254"/>
      <c r="M799" s="1254"/>
      <c r="N799" s="1254"/>
      <c r="O799" s="1254"/>
      <c r="P799" s="1254"/>
      <c r="Q799" s="1254"/>
      <c r="R799" s="1254"/>
      <c r="S799" s="1254"/>
      <c r="T799" s="1254"/>
      <c r="U799" s="1254"/>
    </row>
    <row r="800" spans="7:21" ht="15.6">
      <c r="G800" s="1255"/>
      <c r="H800" s="1254"/>
      <c r="I800" s="1254"/>
      <c r="J800" s="1254"/>
      <c r="K800" s="1254"/>
      <c r="L800" s="1254"/>
      <c r="M800" s="1254"/>
      <c r="N800" s="1254"/>
      <c r="O800" s="1254"/>
      <c r="P800" s="1254"/>
      <c r="Q800" s="1254"/>
      <c r="R800" s="1254"/>
      <c r="S800" s="1254"/>
      <c r="T800" s="1254"/>
      <c r="U800" s="1254"/>
    </row>
    <row r="801" spans="7:21" ht="15.6">
      <c r="G801" s="1255"/>
      <c r="H801" s="1254"/>
      <c r="I801" s="1254"/>
      <c r="J801" s="1254"/>
      <c r="K801" s="1254"/>
      <c r="L801" s="1254"/>
      <c r="M801" s="1254"/>
      <c r="N801" s="1254"/>
      <c r="O801" s="1254"/>
      <c r="P801" s="1254"/>
      <c r="Q801" s="1254"/>
      <c r="R801" s="1254"/>
      <c r="S801" s="1254"/>
      <c r="T801" s="1254"/>
      <c r="U801" s="1254"/>
    </row>
    <row r="802" spans="7:21" ht="15.6">
      <c r="G802" s="1255"/>
      <c r="H802" s="1254"/>
      <c r="I802" s="1254"/>
      <c r="J802" s="1254"/>
      <c r="K802" s="1254"/>
      <c r="L802" s="1254"/>
      <c r="M802" s="1254"/>
      <c r="N802" s="1254"/>
      <c r="O802" s="1254"/>
      <c r="P802" s="1254"/>
      <c r="Q802" s="1254"/>
      <c r="R802" s="1254"/>
      <c r="S802" s="1254"/>
      <c r="T802" s="1254"/>
      <c r="U802" s="1254"/>
    </row>
    <row r="803" spans="7:21" ht="15.6">
      <c r="G803" s="1255"/>
      <c r="H803" s="1254"/>
      <c r="I803" s="1254"/>
      <c r="J803" s="1254"/>
      <c r="K803" s="1254"/>
      <c r="L803" s="1254"/>
      <c r="M803" s="1254"/>
      <c r="N803" s="1254"/>
      <c r="O803" s="1254"/>
      <c r="P803" s="1254"/>
      <c r="Q803" s="1254"/>
      <c r="R803" s="1254"/>
      <c r="S803" s="1254"/>
      <c r="T803" s="1254"/>
      <c r="U803" s="1254"/>
    </row>
    <row r="804" spans="7:21" ht="15.6">
      <c r="G804" s="1255"/>
      <c r="H804" s="1254"/>
      <c r="I804" s="1254"/>
      <c r="J804" s="1254"/>
      <c r="K804" s="1254"/>
      <c r="L804" s="1254"/>
      <c r="M804" s="1254"/>
      <c r="N804" s="1254"/>
      <c r="O804" s="1254"/>
      <c r="P804" s="1254"/>
      <c r="Q804" s="1254"/>
      <c r="R804" s="1254"/>
      <c r="S804" s="1254"/>
      <c r="T804" s="1254"/>
      <c r="U804" s="1254"/>
    </row>
    <row r="805" spans="7:21" ht="15.6">
      <c r="G805" s="1255"/>
      <c r="H805" s="1254"/>
      <c r="I805" s="1254"/>
      <c r="J805" s="1254"/>
      <c r="K805" s="1254"/>
      <c r="L805" s="1254"/>
      <c r="M805" s="1254"/>
      <c r="N805" s="1254"/>
      <c r="O805" s="1254"/>
      <c r="P805" s="1254"/>
      <c r="Q805" s="1254"/>
      <c r="R805" s="1254"/>
      <c r="S805" s="1254"/>
      <c r="T805" s="1254"/>
      <c r="U805" s="1254"/>
    </row>
    <row r="806" spans="7:21" ht="15.6">
      <c r="G806" s="1255"/>
      <c r="H806" s="1254"/>
      <c r="I806" s="1254"/>
      <c r="J806" s="1254"/>
      <c r="K806" s="1254"/>
      <c r="L806" s="1254"/>
      <c r="M806" s="1254"/>
      <c r="N806" s="1254"/>
      <c r="O806" s="1254"/>
      <c r="P806" s="1254"/>
      <c r="Q806" s="1254"/>
      <c r="R806" s="1254"/>
      <c r="S806" s="1254"/>
      <c r="T806" s="1254"/>
      <c r="U806" s="1254"/>
    </row>
    <row r="807" spans="7:21" ht="15.6">
      <c r="G807" s="1255"/>
      <c r="H807" s="1254"/>
      <c r="I807" s="1254"/>
      <c r="J807" s="1254"/>
      <c r="K807" s="1254"/>
      <c r="L807" s="1254"/>
      <c r="M807" s="1254"/>
      <c r="N807" s="1254"/>
      <c r="O807" s="1254"/>
      <c r="P807" s="1254"/>
      <c r="Q807" s="1254"/>
      <c r="R807" s="1254"/>
      <c r="S807" s="1254"/>
      <c r="T807" s="1254"/>
      <c r="U807" s="1254"/>
    </row>
    <row r="808" spans="7:21" ht="15.6">
      <c r="G808" s="1255"/>
      <c r="H808" s="1254"/>
      <c r="I808" s="1254"/>
      <c r="J808" s="1254"/>
      <c r="K808" s="1254"/>
      <c r="L808" s="1254"/>
      <c r="M808" s="1254"/>
      <c r="N808" s="1254"/>
      <c r="O808" s="1254"/>
      <c r="P808" s="1254"/>
      <c r="Q808" s="1254"/>
      <c r="R808" s="1254"/>
      <c r="S808" s="1254"/>
      <c r="T808" s="1254"/>
      <c r="U808" s="1254"/>
    </row>
    <row r="809" spans="7:21" ht="15.6">
      <c r="G809" s="1255"/>
      <c r="H809" s="1254"/>
      <c r="I809" s="1254"/>
      <c r="J809" s="1254"/>
      <c r="K809" s="1254"/>
      <c r="L809" s="1254"/>
      <c r="M809" s="1254"/>
      <c r="N809" s="1254"/>
      <c r="O809" s="1254"/>
      <c r="P809" s="1254"/>
      <c r="Q809" s="1254"/>
      <c r="R809" s="1254"/>
      <c r="S809" s="1254"/>
      <c r="T809" s="1254"/>
      <c r="U809" s="1254"/>
    </row>
    <row r="810" spans="7:21" ht="15.6">
      <c r="G810" s="1255"/>
      <c r="H810" s="1254"/>
      <c r="I810" s="1254"/>
      <c r="J810" s="1254"/>
      <c r="K810" s="1254"/>
      <c r="L810" s="1254"/>
      <c r="M810" s="1254"/>
      <c r="N810" s="1254"/>
      <c r="O810" s="1254"/>
      <c r="P810" s="1254"/>
      <c r="Q810" s="1254"/>
      <c r="R810" s="1254"/>
      <c r="S810" s="1254"/>
      <c r="T810" s="1254"/>
      <c r="U810" s="1254"/>
    </row>
    <row r="811" spans="7:21" ht="15.6">
      <c r="G811" s="1255"/>
      <c r="H811" s="1254"/>
      <c r="I811" s="1254"/>
      <c r="J811" s="1254"/>
      <c r="K811" s="1254"/>
      <c r="L811" s="1254"/>
      <c r="M811" s="1254"/>
      <c r="N811" s="1254"/>
      <c r="O811" s="1254"/>
      <c r="P811" s="1254"/>
      <c r="Q811" s="1254"/>
      <c r="R811" s="1254"/>
      <c r="S811" s="1254"/>
      <c r="T811" s="1254"/>
      <c r="U811" s="1254"/>
    </row>
    <row r="812" spans="7:21" ht="15.6">
      <c r="G812" s="1255"/>
      <c r="H812" s="1254"/>
      <c r="I812" s="1254"/>
      <c r="J812" s="1254"/>
      <c r="K812" s="1254"/>
      <c r="L812" s="1254"/>
      <c r="M812" s="1254"/>
      <c r="N812" s="1254"/>
      <c r="O812" s="1254"/>
      <c r="P812" s="1254"/>
      <c r="Q812" s="1254"/>
      <c r="R812" s="1254"/>
      <c r="S812" s="1254"/>
      <c r="T812" s="1254"/>
      <c r="U812" s="1254"/>
    </row>
    <row r="813" spans="7:21" ht="15.6">
      <c r="G813" s="1255"/>
      <c r="H813" s="1254"/>
      <c r="I813" s="1254"/>
      <c r="J813" s="1254"/>
      <c r="K813" s="1254"/>
      <c r="L813" s="1254"/>
      <c r="M813" s="1254"/>
      <c r="N813" s="1254"/>
      <c r="O813" s="1254"/>
      <c r="P813" s="1254"/>
      <c r="Q813" s="1254"/>
      <c r="R813" s="1254"/>
      <c r="S813" s="1254"/>
      <c r="T813" s="1254"/>
      <c r="U813" s="1254"/>
    </row>
    <row r="814" spans="7:21" ht="15.6">
      <c r="G814" s="1255"/>
      <c r="H814" s="1254"/>
      <c r="I814" s="1254"/>
      <c r="J814" s="1254"/>
      <c r="K814" s="1254"/>
      <c r="L814" s="1254"/>
      <c r="M814" s="1254"/>
      <c r="N814" s="1254"/>
      <c r="O814" s="1254"/>
      <c r="P814" s="1254"/>
      <c r="Q814" s="1254"/>
      <c r="R814" s="1254"/>
      <c r="S814" s="1254"/>
      <c r="T814" s="1254"/>
      <c r="U814" s="1254"/>
    </row>
    <row r="815" spans="7:21" ht="15.6">
      <c r="G815" s="1255"/>
      <c r="H815" s="1254"/>
      <c r="I815" s="1254"/>
      <c r="J815" s="1254"/>
      <c r="K815" s="1254"/>
      <c r="L815" s="1254"/>
      <c r="M815" s="1254"/>
      <c r="N815" s="1254"/>
      <c r="O815" s="1254"/>
      <c r="P815" s="1254"/>
      <c r="Q815" s="1254"/>
      <c r="R815" s="1254"/>
      <c r="S815" s="1254"/>
      <c r="T815" s="1254"/>
      <c r="U815" s="1254"/>
    </row>
    <row r="816" spans="7:21" ht="15.6">
      <c r="G816" s="1255"/>
      <c r="H816" s="1254"/>
      <c r="I816" s="1254"/>
      <c r="J816" s="1254"/>
      <c r="K816" s="1254"/>
      <c r="L816" s="1254"/>
      <c r="M816" s="1254"/>
      <c r="N816" s="1254"/>
      <c r="O816" s="1254"/>
      <c r="P816" s="1254"/>
      <c r="Q816" s="1254"/>
      <c r="R816" s="1254"/>
      <c r="S816" s="1254"/>
      <c r="T816" s="1254"/>
      <c r="U816" s="1254"/>
    </row>
    <row r="817" spans="7:21" ht="15.6">
      <c r="G817" s="1255"/>
      <c r="H817" s="1254"/>
      <c r="I817" s="1254"/>
      <c r="J817" s="1254"/>
      <c r="K817" s="1254"/>
      <c r="L817" s="1254"/>
      <c r="M817" s="1254"/>
      <c r="N817" s="1254"/>
      <c r="O817" s="1254"/>
      <c r="P817" s="1254"/>
      <c r="Q817" s="1254"/>
      <c r="R817" s="1254"/>
      <c r="S817" s="1254"/>
      <c r="T817" s="1254"/>
      <c r="U817" s="1254"/>
    </row>
    <row r="818" spans="7:21" ht="15.6">
      <c r="G818" s="1255"/>
      <c r="H818" s="1254"/>
      <c r="I818" s="1254"/>
      <c r="J818" s="1254"/>
      <c r="K818" s="1254"/>
      <c r="L818" s="1254"/>
      <c r="M818" s="1254"/>
      <c r="N818" s="1254"/>
      <c r="O818" s="1254"/>
      <c r="P818" s="1254"/>
      <c r="Q818" s="1254"/>
      <c r="R818" s="1254"/>
      <c r="S818" s="1254"/>
      <c r="T818" s="1254"/>
      <c r="U818" s="1254"/>
    </row>
    <row r="819" spans="7:21" ht="15.6">
      <c r="G819" s="1255"/>
      <c r="H819" s="1254"/>
      <c r="I819" s="1254"/>
      <c r="J819" s="1254"/>
      <c r="K819" s="1254"/>
      <c r="L819" s="1254"/>
      <c r="M819" s="1254"/>
      <c r="N819" s="1254"/>
      <c r="O819" s="1254"/>
      <c r="P819" s="1254"/>
      <c r="Q819" s="1254"/>
      <c r="R819" s="1254"/>
      <c r="S819" s="1254"/>
      <c r="T819" s="1254"/>
      <c r="U819" s="1254"/>
    </row>
    <row r="820" spans="7:21" ht="15.6">
      <c r="G820" s="1255"/>
      <c r="H820" s="1254"/>
      <c r="I820" s="1254"/>
      <c r="J820" s="1254"/>
      <c r="K820" s="1254"/>
      <c r="L820" s="1254"/>
      <c r="M820" s="1254"/>
      <c r="N820" s="1254"/>
      <c r="O820" s="1254"/>
      <c r="P820" s="1254"/>
      <c r="Q820" s="1254"/>
      <c r="R820" s="1254"/>
      <c r="S820" s="1254"/>
      <c r="T820" s="1254"/>
      <c r="U820" s="1254"/>
    </row>
    <row r="821" spans="7:21" ht="15.6">
      <c r="G821" s="1255"/>
      <c r="H821" s="1254"/>
      <c r="I821" s="1254"/>
      <c r="J821" s="1254"/>
      <c r="K821" s="1254"/>
      <c r="L821" s="1254"/>
      <c r="M821" s="1254"/>
      <c r="N821" s="1254"/>
      <c r="O821" s="1254"/>
      <c r="P821" s="1254"/>
      <c r="Q821" s="1254"/>
      <c r="R821" s="1254"/>
      <c r="S821" s="1254"/>
      <c r="T821" s="1254"/>
      <c r="U821" s="1254"/>
    </row>
    <row r="822" spans="7:21" ht="15.6">
      <c r="G822" s="1255"/>
      <c r="H822" s="1254"/>
      <c r="I822" s="1254"/>
      <c r="J822" s="1254"/>
      <c r="K822" s="1254"/>
      <c r="L822" s="1254"/>
      <c r="M822" s="1254"/>
      <c r="N822" s="1254"/>
      <c r="O822" s="1254"/>
      <c r="P822" s="1254"/>
      <c r="Q822" s="1254"/>
      <c r="R822" s="1254"/>
      <c r="S822" s="1254"/>
      <c r="T822" s="1254"/>
      <c r="U822" s="1254"/>
    </row>
    <row r="823" spans="7:21" ht="15.6">
      <c r="G823" s="1255"/>
      <c r="H823" s="1254"/>
      <c r="I823" s="1254"/>
      <c r="J823" s="1254"/>
      <c r="K823" s="1254"/>
      <c r="L823" s="1254"/>
      <c r="M823" s="1254"/>
      <c r="N823" s="1254"/>
      <c r="O823" s="1254"/>
      <c r="P823" s="1254"/>
      <c r="Q823" s="1254"/>
      <c r="R823" s="1254"/>
      <c r="S823" s="1254"/>
      <c r="T823" s="1254"/>
      <c r="U823" s="1254"/>
    </row>
    <row r="824" spans="7:21" ht="15.6">
      <c r="G824" s="1255"/>
      <c r="H824" s="1254"/>
      <c r="I824" s="1254"/>
      <c r="J824" s="1254"/>
      <c r="K824" s="1254"/>
      <c r="L824" s="1254"/>
      <c r="M824" s="1254"/>
      <c r="N824" s="1254"/>
      <c r="O824" s="1254"/>
      <c r="P824" s="1254"/>
      <c r="Q824" s="1254"/>
      <c r="R824" s="1254"/>
      <c r="S824" s="1254"/>
      <c r="T824" s="1254"/>
      <c r="U824" s="1254"/>
    </row>
    <row r="825" spans="7:21" ht="15.6">
      <c r="G825" s="1255"/>
      <c r="H825" s="1254"/>
      <c r="I825" s="1254"/>
      <c r="J825" s="1254"/>
      <c r="K825" s="1254"/>
      <c r="L825" s="1254"/>
      <c r="M825" s="1254"/>
      <c r="N825" s="1254"/>
      <c r="O825" s="1254"/>
      <c r="P825" s="1254"/>
      <c r="Q825" s="1254"/>
      <c r="R825" s="1254"/>
      <c r="S825" s="1254"/>
      <c r="T825" s="1254"/>
      <c r="U825" s="1254"/>
    </row>
    <row r="826" spans="7:21" ht="15.6">
      <c r="G826" s="1255"/>
      <c r="H826" s="1254"/>
      <c r="I826" s="1254"/>
      <c r="J826" s="1254"/>
      <c r="K826" s="1254"/>
      <c r="L826" s="1254"/>
      <c r="M826" s="1254"/>
      <c r="N826" s="1254"/>
      <c r="O826" s="1254"/>
      <c r="P826" s="1254"/>
      <c r="Q826" s="1254"/>
      <c r="R826" s="1254"/>
      <c r="S826" s="1254"/>
      <c r="T826" s="1254"/>
      <c r="U826" s="1254"/>
    </row>
    <row r="827" spans="7:21" ht="15.6">
      <c r="G827" s="1255"/>
      <c r="H827" s="1254"/>
      <c r="I827" s="1254"/>
      <c r="J827" s="1254"/>
      <c r="K827" s="1254"/>
      <c r="L827" s="1254"/>
      <c r="M827" s="1254"/>
      <c r="N827" s="1254"/>
      <c r="O827" s="1254"/>
      <c r="P827" s="1254"/>
      <c r="Q827" s="1254"/>
      <c r="R827" s="1254"/>
      <c r="S827" s="1254"/>
      <c r="T827" s="1254"/>
      <c r="U827" s="1254"/>
    </row>
    <row r="828" spans="7:21" ht="15.6">
      <c r="G828" s="1255"/>
      <c r="H828" s="1254"/>
      <c r="I828" s="1254"/>
      <c r="J828" s="1254"/>
      <c r="K828" s="1254"/>
      <c r="L828" s="1254"/>
      <c r="M828" s="1254"/>
      <c r="N828" s="1254"/>
      <c r="O828" s="1254"/>
      <c r="P828" s="1254"/>
      <c r="Q828" s="1254"/>
      <c r="R828" s="1254"/>
      <c r="S828" s="1254"/>
      <c r="T828" s="1254"/>
      <c r="U828" s="1254"/>
    </row>
    <row r="829" spans="7:21" ht="15.6">
      <c r="G829" s="1255"/>
      <c r="H829" s="1254"/>
      <c r="I829" s="1254"/>
      <c r="J829" s="1254"/>
      <c r="K829" s="1254"/>
      <c r="L829" s="1254"/>
      <c r="M829" s="1254"/>
      <c r="N829" s="1254"/>
      <c r="O829" s="1254"/>
      <c r="P829" s="1254"/>
      <c r="Q829" s="1254"/>
      <c r="R829" s="1254"/>
      <c r="S829" s="1254"/>
      <c r="T829" s="1254"/>
      <c r="U829" s="1254"/>
    </row>
    <row r="830" spans="7:21" ht="15.6">
      <c r="G830" s="1255"/>
      <c r="H830" s="1254"/>
      <c r="I830" s="1254"/>
      <c r="J830" s="1254"/>
      <c r="K830" s="1254"/>
      <c r="L830" s="1254"/>
      <c r="M830" s="1254"/>
      <c r="N830" s="1254"/>
      <c r="O830" s="1254"/>
      <c r="P830" s="1254"/>
      <c r="Q830" s="1254"/>
      <c r="R830" s="1254"/>
      <c r="S830" s="1254"/>
      <c r="T830" s="1254"/>
      <c r="U830" s="1254"/>
    </row>
    <row r="831" spans="7:21" ht="15.6">
      <c r="G831" s="1255"/>
      <c r="H831" s="1254"/>
      <c r="I831" s="1254"/>
      <c r="J831" s="1254"/>
      <c r="K831" s="1254"/>
      <c r="L831" s="1254"/>
      <c r="M831" s="1254"/>
      <c r="N831" s="1254"/>
      <c r="O831" s="1254"/>
      <c r="P831" s="1254"/>
      <c r="Q831" s="1254"/>
      <c r="R831" s="1254"/>
      <c r="S831" s="1254"/>
      <c r="T831" s="1254"/>
      <c r="U831" s="1254"/>
    </row>
    <row r="832" spans="7:21" ht="15.6">
      <c r="G832" s="1255"/>
      <c r="H832" s="1254"/>
      <c r="I832" s="1254"/>
      <c r="J832" s="1254"/>
      <c r="K832" s="1254"/>
      <c r="L832" s="1254"/>
      <c r="M832" s="1254"/>
      <c r="N832" s="1254"/>
      <c r="O832" s="1254"/>
      <c r="P832" s="1254"/>
      <c r="Q832" s="1254"/>
      <c r="R832" s="1254"/>
      <c r="S832" s="1254"/>
      <c r="T832" s="1254"/>
      <c r="U832" s="1254"/>
    </row>
    <row r="833" spans="7:21" ht="15.6">
      <c r="G833" s="1255"/>
      <c r="H833" s="1254"/>
      <c r="I833" s="1254"/>
      <c r="J833" s="1254"/>
      <c r="K833" s="1254"/>
      <c r="L833" s="1254"/>
      <c r="M833" s="1254"/>
      <c r="N833" s="1254"/>
      <c r="O833" s="1254"/>
      <c r="P833" s="1254"/>
      <c r="Q833" s="1254"/>
      <c r="R833" s="1254"/>
      <c r="S833" s="1254"/>
      <c r="T833" s="1254"/>
      <c r="U833" s="1254"/>
    </row>
    <row r="834" spans="7:21" ht="15.6">
      <c r="G834" s="1255"/>
      <c r="H834" s="1254"/>
      <c r="I834" s="1254"/>
      <c r="J834" s="1254"/>
      <c r="K834" s="1254"/>
      <c r="L834" s="1254"/>
      <c r="M834" s="1254"/>
      <c r="N834" s="1254"/>
      <c r="O834" s="1254"/>
      <c r="P834" s="1254"/>
      <c r="Q834" s="1254"/>
      <c r="R834" s="1254"/>
      <c r="S834" s="1254"/>
      <c r="T834" s="1254"/>
      <c r="U834" s="1254"/>
    </row>
    <row r="835" spans="7:21" ht="15.6">
      <c r="G835" s="1255"/>
      <c r="H835" s="1254"/>
      <c r="I835" s="1254"/>
      <c r="J835" s="1254"/>
      <c r="K835" s="1254"/>
      <c r="L835" s="1254"/>
      <c r="M835" s="1254"/>
      <c r="N835" s="1254"/>
      <c r="O835" s="1254"/>
      <c r="P835" s="1254"/>
      <c r="Q835" s="1254"/>
      <c r="R835" s="1254"/>
      <c r="S835" s="1254"/>
      <c r="T835" s="1254"/>
      <c r="U835" s="1254"/>
    </row>
    <row r="836" spans="7:21" ht="15.6">
      <c r="G836" s="1255"/>
      <c r="H836" s="1254"/>
      <c r="I836" s="1254"/>
      <c r="J836" s="1254"/>
      <c r="K836" s="1254"/>
      <c r="L836" s="1254"/>
      <c r="M836" s="1254"/>
      <c r="N836" s="1254"/>
      <c r="O836" s="1254"/>
      <c r="P836" s="1254"/>
      <c r="Q836" s="1254"/>
      <c r="R836" s="1254"/>
      <c r="S836" s="1254"/>
      <c r="T836" s="1254"/>
      <c r="U836" s="1254"/>
    </row>
    <row r="837" spans="7:21" ht="15.6">
      <c r="G837" s="1255"/>
      <c r="H837" s="1254"/>
      <c r="I837" s="1254"/>
      <c r="J837" s="1254"/>
      <c r="K837" s="1254"/>
      <c r="L837" s="1254"/>
      <c r="M837" s="1254"/>
      <c r="N837" s="1254"/>
      <c r="O837" s="1254"/>
      <c r="P837" s="1254"/>
      <c r="Q837" s="1254"/>
      <c r="R837" s="1254"/>
      <c r="S837" s="1254"/>
      <c r="T837" s="1254"/>
      <c r="U837" s="1254"/>
    </row>
    <row r="838" spans="7:21" ht="15.6">
      <c r="G838" s="1255"/>
      <c r="H838" s="1254"/>
      <c r="I838" s="1254"/>
      <c r="J838" s="1254"/>
      <c r="K838" s="1254"/>
      <c r="L838" s="1254"/>
      <c r="M838" s="1254"/>
      <c r="N838" s="1254"/>
      <c r="O838" s="1254"/>
      <c r="P838" s="1254"/>
      <c r="Q838" s="1254"/>
      <c r="R838" s="1254"/>
      <c r="S838" s="1254"/>
      <c r="T838" s="1254"/>
      <c r="U838" s="1254"/>
    </row>
    <row r="839" spans="7:21" ht="15.6">
      <c r="G839" s="1255"/>
      <c r="H839" s="1254"/>
      <c r="I839" s="1254"/>
      <c r="J839" s="1254"/>
      <c r="K839" s="1254"/>
      <c r="L839" s="1254"/>
      <c r="M839" s="1254"/>
      <c r="N839" s="1254"/>
      <c r="O839" s="1254"/>
      <c r="P839" s="1254"/>
      <c r="Q839" s="1254"/>
      <c r="R839" s="1254"/>
      <c r="S839" s="1254"/>
      <c r="T839" s="1254"/>
      <c r="U839" s="1254"/>
    </row>
    <row r="840" spans="7:21" ht="15.6">
      <c r="G840" s="1255"/>
      <c r="H840" s="1254"/>
      <c r="I840" s="1254"/>
      <c r="J840" s="1254"/>
      <c r="K840" s="1254"/>
      <c r="L840" s="1254"/>
      <c r="M840" s="1254"/>
      <c r="N840" s="1254"/>
      <c r="O840" s="1254"/>
      <c r="P840" s="1254"/>
      <c r="Q840" s="1254"/>
      <c r="R840" s="1254"/>
      <c r="S840" s="1254"/>
      <c r="T840" s="1254"/>
      <c r="U840" s="1254"/>
    </row>
    <row r="841" spans="7:21" ht="15.6">
      <c r="G841" s="1255"/>
      <c r="H841" s="1254"/>
      <c r="I841" s="1254"/>
      <c r="J841" s="1254"/>
      <c r="K841" s="1254"/>
      <c r="L841" s="1254"/>
      <c r="M841" s="1254"/>
      <c r="N841" s="1254"/>
      <c r="O841" s="1254"/>
      <c r="P841" s="1254"/>
      <c r="Q841" s="1254"/>
      <c r="R841" s="1254"/>
      <c r="S841" s="1254"/>
      <c r="T841" s="1254"/>
      <c r="U841" s="1254"/>
    </row>
    <row r="842" spans="7:21" ht="15.6">
      <c r="G842" s="1255"/>
      <c r="H842" s="1254"/>
      <c r="I842" s="1254"/>
      <c r="J842" s="1254"/>
      <c r="K842" s="1254"/>
      <c r="L842" s="1254"/>
      <c r="M842" s="1254"/>
      <c r="N842" s="1254"/>
      <c r="O842" s="1254"/>
      <c r="P842" s="1254"/>
      <c r="Q842" s="1254"/>
      <c r="R842" s="1254"/>
      <c r="S842" s="1254"/>
      <c r="T842" s="1254"/>
      <c r="U842" s="1254"/>
    </row>
    <row r="843" spans="7:21" ht="15.6">
      <c r="G843" s="1255"/>
      <c r="H843" s="1254"/>
      <c r="I843" s="1254"/>
      <c r="J843" s="1254"/>
      <c r="K843" s="1254"/>
      <c r="L843" s="1254"/>
      <c r="M843" s="1254"/>
      <c r="N843" s="1254"/>
      <c r="O843" s="1254"/>
      <c r="P843" s="1254"/>
      <c r="Q843" s="1254"/>
      <c r="R843" s="1254"/>
      <c r="S843" s="1254"/>
      <c r="T843" s="1254"/>
      <c r="U843" s="1254"/>
    </row>
    <row r="844" spans="7:21" ht="15.6">
      <c r="G844" s="1255"/>
      <c r="H844" s="1254"/>
      <c r="I844" s="1254"/>
      <c r="J844" s="1254"/>
      <c r="K844" s="1254"/>
      <c r="L844" s="1254"/>
      <c r="M844" s="1254"/>
      <c r="N844" s="1254"/>
      <c r="O844" s="1254"/>
      <c r="P844" s="1254"/>
      <c r="Q844" s="1254"/>
      <c r="R844" s="1254"/>
      <c r="S844" s="1254"/>
      <c r="T844" s="1254"/>
      <c r="U844" s="1254"/>
    </row>
    <row r="845" spans="7:21" ht="15.6">
      <c r="G845" s="1255"/>
      <c r="H845" s="1254"/>
      <c r="I845" s="1254"/>
      <c r="J845" s="1254"/>
      <c r="K845" s="1254"/>
      <c r="L845" s="1254"/>
      <c r="M845" s="1254"/>
      <c r="N845" s="1254"/>
      <c r="O845" s="1254"/>
      <c r="P845" s="1254"/>
      <c r="Q845" s="1254"/>
      <c r="R845" s="1254"/>
      <c r="S845" s="1254"/>
      <c r="T845" s="1254"/>
      <c r="U845" s="1254"/>
    </row>
    <row r="846" spans="7:21" ht="15.6">
      <c r="G846" s="1255"/>
      <c r="H846" s="1254"/>
      <c r="I846" s="1254"/>
      <c r="J846" s="1254"/>
      <c r="K846" s="1254"/>
      <c r="L846" s="1254"/>
      <c r="M846" s="1254"/>
      <c r="N846" s="1254"/>
      <c r="O846" s="1254"/>
      <c r="P846" s="1254"/>
      <c r="Q846" s="1254"/>
      <c r="R846" s="1254"/>
      <c r="S846" s="1254"/>
      <c r="T846" s="1254"/>
      <c r="U846" s="1254"/>
    </row>
    <row r="847" spans="7:21" ht="15.6">
      <c r="G847" s="1255"/>
      <c r="H847" s="1254"/>
      <c r="I847" s="1254"/>
      <c r="J847" s="1254"/>
      <c r="K847" s="1254"/>
      <c r="L847" s="1254"/>
      <c r="M847" s="1254"/>
      <c r="N847" s="1254"/>
      <c r="O847" s="1254"/>
      <c r="P847" s="1254"/>
      <c r="Q847" s="1254"/>
      <c r="R847" s="1254"/>
      <c r="S847" s="1254"/>
      <c r="T847" s="1254"/>
      <c r="U847" s="1254"/>
    </row>
    <row r="848" spans="7:21" ht="15.6">
      <c r="G848" s="1255"/>
      <c r="H848" s="1254"/>
      <c r="I848" s="1254"/>
      <c r="J848" s="1254"/>
      <c r="K848" s="1254"/>
      <c r="L848" s="1254"/>
      <c r="M848" s="1254"/>
      <c r="N848" s="1254"/>
      <c r="O848" s="1254"/>
      <c r="P848" s="1254"/>
      <c r="Q848" s="1254"/>
      <c r="R848" s="1254"/>
      <c r="S848" s="1254"/>
      <c r="T848" s="1254"/>
      <c r="U848" s="1254"/>
    </row>
    <row r="849" spans="7:21" ht="15.6">
      <c r="G849" s="1255"/>
      <c r="H849" s="1254"/>
      <c r="I849" s="1254"/>
      <c r="J849" s="1254"/>
      <c r="K849" s="1254"/>
      <c r="L849" s="1254"/>
      <c r="M849" s="1254"/>
      <c r="N849" s="1254"/>
      <c r="O849" s="1254"/>
      <c r="P849" s="1254"/>
      <c r="Q849" s="1254"/>
      <c r="R849" s="1254"/>
      <c r="S849" s="1254"/>
      <c r="T849" s="1254"/>
      <c r="U849" s="1254"/>
    </row>
    <row r="850" spans="7:21" ht="15.6">
      <c r="G850" s="1255"/>
      <c r="H850" s="1254"/>
      <c r="I850" s="1254"/>
      <c r="J850" s="1254"/>
      <c r="K850" s="1254"/>
      <c r="L850" s="1254"/>
      <c r="M850" s="1254"/>
      <c r="N850" s="1254"/>
      <c r="O850" s="1254"/>
      <c r="P850" s="1254"/>
      <c r="Q850" s="1254"/>
      <c r="R850" s="1254"/>
      <c r="S850" s="1254"/>
      <c r="T850" s="1254"/>
      <c r="U850" s="1254"/>
    </row>
    <row r="851" spans="7:21" ht="15.6">
      <c r="G851" s="1255"/>
      <c r="H851" s="1254"/>
      <c r="I851" s="1254"/>
      <c r="J851" s="1254"/>
      <c r="K851" s="1254"/>
      <c r="L851" s="1254"/>
      <c r="M851" s="1254"/>
      <c r="N851" s="1254"/>
      <c r="O851" s="1254"/>
      <c r="P851" s="1254"/>
      <c r="Q851" s="1254"/>
      <c r="R851" s="1254"/>
      <c r="S851" s="1254"/>
      <c r="T851" s="1254"/>
      <c r="U851" s="1254"/>
    </row>
    <row r="852" spans="7:21" ht="15.6">
      <c r="G852" s="1255"/>
      <c r="H852" s="1254"/>
      <c r="I852" s="1254"/>
      <c r="J852" s="1254"/>
      <c r="K852" s="1254"/>
      <c r="L852" s="1254"/>
      <c r="M852" s="1254"/>
      <c r="N852" s="1254"/>
      <c r="O852" s="1254"/>
      <c r="P852" s="1254"/>
      <c r="Q852" s="1254"/>
      <c r="R852" s="1254"/>
      <c r="S852" s="1254"/>
      <c r="T852" s="1254"/>
      <c r="U852" s="1254"/>
    </row>
    <row r="853" spans="7:21" ht="15.6">
      <c r="G853" s="1255"/>
      <c r="H853" s="1254"/>
      <c r="I853" s="1254"/>
      <c r="J853" s="1254"/>
      <c r="K853" s="1254"/>
      <c r="L853" s="1254"/>
      <c r="M853" s="1254"/>
      <c r="N853" s="1254"/>
      <c r="O853" s="1254"/>
      <c r="P853" s="1254"/>
      <c r="Q853" s="1254"/>
      <c r="R853" s="1254"/>
      <c r="S853" s="1254"/>
      <c r="T853" s="1254"/>
      <c r="U853" s="1254"/>
    </row>
    <row r="854" spans="7:21" ht="15.6">
      <c r="G854" s="1255"/>
      <c r="H854" s="1254"/>
      <c r="I854" s="1254"/>
      <c r="J854" s="1254"/>
      <c r="K854" s="1254"/>
      <c r="L854" s="1254"/>
      <c r="M854" s="1254"/>
      <c r="N854" s="1254"/>
      <c r="O854" s="1254"/>
      <c r="P854" s="1254"/>
      <c r="Q854" s="1254"/>
      <c r="R854" s="1254"/>
      <c r="S854" s="1254"/>
      <c r="T854" s="1254"/>
      <c r="U854" s="1254"/>
    </row>
    <row r="855" spans="7:21" ht="15.6">
      <c r="G855" s="1255"/>
      <c r="H855" s="1254"/>
      <c r="I855" s="1254"/>
      <c r="J855" s="1254"/>
      <c r="K855" s="1254"/>
      <c r="L855" s="1254"/>
      <c r="M855" s="1254"/>
      <c r="N855" s="1254"/>
      <c r="O855" s="1254"/>
      <c r="P855" s="1254"/>
      <c r="Q855" s="1254"/>
      <c r="R855" s="1254"/>
      <c r="S855" s="1254"/>
      <c r="T855" s="1254"/>
      <c r="U855" s="1254"/>
    </row>
    <row r="856" spans="7:21" ht="15.6">
      <c r="G856" s="1255"/>
      <c r="H856" s="1254"/>
      <c r="I856" s="1254"/>
      <c r="J856" s="1254"/>
      <c r="K856" s="1254"/>
      <c r="L856" s="1254"/>
      <c r="M856" s="1254"/>
      <c r="N856" s="1254"/>
      <c r="O856" s="1254"/>
      <c r="P856" s="1254"/>
      <c r="Q856" s="1254"/>
      <c r="R856" s="1254"/>
      <c r="S856" s="1254"/>
      <c r="T856" s="1254"/>
      <c r="U856" s="1254"/>
    </row>
    <row r="857" spans="7:21" ht="15.6">
      <c r="G857" s="1255"/>
      <c r="H857" s="1254"/>
      <c r="I857" s="1254"/>
      <c r="J857" s="1254"/>
      <c r="K857" s="1254"/>
      <c r="L857" s="1254"/>
      <c r="M857" s="1254"/>
      <c r="N857" s="1254"/>
      <c r="O857" s="1254"/>
      <c r="P857" s="1254"/>
      <c r="Q857" s="1254"/>
      <c r="R857" s="1254"/>
      <c r="S857" s="1254"/>
      <c r="T857" s="1254"/>
      <c r="U857" s="1254"/>
    </row>
    <row r="858" spans="7:21" ht="15.6">
      <c r="G858" s="1255"/>
      <c r="H858" s="1254"/>
      <c r="I858" s="1254"/>
      <c r="J858" s="1254"/>
      <c r="K858" s="1254"/>
      <c r="L858" s="1254"/>
      <c r="M858" s="1254"/>
      <c r="N858" s="1254"/>
      <c r="O858" s="1254"/>
      <c r="P858" s="1254"/>
      <c r="Q858" s="1254"/>
      <c r="R858" s="1254"/>
      <c r="S858" s="1254"/>
      <c r="T858" s="1254"/>
      <c r="U858" s="1254"/>
    </row>
    <row r="859" spans="7:21" ht="15.6">
      <c r="G859" s="1255"/>
      <c r="H859" s="1254"/>
      <c r="I859" s="1254"/>
      <c r="J859" s="1254"/>
      <c r="K859" s="1254"/>
      <c r="L859" s="1254"/>
      <c r="M859" s="1254"/>
      <c r="N859" s="1254"/>
      <c r="O859" s="1254"/>
      <c r="P859" s="1254"/>
      <c r="Q859" s="1254"/>
      <c r="R859" s="1254"/>
      <c r="S859" s="1254"/>
      <c r="T859" s="1254"/>
      <c r="U859" s="1254"/>
    </row>
    <row r="860" spans="7:21" ht="15.6">
      <c r="G860" s="1255"/>
      <c r="H860" s="1254"/>
      <c r="I860" s="1254"/>
      <c r="J860" s="1254"/>
      <c r="K860" s="1254"/>
      <c r="L860" s="1254"/>
      <c r="M860" s="1254"/>
      <c r="N860" s="1254"/>
      <c r="O860" s="1254"/>
      <c r="P860" s="1254"/>
      <c r="Q860" s="1254"/>
      <c r="R860" s="1254"/>
      <c r="S860" s="1254"/>
      <c r="T860" s="1254"/>
      <c r="U860" s="1254"/>
    </row>
    <row r="861" spans="7:21" ht="15.6">
      <c r="G861" s="1255"/>
      <c r="H861" s="1254"/>
      <c r="I861" s="1254"/>
      <c r="J861" s="1254"/>
      <c r="K861" s="1254"/>
      <c r="L861" s="1254"/>
      <c r="M861" s="1254"/>
      <c r="N861" s="1254"/>
      <c r="O861" s="1254"/>
      <c r="P861" s="1254"/>
      <c r="Q861" s="1254"/>
      <c r="R861" s="1254"/>
      <c r="S861" s="1254"/>
      <c r="T861" s="1254"/>
      <c r="U861" s="1254"/>
    </row>
    <row r="862" spans="7:21" ht="15.6">
      <c r="G862" s="1255"/>
      <c r="H862" s="1254"/>
      <c r="I862" s="1254"/>
      <c r="J862" s="1254"/>
      <c r="K862" s="1254"/>
      <c r="L862" s="1254"/>
      <c r="M862" s="1254"/>
      <c r="N862" s="1254"/>
      <c r="O862" s="1254"/>
      <c r="P862" s="1254"/>
      <c r="Q862" s="1254"/>
      <c r="R862" s="1254"/>
      <c r="S862" s="1254"/>
      <c r="T862" s="1254"/>
      <c r="U862" s="1254"/>
    </row>
    <row r="863" spans="7:21" ht="15.6">
      <c r="G863" s="1255"/>
      <c r="H863" s="1254"/>
      <c r="I863" s="1254"/>
      <c r="J863" s="1254"/>
      <c r="K863" s="1254"/>
      <c r="L863" s="1254"/>
      <c r="M863" s="1254"/>
      <c r="N863" s="1254"/>
      <c r="O863" s="1254"/>
      <c r="P863" s="1254"/>
      <c r="Q863" s="1254"/>
      <c r="R863" s="1254"/>
      <c r="S863" s="1254"/>
      <c r="T863" s="1254"/>
      <c r="U863" s="1254"/>
    </row>
    <row r="864" spans="7:21" ht="15.6">
      <c r="G864" s="1255"/>
      <c r="H864" s="1254"/>
      <c r="I864" s="1254"/>
      <c r="J864" s="1254"/>
      <c r="K864" s="1254"/>
      <c r="L864" s="1254"/>
      <c r="M864" s="1254"/>
      <c r="N864" s="1254"/>
      <c r="O864" s="1254"/>
      <c r="P864" s="1254"/>
      <c r="Q864" s="1254"/>
      <c r="R864" s="1254"/>
      <c r="S864" s="1254"/>
      <c r="T864" s="1254"/>
      <c r="U864" s="1254"/>
    </row>
    <row r="865" spans="7:21" ht="15.6">
      <c r="G865" s="1255"/>
      <c r="H865" s="1254"/>
      <c r="I865" s="1254"/>
      <c r="J865" s="1254"/>
      <c r="K865" s="1254"/>
      <c r="L865" s="1254"/>
      <c r="M865" s="1254"/>
      <c r="N865" s="1254"/>
      <c r="O865" s="1254"/>
      <c r="P865" s="1254"/>
      <c r="Q865" s="1254"/>
      <c r="R865" s="1254"/>
      <c r="S865" s="1254"/>
      <c r="T865" s="1254"/>
      <c r="U865" s="1254"/>
    </row>
    <row r="866" spans="7:21" ht="15.6">
      <c r="G866" s="1255"/>
      <c r="H866" s="1254"/>
      <c r="I866" s="1254"/>
      <c r="J866" s="1254"/>
      <c r="K866" s="1254"/>
      <c r="L866" s="1254"/>
      <c r="M866" s="1254"/>
      <c r="N866" s="1254"/>
      <c r="O866" s="1254"/>
      <c r="P866" s="1254"/>
      <c r="Q866" s="1254"/>
      <c r="R866" s="1254"/>
      <c r="S866" s="1254"/>
      <c r="T866" s="1254"/>
      <c r="U866" s="1254"/>
    </row>
    <row r="867" spans="7:21" ht="15.6">
      <c r="G867" s="1255"/>
      <c r="H867" s="1254"/>
      <c r="I867" s="1254"/>
      <c r="J867" s="1254"/>
      <c r="K867" s="1254"/>
      <c r="L867" s="1254"/>
      <c r="M867" s="1254"/>
      <c r="N867" s="1254"/>
      <c r="O867" s="1254"/>
      <c r="P867" s="1254"/>
      <c r="Q867" s="1254"/>
      <c r="R867" s="1254"/>
      <c r="S867" s="1254"/>
      <c r="T867" s="1254"/>
      <c r="U867" s="1254"/>
    </row>
    <row r="868" spans="7:21" ht="15.6">
      <c r="G868" s="1255"/>
      <c r="H868" s="1254"/>
      <c r="I868" s="1254"/>
      <c r="J868" s="1254"/>
      <c r="K868" s="1254"/>
      <c r="L868" s="1254"/>
      <c r="M868" s="1254"/>
      <c r="N868" s="1254"/>
      <c r="O868" s="1254"/>
      <c r="P868" s="1254"/>
      <c r="Q868" s="1254"/>
      <c r="R868" s="1254"/>
      <c r="S868" s="1254"/>
      <c r="T868" s="1254"/>
      <c r="U868" s="1254"/>
    </row>
    <row r="869" spans="7:21" ht="15.6">
      <c r="G869" s="1255"/>
      <c r="H869" s="1254"/>
      <c r="I869" s="1254"/>
      <c r="J869" s="1254"/>
      <c r="K869" s="1254"/>
      <c r="L869" s="1254"/>
      <c r="M869" s="1254"/>
      <c r="N869" s="1254"/>
      <c r="O869" s="1254"/>
      <c r="P869" s="1254"/>
      <c r="Q869" s="1254"/>
      <c r="R869" s="1254"/>
      <c r="S869" s="1254"/>
      <c r="T869" s="1254"/>
      <c r="U869" s="1254"/>
    </row>
    <row r="870" spans="7:21" ht="15.6">
      <c r="G870" s="1255"/>
      <c r="H870" s="1254"/>
      <c r="I870" s="1254"/>
      <c r="J870" s="1254"/>
      <c r="K870" s="1254"/>
      <c r="L870" s="1254"/>
      <c r="M870" s="1254"/>
      <c r="N870" s="1254"/>
      <c r="O870" s="1254"/>
      <c r="P870" s="1254"/>
      <c r="Q870" s="1254"/>
      <c r="R870" s="1254"/>
      <c r="S870" s="1254"/>
      <c r="T870" s="1254"/>
      <c r="U870" s="1254"/>
    </row>
    <row r="871" spans="7:21" ht="15.6">
      <c r="G871" s="1255"/>
      <c r="H871" s="1254"/>
      <c r="I871" s="1254"/>
      <c r="J871" s="1254"/>
      <c r="K871" s="1254"/>
      <c r="L871" s="1254"/>
      <c r="M871" s="1254"/>
      <c r="N871" s="1254"/>
      <c r="O871" s="1254"/>
      <c r="P871" s="1254"/>
      <c r="Q871" s="1254"/>
      <c r="R871" s="1254"/>
      <c r="S871" s="1254"/>
      <c r="T871" s="1254"/>
      <c r="U871" s="1254"/>
    </row>
    <row r="872" spans="7:21" ht="15.6">
      <c r="G872" s="1255"/>
      <c r="H872" s="1254"/>
      <c r="I872" s="1254"/>
      <c r="J872" s="1254"/>
      <c r="K872" s="1254"/>
      <c r="L872" s="1254"/>
      <c r="M872" s="1254"/>
      <c r="N872" s="1254"/>
      <c r="O872" s="1254"/>
      <c r="P872" s="1254"/>
      <c r="Q872" s="1254"/>
      <c r="R872" s="1254"/>
      <c r="S872" s="1254"/>
      <c r="T872" s="1254"/>
      <c r="U872" s="1254"/>
    </row>
    <row r="873" spans="7:21" ht="15.6">
      <c r="G873" s="1255"/>
      <c r="H873" s="1254"/>
      <c r="I873" s="1254"/>
      <c r="J873" s="1254"/>
      <c r="K873" s="1254"/>
      <c r="L873" s="1254"/>
      <c r="M873" s="1254"/>
      <c r="N873" s="1254"/>
      <c r="O873" s="1254"/>
      <c r="P873" s="1254"/>
      <c r="Q873" s="1254"/>
      <c r="R873" s="1254"/>
      <c r="S873" s="1254"/>
      <c r="T873" s="1254"/>
      <c r="U873" s="1254"/>
    </row>
    <row r="874" spans="7:21" ht="15.6">
      <c r="G874" s="1255"/>
      <c r="H874" s="1254"/>
      <c r="I874" s="1254"/>
      <c r="J874" s="1254"/>
      <c r="K874" s="1254"/>
      <c r="L874" s="1254"/>
      <c r="M874" s="1254"/>
      <c r="N874" s="1254"/>
      <c r="O874" s="1254"/>
      <c r="P874" s="1254"/>
      <c r="Q874" s="1254"/>
      <c r="R874" s="1254"/>
      <c r="S874" s="1254"/>
      <c r="T874" s="1254"/>
      <c r="U874" s="1254"/>
    </row>
    <row r="875" spans="7:21" ht="15.6">
      <c r="G875" s="1255"/>
      <c r="H875" s="1254"/>
      <c r="I875" s="1254"/>
      <c r="J875" s="1254"/>
      <c r="K875" s="1254"/>
      <c r="L875" s="1254"/>
      <c r="M875" s="1254"/>
      <c r="N875" s="1254"/>
      <c r="O875" s="1254"/>
      <c r="P875" s="1254"/>
      <c r="Q875" s="1254"/>
      <c r="R875" s="1254"/>
      <c r="S875" s="1254"/>
      <c r="T875" s="1254"/>
      <c r="U875" s="1254"/>
    </row>
    <row r="876" spans="7:21" ht="15.6">
      <c r="G876" s="1255"/>
      <c r="H876" s="1254"/>
      <c r="I876" s="1254"/>
      <c r="J876" s="1254"/>
      <c r="K876" s="1254"/>
      <c r="L876" s="1254"/>
      <c r="M876" s="1254"/>
      <c r="N876" s="1254"/>
      <c r="O876" s="1254"/>
      <c r="P876" s="1254"/>
      <c r="Q876" s="1254"/>
      <c r="R876" s="1254"/>
      <c r="S876" s="1254"/>
      <c r="T876" s="1254"/>
      <c r="U876" s="1254"/>
    </row>
    <row r="877" spans="7:21" ht="15.6">
      <c r="G877" s="1255"/>
      <c r="H877" s="1254"/>
      <c r="I877" s="1254"/>
      <c r="J877" s="1254"/>
      <c r="K877" s="1254"/>
      <c r="L877" s="1254"/>
      <c r="M877" s="1254"/>
      <c r="N877" s="1254"/>
      <c r="O877" s="1254"/>
      <c r="P877" s="1254"/>
      <c r="Q877" s="1254"/>
      <c r="R877" s="1254"/>
      <c r="S877" s="1254"/>
      <c r="T877" s="1254"/>
      <c r="U877" s="1254"/>
    </row>
    <row r="878" spans="7:21" ht="15.6">
      <c r="G878" s="1255"/>
      <c r="H878" s="1254"/>
      <c r="I878" s="1254"/>
      <c r="J878" s="1254"/>
      <c r="K878" s="1254"/>
      <c r="L878" s="1254"/>
      <c r="M878" s="1254"/>
      <c r="N878" s="1254"/>
      <c r="O878" s="1254"/>
      <c r="P878" s="1254"/>
      <c r="Q878" s="1254"/>
      <c r="R878" s="1254"/>
      <c r="S878" s="1254"/>
      <c r="T878" s="1254"/>
      <c r="U878" s="1254"/>
    </row>
    <row r="879" spans="7:21" ht="15.6">
      <c r="G879" s="1255"/>
      <c r="H879" s="1254"/>
      <c r="I879" s="1254"/>
      <c r="J879" s="1254"/>
      <c r="K879" s="1254"/>
      <c r="L879" s="1254"/>
      <c r="M879" s="1254"/>
      <c r="N879" s="1254"/>
      <c r="O879" s="1254"/>
      <c r="P879" s="1254"/>
      <c r="Q879" s="1254"/>
      <c r="R879" s="1254"/>
      <c r="S879" s="1254"/>
      <c r="T879" s="1254"/>
      <c r="U879" s="1254"/>
    </row>
    <row r="880" spans="7:21" ht="15.6">
      <c r="G880" s="1255"/>
      <c r="H880" s="1254"/>
      <c r="I880" s="1254"/>
      <c r="J880" s="1254"/>
      <c r="K880" s="1254"/>
      <c r="L880" s="1254"/>
      <c r="M880" s="1254"/>
      <c r="N880" s="1254"/>
      <c r="O880" s="1254"/>
      <c r="P880" s="1254"/>
      <c r="Q880" s="1254"/>
      <c r="R880" s="1254"/>
      <c r="S880" s="1254"/>
      <c r="T880" s="1254"/>
      <c r="U880" s="1254"/>
    </row>
    <row r="881" spans="7:21" ht="15.6">
      <c r="G881" s="1255"/>
      <c r="H881" s="1254"/>
      <c r="I881" s="1254"/>
      <c r="J881" s="1254"/>
      <c r="K881" s="1254"/>
      <c r="L881" s="1254"/>
      <c r="M881" s="1254"/>
      <c r="N881" s="1254"/>
      <c r="O881" s="1254"/>
      <c r="P881" s="1254"/>
      <c r="Q881" s="1254"/>
      <c r="R881" s="1254"/>
      <c r="S881" s="1254"/>
      <c r="T881" s="1254"/>
      <c r="U881" s="1254"/>
    </row>
    <row r="882" spans="7:21" ht="15.6">
      <c r="G882" s="1255"/>
      <c r="H882" s="1254"/>
      <c r="I882" s="1254"/>
      <c r="J882" s="1254"/>
      <c r="K882" s="1254"/>
      <c r="L882" s="1254"/>
      <c r="M882" s="1254"/>
      <c r="N882" s="1254"/>
      <c r="O882" s="1254"/>
      <c r="P882" s="1254"/>
      <c r="Q882" s="1254"/>
      <c r="R882" s="1254"/>
      <c r="S882" s="1254"/>
      <c r="T882" s="1254"/>
      <c r="U882" s="1254"/>
    </row>
    <row r="883" spans="7:21" ht="15.6">
      <c r="G883" s="1255"/>
      <c r="H883" s="1254"/>
      <c r="I883" s="1254"/>
      <c r="J883" s="1254"/>
      <c r="K883" s="1254"/>
      <c r="L883" s="1254"/>
      <c r="M883" s="1254"/>
      <c r="N883" s="1254"/>
      <c r="O883" s="1254"/>
      <c r="P883" s="1254"/>
      <c r="Q883" s="1254"/>
      <c r="R883" s="1254"/>
      <c r="S883" s="1254"/>
      <c r="T883" s="1254"/>
      <c r="U883" s="1254"/>
    </row>
    <row r="884" spans="7:21" ht="15.6">
      <c r="G884" s="1255"/>
      <c r="H884" s="1254"/>
      <c r="I884" s="1254"/>
      <c r="J884" s="1254"/>
      <c r="K884" s="1254"/>
      <c r="L884" s="1254"/>
      <c r="M884" s="1254"/>
      <c r="N884" s="1254"/>
      <c r="O884" s="1254"/>
      <c r="P884" s="1254"/>
      <c r="Q884" s="1254"/>
      <c r="R884" s="1254"/>
      <c r="S884" s="1254"/>
      <c r="T884" s="1254"/>
      <c r="U884" s="1254"/>
    </row>
    <row r="885" spans="7:21" ht="15.6">
      <c r="G885" s="1255"/>
      <c r="H885" s="1254"/>
      <c r="I885" s="1254"/>
      <c r="J885" s="1254"/>
      <c r="K885" s="1254"/>
      <c r="L885" s="1254"/>
      <c r="M885" s="1254"/>
      <c r="N885" s="1254"/>
      <c r="O885" s="1254"/>
      <c r="P885" s="1254"/>
      <c r="Q885" s="1254"/>
      <c r="R885" s="1254"/>
      <c r="S885" s="1254"/>
      <c r="T885" s="1254"/>
      <c r="U885" s="1254"/>
    </row>
    <row r="886" spans="7:21" ht="15.6">
      <c r="G886" s="1255"/>
      <c r="H886" s="1254"/>
      <c r="I886" s="1254"/>
      <c r="J886" s="1254"/>
      <c r="K886" s="1254"/>
      <c r="L886" s="1254"/>
      <c r="M886" s="1254"/>
      <c r="N886" s="1254"/>
      <c r="O886" s="1254"/>
      <c r="P886" s="1254"/>
      <c r="Q886" s="1254"/>
      <c r="R886" s="1254"/>
      <c r="S886" s="1254"/>
      <c r="T886" s="1254"/>
      <c r="U886" s="1254"/>
    </row>
    <row r="887" spans="7:21" ht="15.6">
      <c r="G887" s="1255"/>
      <c r="H887" s="1254"/>
      <c r="I887" s="1254"/>
      <c r="J887" s="1254"/>
      <c r="K887" s="1254"/>
      <c r="L887" s="1254"/>
      <c r="M887" s="1254"/>
      <c r="N887" s="1254"/>
      <c r="O887" s="1254"/>
      <c r="P887" s="1254"/>
      <c r="Q887" s="1254"/>
      <c r="R887" s="1254"/>
      <c r="S887" s="1254"/>
      <c r="T887" s="1254"/>
      <c r="U887" s="1254"/>
    </row>
    <row r="888" spans="7:21" ht="15.6">
      <c r="G888" s="1255"/>
      <c r="H888" s="1254"/>
      <c r="I888" s="1254"/>
      <c r="J888" s="1254"/>
      <c r="K888" s="1254"/>
      <c r="L888" s="1254"/>
      <c r="M888" s="1254"/>
      <c r="N888" s="1254"/>
      <c r="O888" s="1254"/>
      <c r="P888" s="1254"/>
      <c r="Q888" s="1254"/>
      <c r="R888" s="1254"/>
      <c r="S888" s="1254"/>
      <c r="T888" s="1254"/>
      <c r="U888" s="1254"/>
    </row>
    <row r="889" spans="7:21" ht="15.6">
      <c r="G889" s="1255"/>
      <c r="H889" s="1254"/>
      <c r="I889" s="1254"/>
      <c r="J889" s="1254"/>
      <c r="K889" s="1254"/>
      <c r="L889" s="1254"/>
      <c r="M889" s="1254"/>
      <c r="N889" s="1254"/>
      <c r="O889" s="1254"/>
      <c r="P889" s="1254"/>
      <c r="Q889" s="1254"/>
      <c r="R889" s="1254"/>
      <c r="S889" s="1254"/>
      <c r="T889" s="1254"/>
      <c r="U889" s="1254"/>
    </row>
    <row r="890" spans="7:21" ht="15.6">
      <c r="G890" s="1255"/>
      <c r="H890" s="1254"/>
      <c r="I890" s="1254"/>
      <c r="J890" s="1254"/>
      <c r="K890" s="1254"/>
      <c r="L890" s="1254"/>
      <c r="M890" s="1254"/>
      <c r="N890" s="1254"/>
      <c r="O890" s="1254"/>
      <c r="P890" s="1254"/>
      <c r="Q890" s="1254"/>
      <c r="R890" s="1254"/>
      <c r="S890" s="1254"/>
      <c r="T890" s="1254"/>
      <c r="U890" s="1254"/>
    </row>
    <row r="891" spans="7:21" ht="15.6">
      <c r="G891" s="1255"/>
      <c r="H891" s="1254"/>
      <c r="I891" s="1254"/>
      <c r="J891" s="1254"/>
      <c r="K891" s="1254"/>
      <c r="L891" s="1254"/>
      <c r="M891" s="1254"/>
      <c r="N891" s="1254"/>
      <c r="O891" s="1254"/>
      <c r="P891" s="1254"/>
      <c r="Q891" s="1254"/>
      <c r="R891" s="1254"/>
      <c r="S891" s="1254"/>
      <c r="T891" s="1254"/>
      <c r="U891" s="1254"/>
    </row>
    <row r="892" spans="7:21" ht="15.6">
      <c r="G892" s="1255"/>
      <c r="H892" s="1254"/>
      <c r="I892" s="1254"/>
      <c r="J892" s="1254"/>
      <c r="K892" s="1254"/>
      <c r="L892" s="1254"/>
      <c r="M892" s="1254"/>
      <c r="N892" s="1254"/>
      <c r="O892" s="1254"/>
      <c r="P892" s="1254"/>
      <c r="Q892" s="1254"/>
      <c r="R892" s="1254"/>
      <c r="S892" s="1254"/>
      <c r="T892" s="1254"/>
      <c r="U892" s="1254"/>
    </row>
    <row r="893" spans="7:21" ht="15.6">
      <c r="G893" s="1255"/>
      <c r="H893" s="1254"/>
      <c r="I893" s="1254"/>
      <c r="J893" s="1254"/>
      <c r="K893" s="1254"/>
      <c r="L893" s="1254"/>
      <c r="M893" s="1254"/>
      <c r="N893" s="1254"/>
      <c r="O893" s="1254"/>
      <c r="P893" s="1254"/>
      <c r="Q893" s="1254"/>
      <c r="R893" s="1254"/>
      <c r="S893" s="1254"/>
      <c r="T893" s="1254"/>
      <c r="U893" s="1254"/>
    </row>
    <row r="894" spans="7:21" ht="15.6">
      <c r="G894" s="1255"/>
      <c r="H894" s="1254"/>
      <c r="I894" s="1254"/>
      <c r="J894" s="1254"/>
      <c r="K894" s="1254"/>
      <c r="L894" s="1254"/>
      <c r="M894" s="1254"/>
      <c r="N894" s="1254"/>
      <c r="O894" s="1254"/>
      <c r="P894" s="1254"/>
      <c r="Q894" s="1254"/>
      <c r="R894" s="1254"/>
      <c r="S894" s="1254"/>
      <c r="T894" s="1254"/>
      <c r="U894" s="1254"/>
    </row>
    <row r="895" spans="7:21" ht="15.6">
      <c r="G895" s="1255"/>
      <c r="H895" s="1254"/>
      <c r="I895" s="1254"/>
      <c r="J895" s="1254"/>
      <c r="K895" s="1254"/>
      <c r="L895" s="1254"/>
      <c r="M895" s="1254"/>
      <c r="N895" s="1254"/>
      <c r="O895" s="1254"/>
      <c r="P895" s="1254"/>
      <c r="Q895" s="1254"/>
      <c r="R895" s="1254"/>
      <c r="S895" s="1254"/>
      <c r="T895" s="1254"/>
      <c r="U895" s="1254"/>
    </row>
    <row r="896" spans="7:21" ht="15.6">
      <c r="G896" s="1255"/>
      <c r="H896" s="1254"/>
      <c r="I896" s="1254"/>
      <c r="J896" s="1254"/>
      <c r="K896" s="1254"/>
      <c r="L896" s="1254"/>
      <c r="M896" s="1254"/>
      <c r="N896" s="1254"/>
      <c r="O896" s="1254"/>
      <c r="P896" s="1254"/>
      <c r="Q896" s="1254"/>
      <c r="R896" s="1254"/>
      <c r="S896" s="1254"/>
      <c r="T896" s="1254"/>
      <c r="U896" s="1254"/>
    </row>
    <row r="897" spans="7:21" ht="15.6">
      <c r="G897" s="1255"/>
      <c r="H897" s="1254"/>
      <c r="I897" s="1254"/>
      <c r="J897" s="1254"/>
      <c r="K897" s="1254"/>
      <c r="L897" s="1254"/>
      <c r="M897" s="1254"/>
      <c r="N897" s="1254"/>
      <c r="O897" s="1254"/>
      <c r="P897" s="1254"/>
      <c r="Q897" s="1254"/>
      <c r="R897" s="1254"/>
      <c r="S897" s="1254"/>
      <c r="T897" s="1254"/>
      <c r="U897" s="1254"/>
    </row>
    <row r="898" spans="7:21" ht="15.6">
      <c r="G898" s="1255"/>
      <c r="H898" s="1254"/>
      <c r="I898" s="1254"/>
      <c r="J898" s="1254"/>
      <c r="K898" s="1254"/>
      <c r="L898" s="1254"/>
      <c r="M898" s="1254"/>
      <c r="N898" s="1254"/>
      <c r="O898" s="1254"/>
      <c r="P898" s="1254"/>
      <c r="Q898" s="1254"/>
      <c r="R898" s="1254"/>
      <c r="S898" s="1254"/>
      <c r="T898" s="1254"/>
      <c r="U898" s="1254"/>
    </row>
    <row r="899" spans="7:21" ht="15.6">
      <c r="G899" s="1255"/>
      <c r="H899" s="1254"/>
      <c r="I899" s="1254"/>
      <c r="J899" s="1254"/>
      <c r="K899" s="1254"/>
      <c r="L899" s="1254"/>
      <c r="M899" s="1254"/>
      <c r="N899" s="1254"/>
      <c r="O899" s="1254"/>
      <c r="P899" s="1254"/>
      <c r="Q899" s="1254"/>
      <c r="R899" s="1254"/>
      <c r="S899" s="1254"/>
      <c r="T899" s="1254"/>
      <c r="U899" s="1254"/>
    </row>
    <row r="900" spans="7:21" ht="15.6">
      <c r="G900" s="1255"/>
      <c r="H900" s="1254"/>
      <c r="I900" s="1254"/>
      <c r="J900" s="1254"/>
      <c r="K900" s="1254"/>
      <c r="L900" s="1254"/>
      <c r="M900" s="1254"/>
      <c r="N900" s="1254"/>
      <c r="O900" s="1254"/>
      <c r="P900" s="1254"/>
      <c r="Q900" s="1254"/>
      <c r="R900" s="1254"/>
      <c r="S900" s="1254"/>
      <c r="T900" s="1254"/>
      <c r="U900" s="1254"/>
    </row>
    <row r="901" spans="7:21" ht="15.6">
      <c r="G901" s="1255"/>
      <c r="H901" s="1254"/>
      <c r="I901" s="1254"/>
      <c r="J901" s="1254"/>
      <c r="K901" s="1254"/>
      <c r="L901" s="1254"/>
      <c r="M901" s="1254"/>
      <c r="N901" s="1254"/>
      <c r="O901" s="1254"/>
      <c r="P901" s="1254"/>
      <c r="Q901" s="1254"/>
      <c r="R901" s="1254"/>
      <c r="S901" s="1254"/>
      <c r="T901" s="1254"/>
      <c r="U901" s="1254"/>
    </row>
    <row r="902" spans="7:21" ht="15.6">
      <c r="G902" s="1255"/>
      <c r="H902" s="1254"/>
      <c r="I902" s="1254"/>
      <c r="J902" s="1254"/>
      <c r="K902" s="1254"/>
      <c r="L902" s="1254"/>
      <c r="M902" s="1254"/>
      <c r="N902" s="1254"/>
      <c r="O902" s="1254"/>
      <c r="P902" s="1254"/>
      <c r="Q902" s="1254"/>
      <c r="R902" s="1254"/>
      <c r="S902" s="1254"/>
      <c r="T902" s="1254"/>
      <c r="U902" s="1254"/>
    </row>
    <row r="903" spans="7:21" ht="15.6">
      <c r="G903" s="1255"/>
      <c r="H903" s="1254"/>
      <c r="I903" s="1254"/>
      <c r="J903" s="1254"/>
      <c r="K903" s="1254"/>
      <c r="L903" s="1254"/>
      <c r="M903" s="1254"/>
      <c r="N903" s="1254"/>
      <c r="O903" s="1254"/>
      <c r="P903" s="1254"/>
      <c r="Q903" s="1254"/>
      <c r="R903" s="1254"/>
      <c r="S903" s="1254"/>
      <c r="T903" s="1254"/>
      <c r="U903" s="1254"/>
    </row>
    <row r="904" spans="7:21" ht="15.6">
      <c r="G904" s="1255"/>
      <c r="H904" s="1254"/>
      <c r="I904" s="1254"/>
      <c r="J904" s="1254"/>
      <c r="K904" s="1254"/>
      <c r="L904" s="1254"/>
      <c r="M904" s="1254"/>
      <c r="N904" s="1254"/>
      <c r="O904" s="1254"/>
      <c r="P904" s="1254"/>
      <c r="Q904" s="1254"/>
      <c r="R904" s="1254"/>
      <c r="S904" s="1254"/>
      <c r="T904" s="1254"/>
      <c r="U904" s="1254"/>
    </row>
    <row r="905" spans="7:21" ht="15.6">
      <c r="G905" s="1255"/>
      <c r="H905" s="1254"/>
      <c r="I905" s="1254"/>
      <c r="J905" s="1254"/>
      <c r="K905" s="1254"/>
      <c r="L905" s="1254"/>
      <c r="M905" s="1254"/>
      <c r="N905" s="1254"/>
      <c r="O905" s="1254"/>
      <c r="P905" s="1254"/>
      <c r="Q905" s="1254"/>
      <c r="R905" s="1254"/>
      <c r="S905" s="1254"/>
      <c r="T905" s="1254"/>
      <c r="U905" s="1254"/>
    </row>
    <row r="906" spans="7:21" ht="15.6">
      <c r="G906" s="1255"/>
      <c r="H906" s="1254"/>
      <c r="I906" s="1254"/>
      <c r="J906" s="1254"/>
      <c r="K906" s="1254"/>
      <c r="L906" s="1254"/>
      <c r="M906" s="1254"/>
      <c r="N906" s="1254"/>
      <c r="O906" s="1254"/>
      <c r="P906" s="1254"/>
      <c r="Q906" s="1254"/>
      <c r="R906" s="1254"/>
      <c r="S906" s="1254"/>
      <c r="T906" s="1254"/>
      <c r="U906" s="1254"/>
    </row>
    <row r="907" spans="7:21" ht="15.6">
      <c r="G907" s="1255"/>
      <c r="H907" s="1254"/>
      <c r="I907" s="1254"/>
      <c r="J907" s="1254"/>
      <c r="K907" s="1254"/>
      <c r="L907" s="1254"/>
      <c r="M907" s="1254"/>
      <c r="N907" s="1254"/>
      <c r="O907" s="1254"/>
      <c r="P907" s="1254"/>
      <c r="Q907" s="1254"/>
      <c r="R907" s="1254"/>
      <c r="S907" s="1254"/>
      <c r="T907" s="1254"/>
      <c r="U907" s="1254"/>
    </row>
    <row r="908" spans="7:21" ht="15.6">
      <c r="G908" s="1255"/>
      <c r="H908" s="1254"/>
      <c r="I908" s="1254"/>
      <c r="J908" s="1254"/>
      <c r="K908" s="1254"/>
      <c r="L908" s="1254"/>
      <c r="M908" s="1254"/>
      <c r="N908" s="1254"/>
      <c r="O908" s="1254"/>
      <c r="P908" s="1254"/>
      <c r="Q908" s="1254"/>
      <c r="R908" s="1254"/>
      <c r="S908" s="1254"/>
      <c r="T908" s="1254"/>
      <c r="U908" s="1254"/>
    </row>
    <row r="909" spans="7:21" ht="15.6">
      <c r="G909" s="1255"/>
      <c r="H909" s="1254"/>
      <c r="I909" s="1254"/>
      <c r="J909" s="1254"/>
      <c r="K909" s="1254"/>
      <c r="L909" s="1254"/>
      <c r="M909" s="1254"/>
      <c r="N909" s="1254"/>
      <c r="O909" s="1254"/>
      <c r="P909" s="1254"/>
      <c r="Q909" s="1254"/>
      <c r="R909" s="1254"/>
      <c r="S909" s="1254"/>
      <c r="T909" s="1254"/>
      <c r="U909" s="1254"/>
    </row>
    <row r="910" spans="7:21" ht="15.6">
      <c r="G910" s="1255"/>
      <c r="H910" s="1254"/>
      <c r="I910" s="1254"/>
      <c r="J910" s="1254"/>
      <c r="K910" s="1254"/>
      <c r="L910" s="1254"/>
      <c r="M910" s="1254"/>
      <c r="N910" s="1254"/>
      <c r="O910" s="1254"/>
      <c r="P910" s="1254"/>
      <c r="Q910" s="1254"/>
      <c r="R910" s="1254"/>
      <c r="S910" s="1254"/>
      <c r="T910" s="1254"/>
      <c r="U910" s="1254"/>
    </row>
    <row r="911" spans="7:21" ht="15.6">
      <c r="G911" s="1255"/>
      <c r="H911" s="1254"/>
      <c r="I911" s="1254"/>
      <c r="J911" s="1254"/>
      <c r="K911" s="1254"/>
      <c r="L911" s="1254"/>
      <c r="M911" s="1254"/>
      <c r="N911" s="1254"/>
      <c r="O911" s="1254"/>
      <c r="P911" s="1254"/>
      <c r="Q911" s="1254"/>
      <c r="R911" s="1254"/>
      <c r="S911" s="1254"/>
      <c r="T911" s="1254"/>
      <c r="U911" s="1254"/>
    </row>
    <row r="912" spans="7:21" ht="15.6">
      <c r="G912" s="1255"/>
      <c r="H912" s="1254"/>
      <c r="I912" s="1254"/>
      <c r="J912" s="1254"/>
      <c r="K912" s="1254"/>
      <c r="L912" s="1254"/>
      <c r="M912" s="1254"/>
      <c r="N912" s="1254"/>
      <c r="O912" s="1254"/>
      <c r="P912" s="1254"/>
      <c r="Q912" s="1254"/>
      <c r="R912" s="1254"/>
      <c r="S912" s="1254"/>
      <c r="T912" s="1254"/>
      <c r="U912" s="1254"/>
    </row>
    <row r="913" spans="7:21" ht="15.6">
      <c r="G913" s="1255"/>
      <c r="H913" s="1254"/>
      <c r="I913" s="1254"/>
      <c r="J913" s="1254"/>
      <c r="K913" s="1254"/>
      <c r="L913" s="1254"/>
      <c r="M913" s="1254"/>
      <c r="N913" s="1254"/>
      <c r="O913" s="1254"/>
      <c r="P913" s="1254"/>
      <c r="Q913" s="1254"/>
      <c r="R913" s="1254"/>
      <c r="S913" s="1254"/>
      <c r="T913" s="1254"/>
      <c r="U913" s="1254"/>
    </row>
    <row r="914" spans="7:21" ht="15.6">
      <c r="G914" s="1255"/>
      <c r="H914" s="1254"/>
      <c r="I914" s="1254"/>
      <c r="J914" s="1254"/>
      <c r="K914" s="1254"/>
      <c r="L914" s="1254"/>
      <c r="M914" s="1254"/>
      <c r="N914" s="1254"/>
      <c r="O914" s="1254"/>
      <c r="P914" s="1254"/>
      <c r="Q914" s="1254"/>
      <c r="R914" s="1254"/>
      <c r="S914" s="1254"/>
      <c r="T914" s="1254"/>
      <c r="U914" s="1254"/>
    </row>
    <row r="915" spans="7:21" ht="15.6">
      <c r="G915" s="1255"/>
      <c r="H915" s="1254"/>
      <c r="I915" s="1254"/>
      <c r="J915" s="1254"/>
      <c r="K915" s="1254"/>
      <c r="L915" s="1254"/>
      <c r="M915" s="1254"/>
      <c r="N915" s="1254"/>
      <c r="O915" s="1254"/>
      <c r="P915" s="1254"/>
      <c r="Q915" s="1254"/>
      <c r="R915" s="1254"/>
      <c r="S915" s="1254"/>
      <c r="T915" s="1254"/>
      <c r="U915" s="1254"/>
    </row>
    <row r="916" spans="7:21" ht="15.6">
      <c r="G916" s="1255"/>
      <c r="H916" s="1254"/>
      <c r="I916" s="1254"/>
      <c r="J916" s="1254"/>
      <c r="K916" s="1254"/>
      <c r="L916" s="1254"/>
      <c r="M916" s="1254"/>
      <c r="N916" s="1254"/>
      <c r="O916" s="1254"/>
      <c r="P916" s="1254"/>
      <c r="Q916" s="1254"/>
      <c r="R916" s="1254"/>
      <c r="S916" s="1254"/>
      <c r="T916" s="1254"/>
      <c r="U916" s="1254"/>
    </row>
    <row r="917" spans="7:21" ht="15.6">
      <c r="G917" s="1255"/>
      <c r="H917" s="1254"/>
      <c r="I917" s="1254"/>
      <c r="J917" s="1254"/>
      <c r="K917" s="1254"/>
      <c r="L917" s="1254"/>
      <c r="M917" s="1254"/>
      <c r="N917" s="1254"/>
      <c r="O917" s="1254"/>
      <c r="P917" s="1254"/>
      <c r="Q917" s="1254"/>
      <c r="R917" s="1254"/>
      <c r="S917" s="1254"/>
      <c r="T917" s="1254"/>
      <c r="U917" s="1254"/>
    </row>
    <row r="918" spans="7:21" ht="15.6">
      <c r="G918" s="1255"/>
      <c r="H918" s="1254"/>
      <c r="I918" s="1254"/>
      <c r="J918" s="1254"/>
      <c r="K918" s="1254"/>
      <c r="L918" s="1254"/>
      <c r="M918" s="1254"/>
      <c r="N918" s="1254"/>
      <c r="O918" s="1254"/>
      <c r="P918" s="1254"/>
      <c r="Q918" s="1254"/>
      <c r="R918" s="1254"/>
      <c r="S918" s="1254"/>
      <c r="T918" s="1254"/>
      <c r="U918" s="1254"/>
    </row>
    <row r="919" spans="7:21" ht="15.6">
      <c r="G919" s="1255"/>
      <c r="H919" s="1254"/>
      <c r="I919" s="1254"/>
      <c r="J919" s="1254"/>
      <c r="K919" s="1254"/>
      <c r="L919" s="1254"/>
      <c r="M919" s="1254"/>
      <c r="N919" s="1254"/>
      <c r="O919" s="1254"/>
      <c r="P919" s="1254"/>
      <c r="Q919" s="1254"/>
      <c r="R919" s="1254"/>
      <c r="S919" s="1254"/>
      <c r="T919" s="1254"/>
      <c r="U919" s="1254"/>
    </row>
    <row r="920" spans="7:21" ht="15.6">
      <c r="G920" s="1255"/>
      <c r="H920" s="1254"/>
      <c r="I920" s="1254"/>
      <c r="J920" s="1254"/>
      <c r="K920" s="1254"/>
      <c r="L920" s="1254"/>
      <c r="M920" s="1254"/>
      <c r="N920" s="1254"/>
      <c r="O920" s="1254"/>
      <c r="P920" s="1254"/>
      <c r="Q920" s="1254"/>
      <c r="R920" s="1254"/>
      <c r="S920" s="1254"/>
      <c r="T920" s="1254"/>
      <c r="U920" s="1254"/>
    </row>
    <row r="921" spans="7:21" ht="15.6">
      <c r="G921" s="1255"/>
      <c r="H921" s="1254"/>
      <c r="I921" s="1254"/>
      <c r="J921" s="1254"/>
      <c r="K921" s="1254"/>
      <c r="L921" s="1254"/>
      <c r="M921" s="1254"/>
      <c r="N921" s="1254"/>
      <c r="O921" s="1254"/>
      <c r="P921" s="1254"/>
      <c r="Q921" s="1254"/>
      <c r="R921" s="1254"/>
      <c r="S921" s="1254"/>
      <c r="T921" s="1254"/>
      <c r="U921" s="1254"/>
    </row>
    <row r="922" spans="7:21" ht="15.6">
      <c r="G922" s="1255"/>
      <c r="H922" s="1254"/>
      <c r="I922" s="1254"/>
      <c r="J922" s="1254"/>
      <c r="K922" s="1254"/>
      <c r="L922" s="1254"/>
      <c r="M922" s="1254"/>
      <c r="N922" s="1254"/>
      <c r="O922" s="1254"/>
      <c r="P922" s="1254"/>
      <c r="Q922" s="1254"/>
      <c r="R922" s="1254"/>
      <c r="S922" s="1254"/>
      <c r="T922" s="1254"/>
      <c r="U922" s="1254"/>
    </row>
    <row r="923" spans="7:21" ht="15.6">
      <c r="G923" s="1255"/>
      <c r="H923" s="1254"/>
      <c r="I923" s="1254"/>
      <c r="J923" s="1254"/>
      <c r="K923" s="1254"/>
      <c r="L923" s="1254"/>
      <c r="M923" s="1254"/>
      <c r="N923" s="1254"/>
      <c r="O923" s="1254"/>
      <c r="P923" s="1254"/>
      <c r="Q923" s="1254"/>
      <c r="R923" s="1254"/>
      <c r="S923" s="1254"/>
      <c r="T923" s="1254"/>
      <c r="U923" s="1254"/>
    </row>
    <row r="924" spans="7:21" ht="15.6">
      <c r="G924" s="1255"/>
      <c r="H924" s="1254"/>
      <c r="I924" s="1254"/>
      <c r="J924" s="1254"/>
      <c r="K924" s="1254"/>
      <c r="L924" s="1254"/>
      <c r="M924" s="1254"/>
      <c r="N924" s="1254"/>
      <c r="O924" s="1254"/>
      <c r="P924" s="1254"/>
      <c r="Q924" s="1254"/>
      <c r="R924" s="1254"/>
      <c r="S924" s="1254"/>
      <c r="T924" s="1254"/>
      <c r="U924" s="1254"/>
    </row>
    <row r="925" spans="7:21" ht="15.6">
      <c r="G925" s="1255"/>
      <c r="H925" s="1254"/>
      <c r="I925" s="1254"/>
      <c r="J925" s="1254"/>
      <c r="K925" s="1254"/>
      <c r="L925" s="1254"/>
      <c r="M925" s="1254"/>
      <c r="N925" s="1254"/>
      <c r="O925" s="1254"/>
      <c r="P925" s="1254"/>
      <c r="Q925" s="1254"/>
      <c r="R925" s="1254"/>
      <c r="S925" s="1254"/>
      <c r="T925" s="1254"/>
      <c r="U925" s="1254"/>
    </row>
    <row r="926" spans="7:21" ht="15.6">
      <c r="G926" s="1255"/>
      <c r="H926" s="1254"/>
      <c r="I926" s="1254"/>
      <c r="J926" s="1254"/>
      <c r="K926" s="1254"/>
      <c r="L926" s="1254"/>
      <c r="M926" s="1254"/>
      <c r="N926" s="1254"/>
      <c r="O926" s="1254"/>
      <c r="P926" s="1254"/>
      <c r="Q926" s="1254"/>
      <c r="R926" s="1254"/>
      <c r="S926" s="1254"/>
      <c r="T926" s="1254"/>
      <c r="U926" s="1254"/>
    </row>
    <row r="927" spans="7:21" ht="15.6">
      <c r="G927" s="1255"/>
      <c r="H927" s="1254"/>
      <c r="I927" s="1254"/>
      <c r="J927" s="1254"/>
      <c r="K927" s="1254"/>
      <c r="L927" s="1254"/>
      <c r="M927" s="1254"/>
      <c r="N927" s="1254"/>
      <c r="O927" s="1254"/>
      <c r="P927" s="1254"/>
      <c r="Q927" s="1254"/>
      <c r="R927" s="1254"/>
      <c r="S927" s="1254"/>
      <c r="T927" s="1254"/>
      <c r="U927" s="1254"/>
    </row>
    <row r="928" spans="7:21" ht="15.6">
      <c r="G928" s="1255"/>
      <c r="H928" s="1254"/>
      <c r="I928" s="1254"/>
      <c r="J928" s="1254"/>
      <c r="K928" s="1254"/>
      <c r="L928" s="1254"/>
      <c r="M928" s="1254"/>
      <c r="N928" s="1254"/>
      <c r="O928" s="1254"/>
      <c r="P928" s="1254"/>
      <c r="Q928" s="1254"/>
      <c r="R928" s="1254"/>
      <c r="S928" s="1254"/>
      <c r="T928" s="1254"/>
      <c r="U928" s="1254"/>
    </row>
    <row r="929" spans="7:21" ht="15.6">
      <c r="G929" s="1255"/>
      <c r="H929" s="1254"/>
      <c r="I929" s="1254"/>
      <c r="J929" s="1254"/>
      <c r="K929" s="1254"/>
      <c r="L929" s="1254"/>
      <c r="M929" s="1254"/>
      <c r="N929" s="1254"/>
      <c r="O929" s="1254"/>
      <c r="P929" s="1254"/>
      <c r="Q929" s="1254"/>
      <c r="R929" s="1254"/>
      <c r="S929" s="1254"/>
      <c r="T929" s="1254"/>
      <c r="U929" s="1254"/>
    </row>
    <row r="930" spans="7:21" ht="15.6">
      <c r="G930" s="1255"/>
      <c r="H930" s="1254"/>
      <c r="I930" s="1254"/>
      <c r="J930" s="1254"/>
      <c r="K930" s="1254"/>
      <c r="L930" s="1254"/>
      <c r="M930" s="1254"/>
      <c r="N930" s="1254"/>
      <c r="O930" s="1254"/>
      <c r="P930" s="1254"/>
      <c r="Q930" s="1254"/>
      <c r="R930" s="1254"/>
      <c r="S930" s="1254"/>
      <c r="T930" s="1254"/>
      <c r="U930" s="1254"/>
    </row>
    <row r="931" spans="7:21" ht="15.6">
      <c r="G931" s="1255"/>
      <c r="H931" s="1254"/>
      <c r="I931" s="1254"/>
      <c r="J931" s="1254"/>
      <c r="K931" s="1254"/>
      <c r="L931" s="1254"/>
      <c r="M931" s="1254"/>
      <c r="N931" s="1254"/>
      <c r="O931" s="1254"/>
      <c r="P931" s="1254"/>
      <c r="Q931" s="1254"/>
      <c r="R931" s="1254"/>
      <c r="S931" s="1254"/>
      <c r="T931" s="1254"/>
      <c r="U931" s="1254"/>
    </row>
    <row r="932" spans="7:21" ht="15.6">
      <c r="G932" s="1255"/>
      <c r="H932" s="1254"/>
      <c r="I932" s="1254"/>
      <c r="J932" s="1254"/>
      <c r="K932" s="1254"/>
      <c r="L932" s="1254"/>
      <c r="M932" s="1254"/>
      <c r="N932" s="1254"/>
      <c r="O932" s="1254"/>
      <c r="P932" s="1254"/>
      <c r="Q932" s="1254"/>
      <c r="R932" s="1254"/>
      <c r="S932" s="1254"/>
      <c r="T932" s="1254"/>
      <c r="U932" s="1254"/>
    </row>
    <row r="933" spans="7:21" ht="15.6">
      <c r="G933" s="1255"/>
      <c r="H933" s="1254"/>
      <c r="I933" s="1254"/>
      <c r="J933" s="1254"/>
      <c r="K933" s="1254"/>
      <c r="L933" s="1254"/>
      <c r="M933" s="1254"/>
      <c r="N933" s="1254"/>
      <c r="O933" s="1254"/>
      <c r="P933" s="1254"/>
      <c r="Q933" s="1254"/>
      <c r="R933" s="1254"/>
      <c r="S933" s="1254"/>
      <c r="T933" s="1254"/>
      <c r="U933" s="1254"/>
    </row>
    <row r="934" spans="7:21" ht="15.6">
      <c r="G934" s="1255"/>
      <c r="H934" s="1254"/>
      <c r="I934" s="1254"/>
      <c r="J934" s="1254"/>
      <c r="K934" s="1254"/>
      <c r="L934" s="1254"/>
      <c r="M934" s="1254"/>
      <c r="N934" s="1254"/>
      <c r="O934" s="1254"/>
      <c r="P934" s="1254"/>
      <c r="Q934" s="1254"/>
      <c r="R934" s="1254"/>
      <c r="S934" s="1254"/>
      <c r="T934" s="1254"/>
      <c r="U934" s="1254"/>
    </row>
    <row r="935" spans="7:21" ht="15.6">
      <c r="G935" s="1255"/>
      <c r="H935" s="1254"/>
      <c r="I935" s="1254"/>
      <c r="J935" s="1254"/>
      <c r="K935" s="1254"/>
      <c r="L935" s="1254"/>
      <c r="M935" s="1254"/>
      <c r="N935" s="1254"/>
      <c r="O935" s="1254"/>
      <c r="P935" s="1254"/>
      <c r="Q935" s="1254"/>
      <c r="R935" s="1254"/>
      <c r="S935" s="1254"/>
      <c r="T935" s="1254"/>
      <c r="U935" s="1254"/>
    </row>
    <row r="936" spans="7:21" ht="15.6">
      <c r="G936" s="1255"/>
      <c r="H936" s="1254"/>
      <c r="I936" s="1254"/>
      <c r="J936" s="1254"/>
      <c r="K936" s="1254"/>
      <c r="L936" s="1254"/>
      <c r="M936" s="1254"/>
      <c r="N936" s="1254"/>
      <c r="O936" s="1254"/>
      <c r="P936" s="1254"/>
      <c r="Q936" s="1254"/>
      <c r="R936" s="1254"/>
      <c r="S936" s="1254"/>
      <c r="T936" s="1254"/>
      <c r="U936" s="1254"/>
    </row>
    <row r="937" spans="7:21" ht="15.6">
      <c r="G937" s="1255"/>
      <c r="H937" s="1254"/>
      <c r="I937" s="1254"/>
      <c r="J937" s="1254"/>
      <c r="K937" s="1254"/>
      <c r="L937" s="1254"/>
      <c r="M937" s="1254"/>
      <c r="N937" s="1254"/>
      <c r="O937" s="1254"/>
      <c r="P937" s="1254"/>
      <c r="Q937" s="1254"/>
      <c r="R937" s="1254"/>
      <c r="S937" s="1254"/>
      <c r="T937" s="1254"/>
      <c r="U937" s="1254"/>
    </row>
    <row r="938" spans="7:21" ht="15.6">
      <c r="G938" s="1255"/>
      <c r="H938" s="1254"/>
      <c r="I938" s="1254"/>
      <c r="J938" s="1254"/>
      <c r="K938" s="1254"/>
      <c r="L938" s="1254"/>
      <c r="M938" s="1254"/>
      <c r="N938" s="1254"/>
      <c r="O938" s="1254"/>
      <c r="P938" s="1254"/>
      <c r="Q938" s="1254"/>
      <c r="R938" s="1254"/>
      <c r="S938" s="1254"/>
      <c r="T938" s="1254"/>
      <c r="U938" s="1254"/>
    </row>
    <row r="939" spans="7:21" ht="15.6">
      <c r="G939" s="1255"/>
      <c r="H939" s="1254"/>
      <c r="I939" s="1254"/>
      <c r="J939" s="1254"/>
      <c r="K939" s="1254"/>
      <c r="L939" s="1254"/>
      <c r="M939" s="1254"/>
      <c r="N939" s="1254"/>
      <c r="O939" s="1254"/>
      <c r="P939" s="1254"/>
      <c r="Q939" s="1254"/>
      <c r="R939" s="1254"/>
      <c r="S939" s="1254"/>
      <c r="T939" s="1254"/>
      <c r="U939" s="1254"/>
    </row>
    <row r="940" spans="7:21" ht="15.6">
      <c r="G940" s="1255"/>
      <c r="H940" s="1254"/>
      <c r="I940" s="1254"/>
      <c r="J940" s="1254"/>
      <c r="K940" s="1254"/>
      <c r="L940" s="1254"/>
      <c r="M940" s="1254"/>
      <c r="N940" s="1254"/>
      <c r="O940" s="1254"/>
      <c r="P940" s="1254"/>
      <c r="Q940" s="1254"/>
      <c r="R940" s="1254"/>
      <c r="S940" s="1254"/>
      <c r="T940" s="1254"/>
      <c r="U940" s="1254"/>
    </row>
    <row r="941" spans="7:21" ht="15.6">
      <c r="G941" s="1255"/>
      <c r="H941" s="1254"/>
      <c r="I941" s="1254"/>
      <c r="J941" s="1254"/>
      <c r="K941" s="1254"/>
      <c r="L941" s="1254"/>
      <c r="M941" s="1254"/>
      <c r="N941" s="1254"/>
      <c r="O941" s="1254"/>
      <c r="P941" s="1254"/>
      <c r="Q941" s="1254"/>
      <c r="R941" s="1254"/>
      <c r="S941" s="1254"/>
      <c r="T941" s="1254"/>
      <c r="U941" s="1254"/>
    </row>
    <row r="942" spans="7:21" ht="15.6">
      <c r="G942" s="1255"/>
      <c r="H942" s="1254"/>
      <c r="I942" s="1254"/>
      <c r="J942" s="1254"/>
      <c r="K942" s="1254"/>
      <c r="L942" s="1254"/>
      <c r="M942" s="1254"/>
      <c r="N942" s="1254"/>
      <c r="O942" s="1254"/>
      <c r="P942" s="1254"/>
      <c r="Q942" s="1254"/>
      <c r="R942" s="1254"/>
      <c r="S942" s="1254"/>
      <c r="T942" s="1254"/>
      <c r="U942" s="1254"/>
    </row>
    <row r="943" spans="7:21" ht="15.6">
      <c r="G943" s="1255"/>
      <c r="H943" s="1254"/>
      <c r="I943" s="1254"/>
      <c r="J943" s="1254"/>
      <c r="K943" s="1254"/>
      <c r="L943" s="1254"/>
      <c r="M943" s="1254"/>
      <c r="N943" s="1254"/>
      <c r="O943" s="1254"/>
      <c r="P943" s="1254"/>
      <c r="Q943" s="1254"/>
      <c r="R943" s="1254"/>
      <c r="S943" s="1254"/>
      <c r="T943" s="1254"/>
      <c r="U943" s="1254"/>
    </row>
    <row r="944" spans="7:21" ht="15.6">
      <c r="G944" s="1255"/>
      <c r="H944" s="1254"/>
      <c r="I944" s="1254"/>
      <c r="J944" s="1254"/>
      <c r="K944" s="1254"/>
      <c r="L944" s="1254"/>
      <c r="M944" s="1254"/>
      <c r="N944" s="1254"/>
      <c r="O944" s="1254"/>
      <c r="P944" s="1254"/>
      <c r="Q944" s="1254"/>
      <c r="R944" s="1254"/>
      <c r="S944" s="1254"/>
      <c r="T944" s="1254"/>
      <c r="U944" s="1254"/>
    </row>
    <row r="945" spans="7:21" ht="15.6">
      <c r="G945" s="1255"/>
      <c r="H945" s="1254"/>
      <c r="I945" s="1254"/>
      <c r="J945" s="1254"/>
      <c r="K945" s="1254"/>
      <c r="L945" s="1254"/>
      <c r="M945" s="1254"/>
      <c r="N945" s="1254"/>
      <c r="O945" s="1254"/>
      <c r="P945" s="1254"/>
      <c r="Q945" s="1254"/>
      <c r="R945" s="1254"/>
      <c r="S945" s="1254"/>
      <c r="T945" s="1254"/>
      <c r="U945" s="1254"/>
    </row>
    <row r="946" spans="7:21" ht="15.6">
      <c r="G946" s="1255"/>
      <c r="H946" s="1254"/>
      <c r="I946" s="1254"/>
      <c r="J946" s="1254"/>
      <c r="K946" s="1254"/>
      <c r="L946" s="1254"/>
      <c r="M946" s="1254"/>
      <c r="N946" s="1254"/>
      <c r="O946" s="1254"/>
      <c r="P946" s="1254"/>
      <c r="Q946" s="1254"/>
      <c r="R946" s="1254"/>
      <c r="S946" s="1254"/>
      <c r="T946" s="1254"/>
      <c r="U946" s="1254"/>
    </row>
    <row r="947" spans="7:21" ht="15.6">
      <c r="G947" s="1255"/>
      <c r="H947" s="1254"/>
      <c r="I947" s="1254"/>
      <c r="J947" s="1254"/>
      <c r="K947" s="1254"/>
      <c r="L947" s="1254"/>
      <c r="M947" s="1254"/>
      <c r="N947" s="1254"/>
      <c r="O947" s="1254"/>
      <c r="P947" s="1254"/>
      <c r="Q947" s="1254"/>
      <c r="R947" s="1254"/>
      <c r="S947" s="1254"/>
      <c r="T947" s="1254"/>
      <c r="U947" s="1254"/>
    </row>
    <row r="948" spans="7:21" ht="15.6">
      <c r="G948" s="1255"/>
      <c r="H948" s="1254"/>
      <c r="I948" s="1254"/>
      <c r="J948" s="1254"/>
      <c r="K948" s="1254"/>
      <c r="L948" s="1254"/>
      <c r="M948" s="1254"/>
      <c r="N948" s="1254"/>
      <c r="O948" s="1254"/>
      <c r="P948" s="1254"/>
      <c r="Q948" s="1254"/>
      <c r="R948" s="1254"/>
      <c r="S948" s="1254"/>
      <c r="T948" s="1254"/>
      <c r="U948" s="1254"/>
    </row>
    <row r="949" spans="7:21" ht="15.6">
      <c r="G949" s="1255"/>
      <c r="H949" s="1254"/>
      <c r="I949" s="1254"/>
      <c r="J949" s="1254"/>
      <c r="K949" s="1254"/>
      <c r="L949" s="1254"/>
      <c r="M949" s="1254"/>
      <c r="N949" s="1254"/>
      <c r="O949" s="1254"/>
      <c r="P949" s="1254"/>
      <c r="Q949" s="1254"/>
      <c r="R949" s="1254"/>
      <c r="S949" s="1254"/>
      <c r="T949" s="1254"/>
      <c r="U949" s="1254"/>
    </row>
    <row r="950" spans="7:21" ht="15.6">
      <c r="G950" s="1255"/>
      <c r="H950" s="1254"/>
      <c r="I950" s="1254"/>
      <c r="J950" s="1254"/>
      <c r="K950" s="1254"/>
      <c r="L950" s="1254"/>
      <c r="M950" s="1254"/>
      <c r="N950" s="1254"/>
      <c r="O950" s="1254"/>
      <c r="P950" s="1254"/>
      <c r="Q950" s="1254"/>
      <c r="R950" s="1254"/>
      <c r="S950" s="1254"/>
      <c r="T950" s="1254"/>
      <c r="U950" s="1254"/>
    </row>
    <row r="951" spans="7:21" ht="15.6">
      <c r="G951" s="1255"/>
      <c r="H951" s="1254"/>
      <c r="I951" s="1254"/>
      <c r="J951" s="1254"/>
      <c r="K951" s="1254"/>
      <c r="L951" s="1254"/>
      <c r="M951" s="1254"/>
      <c r="N951" s="1254"/>
      <c r="O951" s="1254"/>
      <c r="P951" s="1254"/>
      <c r="Q951" s="1254"/>
      <c r="R951" s="1254"/>
      <c r="S951" s="1254"/>
      <c r="T951" s="1254"/>
      <c r="U951" s="1254"/>
    </row>
    <row r="952" spans="7:21" ht="15.6">
      <c r="G952" s="1255"/>
      <c r="H952" s="1254"/>
      <c r="I952" s="1254"/>
      <c r="J952" s="1254"/>
      <c r="K952" s="1254"/>
      <c r="L952" s="1254"/>
      <c r="M952" s="1254"/>
      <c r="N952" s="1254"/>
      <c r="O952" s="1254"/>
      <c r="P952" s="1254"/>
      <c r="Q952" s="1254"/>
      <c r="R952" s="1254"/>
      <c r="S952" s="1254"/>
      <c r="T952" s="1254"/>
      <c r="U952" s="1254"/>
    </row>
    <row r="953" spans="7:21" ht="15.6">
      <c r="G953" s="1255"/>
      <c r="H953" s="1254"/>
      <c r="I953" s="1254"/>
      <c r="J953" s="1254"/>
      <c r="K953" s="1254"/>
      <c r="L953" s="1254"/>
      <c r="M953" s="1254"/>
      <c r="N953" s="1254"/>
      <c r="O953" s="1254"/>
      <c r="P953" s="1254"/>
      <c r="Q953" s="1254"/>
      <c r="R953" s="1254"/>
      <c r="S953" s="1254"/>
      <c r="T953" s="1254"/>
      <c r="U953" s="1254"/>
    </row>
    <row r="954" spans="7:21" ht="15.6">
      <c r="G954" s="1255"/>
      <c r="H954" s="1254"/>
      <c r="I954" s="1254"/>
      <c r="J954" s="1254"/>
      <c r="K954" s="1254"/>
      <c r="L954" s="1254"/>
      <c r="M954" s="1254"/>
      <c r="N954" s="1254"/>
      <c r="O954" s="1254"/>
      <c r="P954" s="1254"/>
      <c r="Q954" s="1254"/>
      <c r="R954" s="1254"/>
      <c r="S954" s="1254"/>
      <c r="T954" s="1254"/>
      <c r="U954" s="1254"/>
    </row>
    <row r="955" spans="7:21" ht="15.6">
      <c r="G955" s="1255"/>
      <c r="H955" s="1254"/>
      <c r="I955" s="1254"/>
      <c r="J955" s="1254"/>
      <c r="K955" s="1254"/>
      <c r="L955" s="1254"/>
      <c r="M955" s="1254"/>
      <c r="N955" s="1254"/>
      <c r="O955" s="1254"/>
      <c r="P955" s="1254"/>
      <c r="Q955" s="1254"/>
      <c r="R955" s="1254"/>
      <c r="S955" s="1254"/>
      <c r="T955" s="1254"/>
      <c r="U955" s="1254"/>
    </row>
    <row r="956" spans="7:21" ht="15.6">
      <c r="G956" s="1255"/>
      <c r="H956" s="1254"/>
      <c r="I956" s="1254"/>
      <c r="J956" s="1254"/>
      <c r="K956" s="1254"/>
      <c r="L956" s="1254"/>
      <c r="M956" s="1254"/>
      <c r="N956" s="1254"/>
      <c r="O956" s="1254"/>
      <c r="P956" s="1254"/>
      <c r="Q956" s="1254"/>
      <c r="R956" s="1254"/>
      <c r="S956" s="1254"/>
      <c r="T956" s="1254"/>
      <c r="U956" s="1254"/>
    </row>
    <row r="957" spans="7:21" ht="15.6">
      <c r="G957" s="1255"/>
      <c r="H957" s="1254"/>
      <c r="I957" s="1254"/>
      <c r="J957" s="1254"/>
      <c r="K957" s="1254"/>
      <c r="L957" s="1254"/>
      <c r="M957" s="1254"/>
      <c r="N957" s="1254"/>
      <c r="O957" s="1254"/>
      <c r="P957" s="1254"/>
      <c r="Q957" s="1254"/>
      <c r="R957" s="1254"/>
      <c r="S957" s="1254"/>
      <c r="T957" s="1254"/>
      <c r="U957" s="1254"/>
    </row>
    <row r="958" spans="7:21" ht="15.6">
      <c r="G958" s="1255"/>
      <c r="H958" s="1254"/>
      <c r="I958" s="1254"/>
      <c r="J958" s="1254"/>
      <c r="K958" s="1254"/>
      <c r="L958" s="1254"/>
      <c r="M958" s="1254"/>
      <c r="N958" s="1254"/>
      <c r="O958" s="1254"/>
      <c r="P958" s="1254"/>
      <c r="Q958" s="1254"/>
      <c r="R958" s="1254"/>
      <c r="S958" s="1254"/>
      <c r="T958" s="1254"/>
      <c r="U958" s="1254"/>
    </row>
    <row r="959" spans="7:21" ht="15.6">
      <c r="G959" s="1255"/>
      <c r="H959" s="1254"/>
      <c r="I959" s="1254"/>
      <c r="J959" s="1254"/>
      <c r="K959" s="1254"/>
      <c r="L959" s="1254"/>
      <c r="M959" s="1254"/>
      <c r="N959" s="1254"/>
      <c r="O959" s="1254"/>
      <c r="P959" s="1254"/>
      <c r="Q959" s="1254"/>
      <c r="R959" s="1254"/>
      <c r="S959" s="1254"/>
      <c r="T959" s="1254"/>
      <c r="U959" s="1254"/>
    </row>
    <row r="960" spans="7:21" ht="15.6">
      <c r="G960" s="1255"/>
      <c r="H960" s="1254"/>
      <c r="I960" s="1254"/>
      <c r="J960" s="1254"/>
      <c r="K960" s="1254"/>
      <c r="L960" s="1254"/>
      <c r="M960" s="1254"/>
      <c r="N960" s="1254"/>
      <c r="O960" s="1254"/>
      <c r="P960" s="1254"/>
      <c r="Q960" s="1254"/>
      <c r="R960" s="1254"/>
      <c r="S960" s="1254"/>
      <c r="T960" s="1254"/>
      <c r="U960" s="1254"/>
    </row>
    <row r="961" spans="7:21" ht="15.6">
      <c r="G961" s="1255"/>
      <c r="H961" s="1254"/>
      <c r="I961" s="1254"/>
      <c r="J961" s="1254"/>
      <c r="K961" s="1254"/>
      <c r="L961" s="1254"/>
      <c r="M961" s="1254"/>
      <c r="N961" s="1254"/>
      <c r="O961" s="1254"/>
      <c r="P961" s="1254"/>
      <c r="Q961" s="1254"/>
      <c r="R961" s="1254"/>
      <c r="S961" s="1254"/>
      <c r="T961" s="1254"/>
      <c r="U961" s="1254"/>
    </row>
    <row r="962" spans="7:21" ht="15.6">
      <c r="G962" s="1255"/>
      <c r="H962" s="1254"/>
      <c r="I962" s="1254"/>
      <c r="J962" s="1254"/>
      <c r="K962" s="1254"/>
      <c r="L962" s="1254"/>
      <c r="M962" s="1254"/>
      <c r="N962" s="1254"/>
      <c r="O962" s="1254"/>
      <c r="P962" s="1254"/>
      <c r="Q962" s="1254"/>
      <c r="R962" s="1254"/>
      <c r="S962" s="1254"/>
      <c r="T962" s="1254"/>
      <c r="U962" s="1254"/>
    </row>
    <row r="963" spans="7:21" ht="15.6">
      <c r="G963" s="1255"/>
      <c r="H963" s="1254"/>
      <c r="I963" s="1254"/>
      <c r="J963" s="1254"/>
      <c r="K963" s="1254"/>
      <c r="L963" s="1254"/>
      <c r="M963" s="1254"/>
      <c r="N963" s="1254"/>
      <c r="O963" s="1254"/>
      <c r="P963" s="1254"/>
      <c r="Q963" s="1254"/>
      <c r="R963" s="1254"/>
      <c r="S963" s="1254"/>
      <c r="T963" s="1254"/>
      <c r="U963" s="1254"/>
    </row>
    <row r="964" spans="7:21" ht="15.6">
      <c r="G964" s="1255"/>
      <c r="H964" s="1254"/>
      <c r="I964" s="1254"/>
      <c r="J964" s="1254"/>
      <c r="K964" s="1254"/>
      <c r="L964" s="1254"/>
      <c r="M964" s="1254"/>
      <c r="N964" s="1254"/>
      <c r="O964" s="1254"/>
      <c r="P964" s="1254"/>
      <c r="Q964" s="1254"/>
      <c r="R964" s="1254"/>
      <c r="S964" s="1254"/>
      <c r="T964" s="1254"/>
      <c r="U964" s="1254"/>
    </row>
    <row r="965" spans="7:21" ht="15.6">
      <c r="G965" s="1255"/>
      <c r="H965" s="1254"/>
      <c r="I965" s="1254"/>
      <c r="J965" s="1254"/>
      <c r="K965" s="1254"/>
      <c r="L965" s="1254"/>
      <c r="M965" s="1254"/>
      <c r="N965" s="1254"/>
      <c r="O965" s="1254"/>
      <c r="P965" s="1254"/>
      <c r="Q965" s="1254"/>
      <c r="R965" s="1254"/>
      <c r="S965" s="1254"/>
      <c r="T965" s="1254"/>
      <c r="U965" s="1254"/>
    </row>
    <row r="966" spans="7:21" ht="15.6">
      <c r="G966" s="1255"/>
      <c r="H966" s="1254"/>
      <c r="I966" s="1254"/>
      <c r="J966" s="1254"/>
      <c r="K966" s="1254"/>
      <c r="L966" s="1254"/>
      <c r="M966" s="1254"/>
      <c r="N966" s="1254"/>
      <c r="O966" s="1254"/>
      <c r="P966" s="1254"/>
      <c r="Q966" s="1254"/>
      <c r="R966" s="1254"/>
      <c r="S966" s="1254"/>
      <c r="T966" s="1254"/>
      <c r="U966" s="1254"/>
    </row>
    <row r="967" spans="7:21" ht="15.6">
      <c r="G967" s="1255"/>
      <c r="H967" s="1254"/>
      <c r="I967" s="1254"/>
      <c r="J967" s="1254"/>
      <c r="K967" s="1254"/>
      <c r="L967" s="1254"/>
      <c r="M967" s="1254"/>
      <c r="N967" s="1254"/>
      <c r="O967" s="1254"/>
      <c r="P967" s="1254"/>
      <c r="Q967" s="1254"/>
      <c r="R967" s="1254"/>
      <c r="S967" s="1254"/>
      <c r="T967" s="1254"/>
      <c r="U967" s="1254"/>
    </row>
    <row r="968" spans="7:21" ht="15.6">
      <c r="G968" s="1255"/>
      <c r="H968" s="1254"/>
      <c r="I968" s="1254"/>
      <c r="J968" s="1254"/>
      <c r="K968" s="1254"/>
      <c r="L968" s="1254"/>
      <c r="M968" s="1254"/>
      <c r="N968" s="1254"/>
      <c r="O968" s="1254"/>
      <c r="P968" s="1254"/>
      <c r="Q968" s="1254"/>
      <c r="R968" s="1254"/>
      <c r="S968" s="1254"/>
      <c r="T968" s="1254"/>
      <c r="U968" s="1254"/>
    </row>
    <row r="969" spans="7:21" ht="15.6">
      <c r="G969" s="1255"/>
      <c r="H969" s="1254"/>
      <c r="I969" s="1254"/>
      <c r="J969" s="1254"/>
      <c r="K969" s="1254"/>
      <c r="L969" s="1254"/>
      <c r="M969" s="1254"/>
      <c r="N969" s="1254"/>
      <c r="O969" s="1254"/>
      <c r="P969" s="1254"/>
      <c r="Q969" s="1254"/>
      <c r="R969" s="1254"/>
      <c r="S969" s="1254"/>
      <c r="T969" s="1254"/>
      <c r="U969" s="1254"/>
    </row>
    <row r="970" spans="7:21" ht="15.6">
      <c r="G970" s="1255"/>
      <c r="H970" s="1254"/>
      <c r="I970" s="1254"/>
      <c r="J970" s="1254"/>
      <c r="K970" s="1254"/>
      <c r="L970" s="1254"/>
      <c r="M970" s="1254"/>
      <c r="N970" s="1254"/>
      <c r="O970" s="1254"/>
      <c r="P970" s="1254"/>
      <c r="Q970" s="1254"/>
      <c r="R970" s="1254"/>
      <c r="S970" s="1254"/>
      <c r="T970" s="1254"/>
      <c r="U970" s="1254"/>
    </row>
    <row r="971" spans="7:21" ht="15.6">
      <c r="G971" s="1255"/>
      <c r="H971" s="1254"/>
      <c r="I971" s="1254"/>
      <c r="J971" s="1254"/>
      <c r="K971" s="1254"/>
      <c r="L971" s="1254"/>
      <c r="M971" s="1254"/>
      <c r="N971" s="1254"/>
      <c r="O971" s="1254"/>
      <c r="P971" s="1254"/>
      <c r="Q971" s="1254"/>
      <c r="R971" s="1254"/>
      <c r="S971" s="1254"/>
      <c r="T971" s="1254"/>
      <c r="U971" s="1254"/>
    </row>
    <row r="972" spans="7:21" ht="15.6">
      <c r="G972" s="1255"/>
      <c r="H972" s="1254"/>
      <c r="I972" s="1254"/>
      <c r="J972" s="1254"/>
      <c r="K972" s="1254"/>
      <c r="L972" s="1254"/>
      <c r="M972" s="1254"/>
      <c r="N972" s="1254"/>
      <c r="O972" s="1254"/>
      <c r="P972" s="1254"/>
      <c r="Q972" s="1254"/>
      <c r="R972" s="1254"/>
      <c r="S972" s="1254"/>
      <c r="T972" s="1254"/>
      <c r="U972" s="1254"/>
    </row>
    <row r="973" spans="7:21" ht="15.6">
      <c r="G973" s="1255"/>
      <c r="H973" s="1254"/>
      <c r="I973" s="1254"/>
      <c r="J973" s="1254"/>
      <c r="K973" s="1254"/>
      <c r="L973" s="1254"/>
      <c r="M973" s="1254"/>
      <c r="N973" s="1254"/>
      <c r="O973" s="1254"/>
      <c r="P973" s="1254"/>
      <c r="Q973" s="1254"/>
      <c r="R973" s="1254"/>
      <c r="S973" s="1254"/>
      <c r="T973" s="1254"/>
      <c r="U973" s="1254"/>
    </row>
    <row r="974" spans="7:21" ht="15.6">
      <c r="G974" s="1255"/>
      <c r="H974" s="1254"/>
      <c r="I974" s="1254"/>
      <c r="J974" s="1254"/>
      <c r="K974" s="1254"/>
      <c r="L974" s="1254"/>
      <c r="M974" s="1254"/>
      <c r="N974" s="1254"/>
      <c r="O974" s="1254"/>
      <c r="P974" s="1254"/>
      <c r="Q974" s="1254"/>
      <c r="R974" s="1254"/>
      <c r="S974" s="1254"/>
      <c r="T974" s="1254"/>
      <c r="U974" s="1254"/>
    </row>
    <row r="975" spans="7:21" ht="15.6">
      <c r="G975" s="1255"/>
      <c r="H975" s="1254"/>
      <c r="I975" s="1254"/>
      <c r="J975" s="1254"/>
      <c r="K975" s="1254"/>
      <c r="L975" s="1254"/>
      <c r="M975" s="1254"/>
      <c r="N975" s="1254"/>
      <c r="O975" s="1254"/>
      <c r="P975" s="1254"/>
      <c r="Q975" s="1254"/>
      <c r="R975" s="1254"/>
      <c r="S975" s="1254"/>
      <c r="T975" s="1254"/>
      <c r="U975" s="1254"/>
    </row>
    <row r="976" spans="7:21" ht="15.6">
      <c r="G976" s="1255"/>
      <c r="H976" s="1254"/>
      <c r="I976" s="1254"/>
      <c r="J976" s="1254"/>
      <c r="K976" s="1254"/>
      <c r="L976" s="1254"/>
      <c r="M976" s="1254"/>
      <c r="N976" s="1254"/>
      <c r="O976" s="1254"/>
      <c r="P976" s="1254"/>
      <c r="Q976" s="1254"/>
      <c r="R976" s="1254"/>
      <c r="S976" s="1254"/>
      <c r="T976" s="1254"/>
      <c r="U976" s="1254"/>
    </row>
    <row r="977" spans="7:21" ht="15.6">
      <c r="G977" s="1255"/>
      <c r="H977" s="1254"/>
      <c r="I977" s="1254"/>
      <c r="J977" s="1254"/>
      <c r="K977" s="1254"/>
      <c r="L977" s="1254"/>
      <c r="M977" s="1254"/>
      <c r="N977" s="1254"/>
      <c r="O977" s="1254"/>
      <c r="P977" s="1254"/>
      <c r="Q977" s="1254"/>
      <c r="R977" s="1254"/>
      <c r="S977" s="1254"/>
      <c r="T977" s="1254"/>
      <c r="U977" s="1254"/>
    </row>
    <row r="978" spans="7:21" ht="15.6">
      <c r="G978" s="1255"/>
      <c r="H978" s="1254"/>
      <c r="I978" s="1254"/>
      <c r="J978" s="1254"/>
      <c r="K978" s="1254"/>
      <c r="L978" s="1254"/>
      <c r="M978" s="1254"/>
      <c r="N978" s="1254"/>
      <c r="O978" s="1254"/>
      <c r="P978" s="1254"/>
      <c r="Q978" s="1254"/>
      <c r="R978" s="1254"/>
      <c r="S978" s="1254"/>
      <c r="T978" s="1254"/>
      <c r="U978" s="1254"/>
    </row>
    <row r="979" spans="7:21" ht="15.6">
      <c r="G979" s="1255"/>
      <c r="H979" s="1254"/>
      <c r="I979" s="1254"/>
      <c r="J979" s="1254"/>
      <c r="K979" s="1254"/>
      <c r="L979" s="1254"/>
      <c r="M979" s="1254"/>
      <c r="N979" s="1254"/>
      <c r="O979" s="1254"/>
      <c r="P979" s="1254"/>
      <c r="Q979" s="1254"/>
      <c r="R979" s="1254"/>
      <c r="S979" s="1254"/>
      <c r="T979" s="1254"/>
      <c r="U979" s="1254"/>
    </row>
    <row r="980" spans="7:21" ht="15.6">
      <c r="G980" s="1255"/>
      <c r="H980" s="1254"/>
      <c r="I980" s="1254"/>
      <c r="J980" s="1254"/>
      <c r="K980" s="1254"/>
      <c r="L980" s="1254"/>
      <c r="M980" s="1254"/>
      <c r="N980" s="1254"/>
      <c r="O980" s="1254"/>
      <c r="P980" s="1254"/>
      <c r="Q980" s="1254"/>
      <c r="R980" s="1254"/>
      <c r="S980" s="1254"/>
      <c r="T980" s="1254"/>
      <c r="U980" s="1254"/>
    </row>
    <row r="981" spans="7:21" ht="15.6">
      <c r="G981" s="1255"/>
      <c r="H981" s="1254"/>
      <c r="I981" s="1254"/>
      <c r="J981" s="1254"/>
      <c r="K981" s="1254"/>
      <c r="L981" s="1254"/>
      <c r="M981" s="1254"/>
      <c r="N981" s="1254"/>
      <c r="O981" s="1254"/>
      <c r="P981" s="1254"/>
      <c r="Q981" s="1254"/>
      <c r="R981" s="1254"/>
      <c r="S981" s="1254"/>
      <c r="T981" s="1254"/>
      <c r="U981" s="1254"/>
    </row>
    <row r="982" spans="7:21" ht="15.6">
      <c r="G982" s="1255"/>
      <c r="H982" s="1254"/>
      <c r="I982" s="1254"/>
      <c r="J982" s="1254"/>
      <c r="K982" s="1254"/>
      <c r="L982" s="1254"/>
      <c r="M982" s="1254"/>
      <c r="N982" s="1254"/>
      <c r="O982" s="1254"/>
      <c r="P982" s="1254"/>
      <c r="Q982" s="1254"/>
      <c r="R982" s="1254"/>
      <c r="S982" s="1254"/>
      <c r="T982" s="1254"/>
      <c r="U982" s="1254"/>
    </row>
    <row r="983" spans="7:21" ht="15.6">
      <c r="G983" s="1255"/>
      <c r="H983" s="1254"/>
      <c r="I983" s="1254"/>
      <c r="J983" s="1254"/>
      <c r="K983" s="1254"/>
      <c r="L983" s="1254"/>
      <c r="M983" s="1254"/>
      <c r="N983" s="1254"/>
      <c r="O983" s="1254"/>
      <c r="P983" s="1254"/>
      <c r="Q983" s="1254"/>
      <c r="R983" s="1254"/>
      <c r="S983" s="1254"/>
      <c r="T983" s="1254"/>
      <c r="U983" s="1254"/>
    </row>
    <row r="984" spans="7:21" ht="15.6">
      <c r="G984" s="1255"/>
      <c r="H984" s="1254"/>
      <c r="I984" s="1254"/>
      <c r="J984" s="1254"/>
      <c r="K984" s="1254"/>
      <c r="L984" s="1254"/>
      <c r="M984" s="1254"/>
      <c r="N984" s="1254"/>
      <c r="O984" s="1254"/>
      <c r="P984" s="1254"/>
      <c r="Q984" s="1254"/>
      <c r="R984" s="1254"/>
      <c r="S984" s="1254"/>
      <c r="T984" s="1254"/>
      <c r="U984" s="1254"/>
    </row>
    <row r="985" spans="7:21" ht="15.6">
      <c r="G985" s="1255"/>
      <c r="H985" s="1254"/>
      <c r="I985" s="1254"/>
      <c r="J985" s="1254"/>
      <c r="K985" s="1254"/>
      <c r="L985" s="1254"/>
      <c r="M985" s="1254"/>
      <c r="N985" s="1254"/>
      <c r="O985" s="1254"/>
      <c r="P985" s="1254"/>
      <c r="Q985" s="1254"/>
      <c r="R985" s="1254"/>
      <c r="S985" s="1254"/>
      <c r="T985" s="1254"/>
      <c r="U985" s="1254"/>
    </row>
    <row r="986" spans="7:21" ht="15.6">
      <c r="G986" s="1255"/>
      <c r="H986" s="1254"/>
      <c r="I986" s="1254"/>
      <c r="J986" s="1254"/>
      <c r="K986" s="1254"/>
      <c r="L986" s="1254"/>
      <c r="M986" s="1254"/>
      <c r="N986" s="1254"/>
      <c r="O986" s="1254"/>
      <c r="P986" s="1254"/>
      <c r="Q986" s="1254"/>
      <c r="R986" s="1254"/>
      <c r="S986" s="1254"/>
      <c r="T986" s="1254"/>
      <c r="U986" s="1254"/>
    </row>
    <row r="987" spans="7:21" ht="15.6">
      <c r="G987" s="1255"/>
      <c r="H987" s="1254"/>
      <c r="I987" s="1254"/>
      <c r="J987" s="1254"/>
      <c r="K987" s="1254"/>
      <c r="L987" s="1254"/>
      <c r="M987" s="1254"/>
      <c r="N987" s="1254"/>
      <c r="O987" s="1254"/>
      <c r="P987" s="1254"/>
      <c r="Q987" s="1254"/>
      <c r="R987" s="1254"/>
      <c r="S987" s="1254"/>
      <c r="T987" s="1254"/>
      <c r="U987" s="1254"/>
    </row>
    <row r="988" spans="7:21" ht="15.6">
      <c r="G988" s="1255"/>
      <c r="H988" s="1254"/>
      <c r="I988" s="1254"/>
      <c r="J988" s="1254"/>
      <c r="K988" s="1254"/>
      <c r="L988" s="1254"/>
      <c r="M988" s="1254"/>
      <c r="N988" s="1254"/>
      <c r="O988" s="1254"/>
      <c r="P988" s="1254"/>
      <c r="Q988" s="1254"/>
      <c r="R988" s="1254"/>
      <c r="S988" s="1254"/>
      <c r="T988" s="1254"/>
      <c r="U988" s="1254"/>
    </row>
    <row r="989" spans="7:21" ht="15.6">
      <c r="G989" s="1255"/>
      <c r="H989" s="1254"/>
      <c r="I989" s="1254"/>
      <c r="J989" s="1254"/>
      <c r="K989" s="1254"/>
      <c r="L989" s="1254"/>
      <c r="M989" s="1254"/>
      <c r="N989" s="1254"/>
      <c r="O989" s="1254"/>
      <c r="P989" s="1254"/>
      <c r="Q989" s="1254"/>
      <c r="R989" s="1254"/>
      <c r="S989" s="1254"/>
      <c r="T989" s="1254"/>
      <c r="U989" s="1254"/>
    </row>
    <row r="990" spans="7:21" ht="15.6">
      <c r="G990" s="1255"/>
      <c r="H990" s="1254"/>
      <c r="I990" s="1254"/>
      <c r="J990" s="1254"/>
      <c r="K990" s="1254"/>
      <c r="L990" s="1254"/>
      <c r="M990" s="1254"/>
      <c r="N990" s="1254"/>
      <c r="O990" s="1254"/>
      <c r="P990" s="1254"/>
      <c r="Q990" s="1254"/>
      <c r="R990" s="1254"/>
      <c r="S990" s="1254"/>
      <c r="T990" s="1254"/>
      <c r="U990" s="1254"/>
    </row>
    <row r="991" spans="7:21" ht="15.6">
      <c r="G991" s="1255"/>
      <c r="H991" s="1254"/>
      <c r="I991" s="1254"/>
      <c r="J991" s="1254"/>
      <c r="K991" s="1254"/>
      <c r="L991" s="1254"/>
      <c r="M991" s="1254"/>
      <c r="N991" s="1254"/>
      <c r="O991" s="1254"/>
      <c r="P991" s="1254"/>
      <c r="Q991" s="1254"/>
      <c r="R991" s="1254"/>
      <c r="S991" s="1254"/>
      <c r="T991" s="1254"/>
      <c r="U991" s="1254"/>
    </row>
    <row r="992" spans="7:21" ht="15.6">
      <c r="G992" s="1255"/>
      <c r="H992" s="1254"/>
      <c r="I992" s="1254"/>
      <c r="J992" s="1254"/>
      <c r="K992" s="1254"/>
      <c r="L992" s="1254"/>
      <c r="M992" s="1254"/>
      <c r="N992" s="1254"/>
      <c r="O992" s="1254"/>
      <c r="P992" s="1254"/>
      <c r="Q992" s="1254"/>
      <c r="R992" s="1254"/>
      <c r="S992" s="1254"/>
      <c r="T992" s="1254"/>
      <c r="U992" s="1254"/>
    </row>
    <row r="993" spans="7:21" ht="15.6">
      <c r="G993" s="1255"/>
      <c r="H993" s="1254"/>
      <c r="I993" s="1254"/>
      <c r="J993" s="1254"/>
      <c r="K993" s="1254"/>
      <c r="L993" s="1254"/>
      <c r="M993" s="1254"/>
      <c r="N993" s="1254"/>
      <c r="O993" s="1254"/>
      <c r="P993" s="1254"/>
      <c r="Q993" s="1254"/>
      <c r="R993" s="1254"/>
      <c r="S993" s="1254"/>
      <c r="T993" s="1254"/>
      <c r="U993" s="1254"/>
    </row>
    <row r="994" spans="7:21" ht="15.6">
      <c r="G994" s="1255"/>
      <c r="H994" s="1254"/>
      <c r="I994" s="1254"/>
      <c r="J994" s="1254"/>
      <c r="K994" s="1254"/>
      <c r="L994" s="1254"/>
      <c r="M994" s="1254"/>
      <c r="N994" s="1254"/>
      <c r="O994" s="1254"/>
      <c r="P994" s="1254"/>
      <c r="Q994" s="1254"/>
      <c r="R994" s="1254"/>
      <c r="S994" s="1254"/>
      <c r="T994" s="1254"/>
      <c r="U994" s="1254"/>
    </row>
    <row r="995" spans="7:21" ht="15.6">
      <c r="G995" s="1255"/>
      <c r="H995" s="1254"/>
      <c r="I995" s="1254"/>
      <c r="J995" s="1254"/>
      <c r="K995" s="1254"/>
      <c r="L995" s="1254"/>
      <c r="M995" s="1254"/>
      <c r="N995" s="1254"/>
      <c r="O995" s="1254"/>
      <c r="P995" s="1254"/>
      <c r="Q995" s="1254"/>
      <c r="R995" s="1254"/>
      <c r="S995" s="1254"/>
      <c r="T995" s="1254"/>
      <c r="U995" s="1254"/>
    </row>
    <row r="996" spans="7:21" ht="15.6">
      <c r="G996" s="1255"/>
      <c r="H996" s="1254"/>
      <c r="I996" s="1254"/>
      <c r="J996" s="1254"/>
      <c r="K996" s="1254"/>
      <c r="L996" s="1254"/>
      <c r="M996" s="1254"/>
      <c r="N996" s="1254"/>
      <c r="O996" s="1254"/>
      <c r="P996" s="1254"/>
      <c r="Q996" s="1254"/>
      <c r="R996" s="1254"/>
      <c r="S996" s="1254"/>
      <c r="T996" s="1254"/>
      <c r="U996" s="1254"/>
    </row>
    <row r="997" spans="7:21" ht="15.6">
      <c r="G997" s="1255"/>
      <c r="H997" s="1254"/>
      <c r="I997" s="1254"/>
      <c r="J997" s="1254"/>
      <c r="K997" s="1254"/>
      <c r="L997" s="1254"/>
      <c r="M997" s="1254"/>
      <c r="N997" s="1254"/>
      <c r="O997" s="1254"/>
      <c r="P997" s="1254"/>
      <c r="Q997" s="1254"/>
      <c r="R997" s="1254"/>
      <c r="S997" s="1254"/>
      <c r="T997" s="1254"/>
      <c r="U997" s="1254"/>
    </row>
    <row r="998" spans="7:21" ht="15.6">
      <c r="G998" s="1255"/>
      <c r="H998" s="1254"/>
      <c r="I998" s="1254"/>
      <c r="J998" s="1254"/>
      <c r="K998" s="1254"/>
      <c r="L998" s="1254"/>
      <c r="M998" s="1254"/>
      <c r="N998" s="1254"/>
      <c r="O998" s="1254"/>
      <c r="P998" s="1254"/>
      <c r="Q998" s="1254"/>
      <c r="R998" s="1254"/>
      <c r="S998" s="1254"/>
      <c r="T998" s="1254"/>
      <c r="U998" s="1254"/>
    </row>
    <row r="999" spans="7:21" ht="15.6">
      <c r="G999" s="1255"/>
      <c r="H999" s="1254"/>
      <c r="I999" s="1254"/>
      <c r="J999" s="1254"/>
      <c r="K999" s="1254"/>
      <c r="L999" s="1254"/>
      <c r="M999" s="1254"/>
      <c r="N999" s="1254"/>
      <c r="O999" s="1254"/>
      <c r="P999" s="1254"/>
      <c r="Q999" s="1254"/>
      <c r="R999" s="1254"/>
      <c r="S999" s="1254"/>
      <c r="T999" s="1254"/>
      <c r="U999" s="1254"/>
    </row>
    <row r="1000" spans="7:21" ht="15.6">
      <c r="G1000" s="1255"/>
      <c r="H1000" s="1254"/>
      <c r="I1000" s="1254"/>
      <c r="J1000" s="1254"/>
      <c r="K1000" s="1254"/>
      <c r="L1000" s="1254"/>
      <c r="M1000" s="1254"/>
      <c r="N1000" s="1254"/>
      <c r="O1000" s="1254"/>
      <c r="P1000" s="1254"/>
      <c r="Q1000" s="1254"/>
      <c r="R1000" s="1254"/>
      <c r="S1000" s="1254"/>
      <c r="T1000" s="1254"/>
      <c r="U1000" s="1254"/>
    </row>
    <row r="1001" spans="7:21" ht="15.6">
      <c r="G1001" s="1255"/>
      <c r="H1001" s="1254"/>
      <c r="I1001" s="1254"/>
      <c r="J1001" s="1254"/>
      <c r="K1001" s="1254"/>
      <c r="L1001" s="1254"/>
      <c r="M1001" s="1254"/>
      <c r="N1001" s="1254"/>
      <c r="O1001" s="1254"/>
      <c r="P1001" s="1254"/>
      <c r="Q1001" s="1254"/>
      <c r="R1001" s="1254"/>
      <c r="S1001" s="1254"/>
      <c r="T1001" s="1254"/>
      <c r="U1001" s="1254"/>
    </row>
    <row r="1002" spans="7:21" ht="15.6">
      <c r="G1002" s="1255"/>
      <c r="H1002" s="1254"/>
      <c r="I1002" s="1254"/>
      <c r="J1002" s="1254"/>
      <c r="K1002" s="1254"/>
      <c r="L1002" s="1254"/>
      <c r="M1002" s="1254"/>
      <c r="N1002" s="1254"/>
      <c r="O1002" s="1254"/>
      <c r="P1002" s="1254"/>
      <c r="Q1002" s="1254"/>
      <c r="R1002" s="1254"/>
      <c r="S1002" s="1254"/>
      <c r="T1002" s="1254"/>
      <c r="U1002" s="1254"/>
    </row>
    <row r="1003" spans="7:21" ht="15.6">
      <c r="G1003" s="1255"/>
      <c r="H1003" s="1254"/>
      <c r="I1003" s="1254"/>
      <c r="J1003" s="1254"/>
      <c r="K1003" s="1254"/>
      <c r="L1003" s="1254"/>
      <c r="M1003" s="1254"/>
      <c r="N1003" s="1254"/>
      <c r="O1003" s="1254"/>
      <c r="P1003" s="1254"/>
      <c r="Q1003" s="1254"/>
      <c r="R1003" s="1254"/>
      <c r="S1003" s="1254"/>
      <c r="T1003" s="1254"/>
      <c r="U1003" s="1254"/>
    </row>
    <row r="1004" spans="7:21" ht="15.6">
      <c r="G1004" s="1255"/>
      <c r="H1004" s="1254"/>
      <c r="I1004" s="1254"/>
      <c r="J1004" s="1254"/>
      <c r="K1004" s="1254"/>
      <c r="L1004" s="1254"/>
      <c r="M1004" s="1254"/>
      <c r="N1004" s="1254"/>
      <c r="O1004" s="1254"/>
      <c r="P1004" s="1254"/>
      <c r="Q1004" s="1254"/>
      <c r="R1004" s="1254"/>
      <c r="S1004" s="1254"/>
      <c r="T1004" s="1254"/>
      <c r="U1004" s="1254"/>
    </row>
    <row r="1005" spans="7:21" ht="15.6">
      <c r="G1005" s="1255"/>
      <c r="H1005" s="1254"/>
      <c r="I1005" s="1254"/>
      <c r="J1005" s="1254"/>
      <c r="K1005" s="1254"/>
      <c r="L1005" s="1254"/>
      <c r="M1005" s="1254"/>
      <c r="N1005" s="1254"/>
      <c r="O1005" s="1254"/>
      <c r="P1005" s="1254"/>
      <c r="Q1005" s="1254"/>
      <c r="R1005" s="1254"/>
      <c r="S1005" s="1254"/>
      <c r="T1005" s="1254"/>
      <c r="U1005" s="1254"/>
    </row>
    <row r="1006" spans="7:21" ht="15.6">
      <c r="G1006" s="1255"/>
      <c r="H1006" s="1254"/>
      <c r="I1006" s="1254"/>
      <c r="J1006" s="1254"/>
      <c r="K1006" s="1254"/>
      <c r="L1006" s="1254"/>
      <c r="M1006" s="1254"/>
      <c r="N1006" s="1254"/>
      <c r="O1006" s="1254"/>
      <c r="P1006" s="1254"/>
      <c r="Q1006" s="1254"/>
      <c r="R1006" s="1254"/>
      <c r="S1006" s="1254"/>
      <c r="T1006" s="1254"/>
      <c r="U1006" s="1254"/>
    </row>
    <row r="1007" spans="7:21" ht="15.6">
      <c r="G1007" s="1255"/>
      <c r="H1007" s="1254"/>
      <c r="I1007" s="1254"/>
      <c r="J1007" s="1254"/>
      <c r="K1007" s="1254"/>
      <c r="L1007" s="1254"/>
      <c r="M1007" s="1254"/>
      <c r="N1007" s="1254"/>
      <c r="O1007" s="1254"/>
      <c r="P1007" s="1254"/>
      <c r="Q1007" s="1254"/>
      <c r="R1007" s="1254"/>
      <c r="S1007" s="1254"/>
      <c r="T1007" s="1254"/>
      <c r="U1007" s="1254"/>
    </row>
    <row r="1008" spans="7:21" ht="15.6">
      <c r="G1008" s="1255"/>
      <c r="H1008" s="1254"/>
      <c r="I1008" s="1254"/>
      <c r="J1008" s="1254"/>
      <c r="K1008" s="1254"/>
      <c r="L1008" s="1254"/>
      <c r="M1008" s="1254"/>
      <c r="N1008" s="1254"/>
      <c r="O1008" s="1254"/>
      <c r="P1008" s="1254"/>
      <c r="Q1008" s="1254"/>
      <c r="R1008" s="1254"/>
      <c r="S1008" s="1254"/>
      <c r="T1008" s="1254"/>
      <c r="U1008" s="1254"/>
    </row>
    <row r="1009" spans="7:21" ht="15.6">
      <c r="G1009" s="1255"/>
      <c r="H1009" s="1254"/>
      <c r="I1009" s="1254"/>
      <c r="J1009" s="1254"/>
      <c r="K1009" s="1254"/>
      <c r="L1009" s="1254"/>
      <c r="M1009" s="1254"/>
      <c r="N1009" s="1254"/>
      <c r="O1009" s="1254"/>
      <c r="P1009" s="1254"/>
      <c r="Q1009" s="1254"/>
      <c r="R1009" s="1254"/>
      <c r="S1009" s="1254"/>
      <c r="T1009" s="1254"/>
      <c r="U1009" s="1254"/>
    </row>
    <row r="1010" spans="7:21" ht="15.6">
      <c r="G1010" s="1255"/>
      <c r="H1010" s="1254"/>
      <c r="I1010" s="1254"/>
      <c r="J1010" s="1254"/>
      <c r="K1010" s="1254"/>
      <c r="L1010" s="1254"/>
      <c r="M1010" s="1254"/>
      <c r="N1010" s="1254"/>
      <c r="O1010" s="1254"/>
      <c r="P1010" s="1254"/>
      <c r="Q1010" s="1254"/>
      <c r="R1010" s="1254"/>
      <c r="S1010" s="1254"/>
      <c r="T1010" s="1254"/>
      <c r="U1010" s="1254"/>
    </row>
    <row r="1011" spans="7:21" ht="15.6">
      <c r="G1011" s="1255"/>
      <c r="H1011" s="1254"/>
      <c r="I1011" s="1254"/>
      <c r="J1011" s="1254"/>
      <c r="K1011" s="1254"/>
      <c r="L1011" s="1254"/>
      <c r="M1011" s="1254"/>
      <c r="N1011" s="1254"/>
      <c r="O1011" s="1254"/>
      <c r="P1011" s="1254"/>
      <c r="Q1011" s="1254"/>
      <c r="R1011" s="1254"/>
      <c r="S1011" s="1254"/>
      <c r="T1011" s="1254"/>
      <c r="U1011" s="1254"/>
    </row>
    <row r="1012" spans="7:21" ht="15.6">
      <c r="G1012" s="1255"/>
      <c r="H1012" s="1254"/>
      <c r="I1012" s="1254"/>
      <c r="J1012" s="1254"/>
      <c r="K1012" s="1254"/>
      <c r="L1012" s="1254"/>
      <c r="M1012" s="1254"/>
      <c r="N1012" s="1254"/>
      <c r="O1012" s="1254"/>
      <c r="P1012" s="1254"/>
      <c r="Q1012" s="1254"/>
      <c r="R1012" s="1254"/>
      <c r="S1012" s="1254"/>
      <c r="T1012" s="1254"/>
      <c r="U1012" s="1254"/>
    </row>
    <row r="1013" spans="7:21" ht="15.6">
      <c r="G1013" s="1255"/>
      <c r="H1013" s="1254"/>
      <c r="I1013" s="1254"/>
      <c r="J1013" s="1254"/>
      <c r="K1013" s="1254"/>
      <c r="L1013" s="1254"/>
      <c r="M1013" s="1254"/>
      <c r="N1013" s="1254"/>
      <c r="O1013" s="1254"/>
      <c r="P1013" s="1254"/>
      <c r="Q1013" s="1254"/>
      <c r="R1013" s="1254"/>
      <c r="S1013" s="1254"/>
      <c r="T1013" s="1254"/>
      <c r="U1013" s="1254"/>
    </row>
    <row r="1014" spans="7:21" ht="15.6">
      <c r="G1014" s="1255"/>
      <c r="H1014" s="1254"/>
      <c r="I1014" s="1254"/>
      <c r="J1014" s="1254"/>
      <c r="K1014" s="1254"/>
      <c r="L1014" s="1254"/>
      <c r="M1014" s="1254"/>
      <c r="N1014" s="1254"/>
      <c r="O1014" s="1254"/>
      <c r="P1014" s="1254"/>
      <c r="Q1014" s="1254"/>
      <c r="R1014" s="1254"/>
      <c r="S1014" s="1254"/>
      <c r="T1014" s="1254"/>
      <c r="U1014" s="1254"/>
    </row>
    <row r="1015" spans="7:21" ht="15.6">
      <c r="G1015" s="1255"/>
      <c r="H1015" s="1254"/>
      <c r="I1015" s="1254"/>
      <c r="J1015" s="1254"/>
      <c r="K1015" s="1254"/>
      <c r="L1015" s="1254"/>
      <c r="M1015" s="1254"/>
      <c r="N1015" s="1254"/>
      <c r="O1015" s="1254"/>
      <c r="P1015" s="1254"/>
      <c r="Q1015" s="1254"/>
      <c r="R1015" s="1254"/>
      <c r="S1015" s="1254"/>
      <c r="T1015" s="1254"/>
      <c r="U1015" s="1254"/>
    </row>
    <row r="1016" spans="7:21" ht="15.6">
      <c r="G1016" s="1255"/>
      <c r="H1016" s="1254"/>
      <c r="I1016" s="1254"/>
      <c r="J1016" s="1254"/>
      <c r="K1016" s="1254"/>
      <c r="L1016" s="1254"/>
      <c r="M1016" s="1254"/>
      <c r="N1016" s="1254"/>
      <c r="O1016" s="1254"/>
      <c r="P1016" s="1254"/>
      <c r="Q1016" s="1254"/>
      <c r="R1016" s="1254"/>
      <c r="S1016" s="1254"/>
      <c r="T1016" s="1254"/>
      <c r="U1016" s="1254"/>
    </row>
    <row r="1017" spans="7:21" ht="15.6">
      <c r="G1017" s="1255"/>
      <c r="H1017" s="1254"/>
      <c r="I1017" s="1254"/>
      <c r="J1017" s="1254"/>
      <c r="K1017" s="1254"/>
      <c r="L1017" s="1254"/>
      <c r="M1017" s="1254"/>
      <c r="N1017" s="1254"/>
      <c r="O1017" s="1254"/>
      <c r="P1017" s="1254"/>
      <c r="Q1017" s="1254"/>
      <c r="R1017" s="1254"/>
      <c r="S1017" s="1254"/>
      <c r="T1017" s="1254"/>
      <c r="U1017" s="1254"/>
    </row>
    <row r="1018" spans="7:21" ht="15.6">
      <c r="G1018" s="1255"/>
      <c r="H1018" s="1254"/>
      <c r="I1018" s="1254"/>
      <c r="J1018" s="1254"/>
      <c r="K1018" s="1254"/>
      <c r="L1018" s="1254"/>
      <c r="M1018" s="1254"/>
      <c r="N1018" s="1254"/>
      <c r="O1018" s="1254"/>
      <c r="P1018" s="1254"/>
      <c r="Q1018" s="1254"/>
      <c r="R1018" s="1254"/>
      <c r="S1018" s="1254"/>
      <c r="T1018" s="1254"/>
      <c r="U1018" s="1254"/>
    </row>
    <row r="1019" spans="7:21" ht="15.6">
      <c r="G1019" s="1255"/>
      <c r="H1019" s="1254"/>
      <c r="I1019" s="1254"/>
      <c r="J1019" s="1254"/>
      <c r="K1019" s="1254"/>
      <c r="L1019" s="1254"/>
      <c r="M1019" s="1254"/>
      <c r="N1019" s="1254"/>
      <c r="O1019" s="1254"/>
      <c r="P1019" s="1254"/>
      <c r="Q1019" s="1254"/>
      <c r="R1019" s="1254"/>
      <c r="S1019" s="1254"/>
      <c r="T1019" s="1254"/>
      <c r="U1019" s="1254"/>
    </row>
    <row r="1020" spans="7:21" ht="15.6">
      <c r="G1020" s="1255"/>
      <c r="H1020" s="1254"/>
      <c r="I1020" s="1254"/>
      <c r="J1020" s="1254"/>
      <c r="K1020" s="1254"/>
      <c r="L1020" s="1254"/>
      <c r="M1020" s="1254"/>
      <c r="N1020" s="1254"/>
      <c r="O1020" s="1254"/>
      <c r="P1020" s="1254"/>
      <c r="Q1020" s="1254"/>
      <c r="R1020" s="1254"/>
      <c r="S1020" s="1254"/>
      <c r="T1020" s="1254"/>
      <c r="U1020" s="1254"/>
    </row>
    <row r="1021" spans="7:21" ht="15.6">
      <c r="G1021" s="1255"/>
      <c r="H1021" s="1254"/>
      <c r="I1021" s="1254"/>
      <c r="J1021" s="1254"/>
      <c r="K1021" s="1254"/>
      <c r="L1021" s="1254"/>
      <c r="M1021" s="1254"/>
      <c r="N1021" s="1254"/>
      <c r="O1021" s="1254"/>
      <c r="P1021" s="1254"/>
      <c r="Q1021" s="1254"/>
      <c r="R1021" s="1254"/>
      <c r="S1021" s="1254"/>
      <c r="T1021" s="1254"/>
      <c r="U1021" s="1254"/>
    </row>
    <row r="1022" spans="7:21" ht="15.6">
      <c r="G1022" s="1255"/>
      <c r="H1022" s="1254"/>
      <c r="I1022" s="1254"/>
      <c r="J1022" s="1254"/>
      <c r="K1022" s="1254"/>
      <c r="L1022" s="1254"/>
      <c r="M1022" s="1254"/>
      <c r="N1022" s="1254"/>
      <c r="O1022" s="1254"/>
      <c r="P1022" s="1254"/>
      <c r="Q1022" s="1254"/>
      <c r="R1022" s="1254"/>
      <c r="S1022" s="1254"/>
      <c r="T1022" s="1254"/>
      <c r="U1022" s="1254"/>
    </row>
    <row r="1023" spans="7:21" ht="15.6">
      <c r="G1023" s="1255"/>
      <c r="H1023" s="1254"/>
      <c r="I1023" s="1254"/>
      <c r="J1023" s="1254"/>
      <c r="K1023" s="1254"/>
      <c r="L1023" s="1254"/>
      <c r="M1023" s="1254"/>
      <c r="N1023" s="1254"/>
      <c r="O1023" s="1254"/>
      <c r="P1023" s="1254"/>
      <c r="Q1023" s="1254"/>
      <c r="R1023" s="1254"/>
      <c r="S1023" s="1254"/>
      <c r="T1023" s="1254"/>
      <c r="U1023" s="1254"/>
    </row>
    <row r="1024" spans="7:21" ht="15.6">
      <c r="G1024" s="1255"/>
      <c r="H1024" s="1254"/>
      <c r="I1024" s="1254"/>
      <c r="J1024" s="1254"/>
      <c r="K1024" s="1254"/>
      <c r="L1024" s="1254"/>
      <c r="M1024" s="1254"/>
      <c r="N1024" s="1254"/>
      <c r="O1024" s="1254"/>
      <c r="P1024" s="1254"/>
      <c r="Q1024" s="1254"/>
      <c r="R1024" s="1254"/>
      <c r="S1024" s="1254"/>
      <c r="T1024" s="1254"/>
      <c r="U1024" s="1254"/>
    </row>
    <row r="1025" spans="7:21" ht="15.6">
      <c r="G1025" s="1255"/>
      <c r="H1025" s="1254"/>
      <c r="I1025" s="1254"/>
      <c r="J1025" s="1254"/>
      <c r="K1025" s="1254"/>
      <c r="L1025" s="1254"/>
      <c r="M1025" s="1254"/>
      <c r="N1025" s="1254"/>
      <c r="O1025" s="1254"/>
      <c r="P1025" s="1254"/>
      <c r="Q1025" s="1254"/>
      <c r="R1025" s="1254"/>
      <c r="S1025" s="1254"/>
      <c r="T1025" s="1254"/>
      <c r="U1025" s="1254"/>
    </row>
    <row r="1026" spans="7:21" ht="15.6">
      <c r="G1026" s="1255"/>
      <c r="H1026" s="1254"/>
      <c r="I1026" s="1254"/>
      <c r="J1026" s="1254"/>
      <c r="K1026" s="1254"/>
      <c r="L1026" s="1254"/>
      <c r="M1026" s="1254"/>
      <c r="N1026" s="1254"/>
      <c r="O1026" s="1254"/>
      <c r="P1026" s="1254"/>
      <c r="Q1026" s="1254"/>
      <c r="R1026" s="1254"/>
      <c r="S1026" s="1254"/>
      <c r="T1026" s="1254"/>
      <c r="U1026" s="1254"/>
    </row>
    <row r="1027" spans="7:21" ht="15.6">
      <c r="G1027" s="1255"/>
      <c r="H1027" s="1254"/>
      <c r="I1027" s="1254"/>
      <c r="J1027" s="1254"/>
      <c r="K1027" s="1254"/>
      <c r="L1027" s="1254"/>
      <c r="M1027" s="1254"/>
      <c r="N1027" s="1254"/>
      <c r="O1027" s="1254"/>
      <c r="P1027" s="1254"/>
      <c r="Q1027" s="1254"/>
      <c r="R1027" s="1254"/>
      <c r="S1027" s="1254"/>
      <c r="T1027" s="1254"/>
      <c r="U1027" s="1254"/>
    </row>
  </sheetData>
  <mergeCells count="16">
    <mergeCell ref="B46:C46"/>
    <mergeCell ref="B47:C47"/>
    <mergeCell ref="B48:C48"/>
    <mergeCell ref="B49:C49"/>
    <mergeCell ref="B16:D16"/>
    <mergeCell ref="B17:D17"/>
    <mergeCell ref="B18:D18"/>
    <mergeCell ref="B19:D19"/>
    <mergeCell ref="B20:D20"/>
    <mergeCell ref="B21:D21"/>
    <mergeCell ref="B15:D15"/>
    <mergeCell ref="B10:D10"/>
    <mergeCell ref="B11:D11"/>
    <mergeCell ref="B12:D12"/>
    <mergeCell ref="B13:D13"/>
    <mergeCell ref="B14:D14"/>
  </mergeCell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3B721-4D53-4F83-9981-76976BC1D216}">
  <sheetPr>
    <tabColor theme="1"/>
  </sheetPr>
  <dimension ref="A1"/>
  <sheetViews>
    <sheetView workbookViewId="0">
      <selection activeCell="AA39" sqref="AA39"/>
    </sheetView>
  </sheetViews>
  <sheetFormatPr defaultRowHeight="14.4"/>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3D560-C608-4D9B-8F57-0FBF41188145}">
  <dimension ref="A1:T74"/>
  <sheetViews>
    <sheetView zoomScale="90" zoomScaleNormal="90" workbookViewId="0">
      <selection activeCell="AJ18" sqref="AJ18"/>
    </sheetView>
  </sheetViews>
  <sheetFormatPr defaultColWidth="8.88671875" defaultRowHeight="15.6"/>
  <cols>
    <col min="1" max="1" width="3.5546875" style="172" customWidth="1"/>
    <col min="2" max="2" width="11.109375" style="172" customWidth="1"/>
    <col min="3" max="3" width="30.5546875" style="172" customWidth="1"/>
    <col min="4" max="4" width="15.44140625" style="172" customWidth="1"/>
    <col min="5" max="5" width="18.33203125" style="172" customWidth="1"/>
    <col min="6" max="6" width="16" style="172" customWidth="1"/>
    <col min="7" max="7" width="14.44140625" style="172" customWidth="1"/>
    <col min="8" max="8" width="11.5546875" style="172" customWidth="1"/>
    <col min="9" max="9" width="3.44140625" style="172" customWidth="1"/>
    <col min="10" max="10" width="3" style="172" customWidth="1"/>
    <col min="11" max="11" width="4.44140625" style="172" customWidth="1"/>
    <col min="12" max="12" width="11.5546875" style="172" customWidth="1"/>
    <col min="13" max="13" width="6.88671875" style="172" customWidth="1"/>
    <col min="14" max="14" width="8.88671875" style="4"/>
    <col min="15" max="15" width="9.109375" style="4" bestFit="1" customWidth="1"/>
    <col min="16" max="16" width="14.109375" style="4" bestFit="1" customWidth="1"/>
    <col min="17" max="16384" width="8.88671875" style="4"/>
  </cols>
  <sheetData>
    <row r="1" spans="1:14">
      <c r="A1" s="172" t="s">
        <v>1844</v>
      </c>
      <c r="N1" s="4" t="str">
        <f>A1</f>
        <v>RETRPIRM Spring 2023</v>
      </c>
    </row>
    <row r="2" spans="1:14" ht="15.75" customHeight="1">
      <c r="A2" s="172" t="s">
        <v>162</v>
      </c>
      <c r="N2" s="4" t="str">
        <f>A2</f>
        <v>Question 4</v>
      </c>
    </row>
    <row r="3" spans="1:14" ht="18.600000000000001" customHeight="1">
      <c r="A3" s="174"/>
    </row>
    <row r="4" spans="1:14" ht="18.600000000000001" customHeight="1">
      <c r="A4" s="175"/>
      <c r="N4" s="4" t="s">
        <v>1304</v>
      </c>
    </row>
    <row r="5" spans="1:14" ht="15.75" customHeight="1">
      <c r="A5" s="175"/>
      <c r="B5" s="176" t="s">
        <v>164</v>
      </c>
    </row>
    <row r="7" spans="1:14">
      <c r="C7" s="172" t="s">
        <v>1843</v>
      </c>
    </row>
    <row r="9" spans="1:14" ht="29.25" customHeight="1">
      <c r="C9" s="227"/>
      <c r="D9" s="1295" t="s">
        <v>435</v>
      </c>
      <c r="E9" s="1296" t="s">
        <v>1842</v>
      </c>
      <c r="F9" s="1295" t="s">
        <v>1841</v>
      </c>
      <c r="G9" s="1295" t="s">
        <v>440</v>
      </c>
    </row>
    <row r="10" spans="1:14">
      <c r="C10" s="227" t="s">
        <v>1840</v>
      </c>
      <c r="D10" s="1294">
        <v>1500</v>
      </c>
      <c r="E10" s="1294">
        <v>1000</v>
      </c>
      <c r="F10" s="1294">
        <v>5000</v>
      </c>
      <c r="G10" s="1294">
        <v>7500</v>
      </c>
    </row>
    <row r="11" spans="1:14">
      <c r="C11" s="227" t="s">
        <v>1839</v>
      </c>
      <c r="D11" s="1294">
        <v>30000000</v>
      </c>
      <c r="E11" s="1294">
        <v>10000000</v>
      </c>
      <c r="F11" s="1294">
        <v>150000000</v>
      </c>
      <c r="G11" s="1294">
        <v>190000000</v>
      </c>
    </row>
    <row r="12" spans="1:14">
      <c r="C12" s="227" t="s">
        <v>1838</v>
      </c>
      <c r="D12" s="1294">
        <v>20</v>
      </c>
      <c r="E12" s="1294">
        <v>18</v>
      </c>
      <c r="F12" s="1294">
        <v>12</v>
      </c>
      <c r="G12" s="1294"/>
    </row>
    <row r="14" spans="1:14">
      <c r="C14" s="172" t="s">
        <v>1837</v>
      </c>
    </row>
    <row r="16" spans="1:14">
      <c r="C16" s="227" t="s">
        <v>1836</v>
      </c>
      <c r="D16" s="1292">
        <v>80000000</v>
      </c>
    </row>
    <row r="17" spans="3:12">
      <c r="C17" s="227" t="s">
        <v>1835</v>
      </c>
      <c r="D17" s="1292">
        <v>100000000</v>
      </c>
    </row>
    <row r="18" spans="3:12">
      <c r="C18" s="227" t="s">
        <v>1834</v>
      </c>
      <c r="D18" s="1293">
        <v>0.43</v>
      </c>
    </row>
    <row r="19" spans="3:12">
      <c r="C19" s="227" t="s">
        <v>1833</v>
      </c>
      <c r="D19" s="1292">
        <v>14</v>
      </c>
    </row>
    <row r="22" spans="3:12">
      <c r="C22" s="172" t="s">
        <v>1832</v>
      </c>
    </row>
    <row r="24" spans="3:12">
      <c r="C24" s="172" t="s">
        <v>1831</v>
      </c>
    </row>
    <row r="25" spans="3:12" ht="3" customHeight="1"/>
    <row r="26" spans="3:12">
      <c r="C26" s="172" t="s">
        <v>1830</v>
      </c>
    </row>
    <row r="27" spans="3:12" ht="6.75" customHeight="1"/>
    <row r="28" spans="3:12" ht="15.75" customHeight="1">
      <c r="C28" s="172" t="s">
        <v>1829</v>
      </c>
    </row>
    <row r="29" spans="3:12">
      <c r="C29" s="172" t="s">
        <v>1828</v>
      </c>
    </row>
    <row r="30" spans="3:12" ht="15.75" customHeight="1">
      <c r="D30" s="1696"/>
      <c r="E30" s="1696"/>
      <c r="F30" s="1696"/>
      <c r="G30" s="1696"/>
      <c r="H30" s="1696"/>
      <c r="I30" s="1696"/>
      <c r="J30" s="1696"/>
      <c r="K30" s="1696"/>
      <c r="L30" s="1696"/>
    </row>
    <row r="31" spans="3:12">
      <c r="C31" s="172" t="s">
        <v>1827</v>
      </c>
    </row>
    <row r="32" spans="3:12" ht="15.75" customHeight="1"/>
    <row r="33" spans="3:17" ht="15.75" customHeight="1">
      <c r="C33" s="172" t="s">
        <v>1826</v>
      </c>
    </row>
    <row r="34" spans="3:17" ht="6" customHeight="1">
      <c r="C34" s="1697"/>
      <c r="D34" s="1697"/>
      <c r="E34" s="1697"/>
      <c r="F34" s="1697"/>
      <c r="G34" s="1697"/>
      <c r="H34" s="1697"/>
      <c r="I34" s="1697"/>
    </row>
    <row r="35" spans="3:17" ht="15.75" customHeight="1">
      <c r="C35" s="172" t="s">
        <v>1825</v>
      </c>
    </row>
    <row r="36" spans="3:17" ht="15.75" customHeight="1">
      <c r="I36" s="1290"/>
      <c r="K36" s="185"/>
      <c r="M36" s="185"/>
    </row>
    <row r="37" spans="3:17" ht="15.75" customHeight="1">
      <c r="C37" s="1698" t="s">
        <v>249</v>
      </c>
      <c r="D37" s="1699"/>
      <c r="E37" s="1699"/>
      <c r="F37" s="1699"/>
      <c r="G37" s="1699"/>
      <c r="H37" s="1699"/>
      <c r="I37" s="1699"/>
      <c r="J37" s="1699"/>
      <c r="K37" s="1700"/>
    </row>
    <row r="38" spans="3:17">
      <c r="E38" s="1291"/>
      <c r="F38" s="1290"/>
      <c r="G38" s="185"/>
    </row>
    <row r="39" spans="3:17" ht="15.75" customHeight="1"/>
    <row r="40" spans="3:17" ht="15.75" customHeight="1">
      <c r="C40" s="176"/>
    </row>
    <row r="42" spans="3:17" ht="15.75" customHeight="1">
      <c r="D42" s="1696"/>
      <c r="E42" s="1696"/>
      <c r="F42" s="1696"/>
      <c r="G42" s="1696"/>
      <c r="H42" s="1696"/>
      <c r="I42" s="1696"/>
      <c r="J42" s="1696"/>
      <c r="K42" s="1696"/>
      <c r="L42" s="1696"/>
    </row>
    <row r="45" spans="3:17" ht="15.75" customHeight="1">
      <c r="C45" s="176"/>
    </row>
    <row r="46" spans="3:17" ht="15.75" customHeight="1"/>
    <row r="47" spans="3:17" ht="15.75" customHeight="1">
      <c r="O47" s="570"/>
      <c r="Q47" s="570"/>
    </row>
    <row r="48" spans="3:17" ht="15.75" customHeight="1">
      <c r="O48" s="570"/>
      <c r="Q48" s="570"/>
    </row>
    <row r="49" spans="3:20" ht="15.75" customHeight="1"/>
    <row r="51" spans="3:20" ht="15.75" customHeight="1">
      <c r="D51" s="1288"/>
      <c r="E51" s="1288"/>
      <c r="F51" s="1288"/>
      <c r="G51" s="1288"/>
      <c r="H51" s="1288"/>
      <c r="I51" s="1288"/>
      <c r="J51" s="1288"/>
      <c r="K51" s="1288"/>
      <c r="L51" s="1288"/>
    </row>
    <row r="53" spans="3:20" ht="15.75" customHeight="1">
      <c r="C53" s="176"/>
    </row>
    <row r="54" spans="3:20" ht="15.75" customHeight="1"/>
    <row r="57" spans="3:20">
      <c r="T57" s="1289"/>
    </row>
    <row r="61" spans="3:20">
      <c r="D61" s="1288"/>
      <c r="E61" s="1288"/>
      <c r="F61" s="1288"/>
      <c r="G61" s="1288"/>
      <c r="H61" s="1288"/>
      <c r="I61" s="1288"/>
      <c r="J61" s="1288"/>
      <c r="K61" s="1288"/>
      <c r="L61" s="1288"/>
    </row>
    <row r="62" spans="3:20">
      <c r="O62" s="570"/>
    </row>
    <row r="66" spans="15:15">
      <c r="O66" s="570"/>
    </row>
    <row r="68" spans="15:15">
      <c r="O68" s="570"/>
    </row>
    <row r="69" spans="15:15">
      <c r="O69" s="570"/>
    </row>
    <row r="70" spans="15:15">
      <c r="O70" s="570"/>
    </row>
    <row r="74" spans="15:15">
      <c r="O74" s="570"/>
    </row>
  </sheetData>
  <mergeCells count="4">
    <mergeCell ref="D30:L30"/>
    <mergeCell ref="C34:I34"/>
    <mergeCell ref="C37:K37"/>
    <mergeCell ref="D42:L42"/>
  </mergeCell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3B488-14E1-4BCE-90A3-757ED95504FB}">
  <dimension ref="A1:T127"/>
  <sheetViews>
    <sheetView zoomScaleNormal="100" workbookViewId="0">
      <selection activeCell="P41" sqref="P41"/>
    </sheetView>
  </sheetViews>
  <sheetFormatPr defaultColWidth="9.109375" defaultRowHeight="15.6"/>
  <cols>
    <col min="1" max="1" width="5.5546875" style="1298" customWidth="1"/>
    <col min="2" max="2" width="7.6640625" style="1298" customWidth="1"/>
    <col min="3" max="3" width="9.6640625" style="1298" bestFit="1" customWidth="1"/>
    <col min="4" max="4" width="13.6640625" style="1298" customWidth="1"/>
    <col min="5" max="6" width="9.109375" style="1298"/>
    <col min="7" max="10" width="14.5546875" style="1298" bestFit="1" customWidth="1"/>
    <col min="11" max="15" width="9.109375" style="1298"/>
    <col min="16" max="16" width="9.109375" style="1298" customWidth="1"/>
    <col min="17" max="17" width="5.44140625" style="1297" customWidth="1"/>
    <col min="18" max="18" width="9.109375" style="1297" customWidth="1"/>
    <col min="19" max="16384" width="9.109375" style="1297"/>
  </cols>
  <sheetData>
    <row r="1" spans="1:18">
      <c r="A1" s="1302" t="s">
        <v>1801</v>
      </c>
      <c r="B1" s="1302"/>
      <c r="C1" s="1302"/>
      <c r="D1" s="1302"/>
      <c r="E1" s="1302"/>
      <c r="F1" s="1302"/>
      <c r="G1" s="1302"/>
      <c r="H1" s="1302"/>
      <c r="I1" s="1302"/>
      <c r="J1" s="1302"/>
      <c r="K1" s="1302"/>
      <c r="L1" s="1302"/>
      <c r="M1" s="1302"/>
      <c r="N1" s="1302"/>
      <c r="O1" s="1302"/>
      <c r="P1" s="1302"/>
      <c r="Q1" s="1299"/>
      <c r="R1" s="1297" t="s">
        <v>1801</v>
      </c>
    </row>
    <row r="2" spans="1:18">
      <c r="A2" s="1302" t="s">
        <v>1858</v>
      </c>
      <c r="B2" s="1302"/>
      <c r="C2" s="1302"/>
      <c r="D2" s="1302"/>
      <c r="E2" s="1302"/>
      <c r="F2" s="1302"/>
      <c r="G2" s="1302"/>
      <c r="H2" s="1302"/>
      <c r="I2" s="1302"/>
      <c r="J2" s="1302"/>
      <c r="K2" s="1302"/>
      <c r="L2" s="1302"/>
      <c r="M2" s="1302"/>
      <c r="N2" s="1302"/>
      <c r="O2" s="1302"/>
      <c r="P2" s="1302"/>
      <c r="Q2" s="1299"/>
      <c r="R2" s="1297" t="str">
        <f>A2</f>
        <v>Question 1</v>
      </c>
    </row>
    <row r="3" spans="1:18">
      <c r="A3" s="1302"/>
      <c r="B3" s="1302"/>
      <c r="C3" s="1302"/>
      <c r="D3" s="1302"/>
      <c r="E3" s="1302"/>
      <c r="F3" s="1302"/>
      <c r="G3" s="1302"/>
      <c r="H3" s="1302"/>
      <c r="I3" s="1302"/>
      <c r="J3" s="1302"/>
      <c r="K3" s="1302"/>
      <c r="L3" s="1302"/>
      <c r="M3" s="1302"/>
      <c r="N3" s="1302"/>
      <c r="O3" s="1302"/>
      <c r="P3" s="1302"/>
      <c r="Q3" s="1299"/>
    </row>
    <row r="4" spans="1:18">
      <c r="A4" s="1302"/>
      <c r="B4" s="1302"/>
      <c r="C4" s="1302"/>
      <c r="D4" s="1302"/>
      <c r="E4" s="1302"/>
      <c r="F4" s="1302"/>
      <c r="G4" s="1302"/>
      <c r="H4" s="1302"/>
      <c r="I4" s="1302"/>
      <c r="J4" s="1302"/>
      <c r="K4" s="1302"/>
      <c r="L4" s="1302"/>
      <c r="M4" s="1302"/>
      <c r="N4" s="1302"/>
      <c r="O4" s="1302"/>
      <c r="P4" s="1302"/>
      <c r="Q4" s="1299"/>
      <c r="R4" s="1297" t="s">
        <v>35</v>
      </c>
    </row>
    <row r="5" spans="1:18">
      <c r="A5" s="1302"/>
      <c r="B5" s="1305" t="s">
        <v>302</v>
      </c>
      <c r="C5" s="1302"/>
      <c r="D5" s="1302"/>
      <c r="E5" s="1302"/>
      <c r="F5" s="1302"/>
      <c r="G5" s="1302"/>
      <c r="H5" s="1302"/>
      <c r="I5" s="1302"/>
      <c r="J5" s="1302"/>
      <c r="K5" s="1302"/>
      <c r="L5" s="1302"/>
      <c r="M5" s="1302"/>
      <c r="N5" s="1302"/>
      <c r="O5" s="1302"/>
      <c r="P5" s="1302"/>
      <c r="Q5" s="1299"/>
    </row>
    <row r="6" spans="1:18">
      <c r="A6" s="1302"/>
      <c r="B6" s="1305"/>
      <c r="C6" s="1302"/>
      <c r="D6" s="1302"/>
      <c r="E6" s="1302"/>
      <c r="F6" s="1302"/>
      <c r="G6" s="1302"/>
      <c r="H6" s="1302"/>
      <c r="I6" s="1302"/>
      <c r="J6" s="1302"/>
      <c r="K6" s="1302"/>
      <c r="L6" s="1302"/>
      <c r="M6" s="1302"/>
      <c r="N6" s="1302"/>
      <c r="O6" s="1302"/>
      <c r="P6" s="1302"/>
      <c r="Q6" s="1299"/>
    </row>
    <row r="7" spans="1:18">
      <c r="A7" s="1302"/>
      <c r="B7" s="1305" t="s">
        <v>246</v>
      </c>
      <c r="C7" s="1305" t="s">
        <v>247</v>
      </c>
      <c r="D7" s="1312" t="s">
        <v>1857</v>
      </c>
      <c r="E7" s="1302"/>
      <c r="F7" s="1302"/>
      <c r="G7" s="1302"/>
      <c r="H7" s="1302"/>
      <c r="I7" s="1302"/>
      <c r="J7" s="1302"/>
      <c r="K7" s="1302"/>
      <c r="L7" s="1302"/>
      <c r="M7" s="1302"/>
      <c r="N7" s="1302"/>
      <c r="O7" s="1302"/>
      <c r="P7" s="1302"/>
      <c r="Q7" s="1299"/>
    </row>
    <row r="8" spans="1:18">
      <c r="A8" s="1302"/>
      <c r="B8" s="1305"/>
      <c r="C8" s="1313" t="s">
        <v>26</v>
      </c>
      <c r="D8" s="1312" t="s">
        <v>1856</v>
      </c>
      <c r="E8" s="1302"/>
      <c r="F8" s="1302"/>
      <c r="G8" s="1302"/>
      <c r="H8" s="1302"/>
      <c r="I8" s="1302"/>
      <c r="J8" s="1302"/>
      <c r="K8" s="1302"/>
      <c r="L8" s="1302"/>
      <c r="M8" s="1302"/>
      <c r="N8" s="1302"/>
      <c r="O8" s="1302"/>
      <c r="P8" s="1302"/>
      <c r="Q8" s="1299"/>
    </row>
    <row r="9" spans="1:18">
      <c r="A9" s="1302"/>
      <c r="B9" s="1305"/>
      <c r="C9" s="1313" t="s">
        <v>27</v>
      </c>
      <c r="D9" s="1312" t="s">
        <v>1855</v>
      </c>
      <c r="E9" s="1302"/>
      <c r="F9" s="1302"/>
      <c r="G9" s="1302"/>
      <c r="H9" s="1302"/>
      <c r="I9" s="1302"/>
      <c r="J9" s="1302"/>
      <c r="K9" s="1302"/>
      <c r="L9" s="1302"/>
      <c r="M9" s="1302"/>
      <c r="N9" s="1302"/>
      <c r="O9" s="1302"/>
      <c r="P9" s="1302"/>
      <c r="Q9" s="1299"/>
    </row>
    <row r="10" spans="1:18">
      <c r="A10" s="1302"/>
      <c r="B10" s="1305"/>
      <c r="C10" s="1302"/>
      <c r="D10" s="1302"/>
      <c r="E10" s="1302"/>
      <c r="F10" s="1302"/>
      <c r="G10" s="1302"/>
      <c r="H10" s="1302"/>
      <c r="I10" s="1302"/>
      <c r="J10" s="1302"/>
      <c r="K10" s="1302"/>
      <c r="L10" s="1302"/>
      <c r="M10" s="1302"/>
      <c r="N10" s="1302"/>
      <c r="O10" s="1302"/>
      <c r="P10" s="1302"/>
      <c r="Q10" s="1299"/>
    </row>
    <row r="11" spans="1:18">
      <c r="A11" s="1302"/>
      <c r="B11" s="1305"/>
      <c r="C11" s="1302"/>
      <c r="D11" s="1311"/>
      <c r="E11" s="1310"/>
      <c r="F11" s="1310"/>
      <c r="G11" s="1310"/>
      <c r="H11" s="1310"/>
      <c r="I11" s="1310"/>
      <c r="J11" s="1310"/>
      <c r="K11" s="1310"/>
      <c r="L11" s="1310"/>
      <c r="M11" s="1310"/>
      <c r="N11" s="1310"/>
      <c r="O11" s="1309"/>
      <c r="P11" s="1302"/>
      <c r="Q11" s="1299"/>
    </row>
    <row r="12" spans="1:18">
      <c r="A12" s="1302"/>
      <c r="B12" s="1305"/>
      <c r="C12" s="1302"/>
      <c r="D12" s="1308" t="s">
        <v>1770</v>
      </c>
      <c r="E12" s="1307"/>
      <c r="F12" s="1307"/>
      <c r="G12" s="1307"/>
      <c r="H12" s="1307"/>
      <c r="I12" s="1307"/>
      <c r="J12" s="1307"/>
      <c r="K12" s="1307"/>
      <c r="L12" s="1307"/>
      <c r="M12" s="1307"/>
      <c r="N12" s="1307"/>
      <c r="O12" s="1306"/>
      <c r="P12" s="1302"/>
      <c r="Q12" s="1299"/>
    </row>
    <row r="13" spans="1:18">
      <c r="A13" s="1302"/>
      <c r="B13" s="1305"/>
      <c r="C13" s="1302"/>
      <c r="D13" s="1305"/>
      <c r="E13" s="1302"/>
      <c r="F13" s="1302"/>
      <c r="G13" s="1302"/>
      <c r="H13" s="1302"/>
      <c r="I13" s="1302"/>
      <c r="J13" s="1302"/>
      <c r="K13" s="1302"/>
      <c r="L13" s="1302"/>
      <c r="M13" s="1302"/>
      <c r="N13" s="1302"/>
      <c r="O13" s="1302"/>
      <c r="P13" s="1302"/>
      <c r="Q13" s="1299"/>
    </row>
    <row r="14" spans="1:18">
      <c r="A14" s="1302"/>
      <c r="B14" s="1302" t="s">
        <v>1854</v>
      </c>
      <c r="C14" s="1302"/>
      <c r="D14" s="1305"/>
      <c r="E14" s="1302"/>
      <c r="F14" s="1302"/>
      <c r="G14" s="1302"/>
      <c r="H14" s="1302"/>
      <c r="I14" s="1302"/>
      <c r="J14" s="1302"/>
      <c r="K14" s="1302"/>
      <c r="L14" s="1302"/>
      <c r="M14" s="1302"/>
      <c r="N14" s="1302"/>
      <c r="O14" s="1302"/>
      <c r="P14" s="1302"/>
      <c r="Q14" s="1299"/>
    </row>
    <row r="15" spans="1:18">
      <c r="A15" s="1302"/>
      <c r="B15" s="1302"/>
      <c r="C15" s="1302"/>
      <c r="D15" s="1305"/>
      <c r="E15" s="1302"/>
      <c r="F15" s="1302"/>
      <c r="G15" s="1302"/>
      <c r="H15" s="1302"/>
      <c r="I15" s="1302"/>
      <c r="J15" s="1302"/>
      <c r="K15" s="1302"/>
      <c r="L15" s="1302"/>
      <c r="M15" s="1302"/>
      <c r="N15" s="1302"/>
      <c r="O15" s="1302"/>
      <c r="P15" s="1302"/>
      <c r="Q15" s="1299"/>
    </row>
    <row r="16" spans="1:18">
      <c r="A16" s="1302"/>
      <c r="B16" s="1302" t="s">
        <v>1853</v>
      </c>
      <c r="C16" s="1302"/>
      <c r="D16" s="1305"/>
      <c r="E16" s="1302"/>
      <c r="F16" s="1302"/>
      <c r="G16" s="1302"/>
      <c r="H16" s="1302"/>
      <c r="I16" s="1302"/>
      <c r="J16" s="1302"/>
      <c r="K16" s="1302"/>
      <c r="L16" s="1302"/>
      <c r="M16" s="1302"/>
      <c r="N16" s="1302"/>
      <c r="O16" s="1302"/>
      <c r="P16" s="1302"/>
      <c r="Q16" s="1299"/>
    </row>
    <row r="17" spans="1:17">
      <c r="A17" s="1302"/>
      <c r="B17" s="1305"/>
      <c r="C17" s="1302"/>
      <c r="D17" s="1305"/>
      <c r="E17" s="1302"/>
      <c r="F17" s="1302"/>
      <c r="G17" s="1302"/>
      <c r="H17" s="1302"/>
      <c r="I17" s="1302"/>
      <c r="J17" s="1302"/>
      <c r="K17" s="1302"/>
      <c r="L17" s="1302"/>
      <c r="M17" s="1302"/>
      <c r="N17" s="1302"/>
      <c r="O17" s="1302"/>
      <c r="P17" s="1302"/>
      <c r="Q17" s="1299"/>
    </row>
    <row r="18" spans="1:17" s="1317" customFormat="1" ht="31.2">
      <c r="A18" s="1319"/>
      <c r="B18" s="1321"/>
      <c r="C18" s="1320" t="s">
        <v>12</v>
      </c>
      <c r="D18" s="1320" t="s">
        <v>1852</v>
      </c>
      <c r="E18" s="1319"/>
      <c r="F18" s="1320" t="s">
        <v>12</v>
      </c>
      <c r="G18" s="1320" t="s">
        <v>400</v>
      </c>
      <c r="H18" s="1320" t="s">
        <v>1851</v>
      </c>
      <c r="I18" s="1320" t="s">
        <v>1465</v>
      </c>
      <c r="J18" s="1320" t="s">
        <v>440</v>
      </c>
      <c r="K18" s="1319"/>
      <c r="L18" s="1319"/>
      <c r="M18" s="1319"/>
      <c r="N18" s="1319"/>
      <c r="O18" s="1319"/>
      <c r="P18" s="1319"/>
      <c r="Q18" s="1318"/>
    </row>
    <row r="19" spans="1:17">
      <c r="A19" s="1302"/>
      <c r="B19" s="1305"/>
      <c r="C19" s="1315">
        <v>0.5</v>
      </c>
      <c r="D19" s="1316">
        <v>4.2000000000000003E-2</v>
      </c>
      <c r="E19" s="1302"/>
      <c r="F19" s="1315">
        <v>0</v>
      </c>
      <c r="G19" s="1314">
        <v>95000</v>
      </c>
      <c r="H19" s="1314">
        <v>143000</v>
      </c>
      <c r="I19" s="1314">
        <v>4536000</v>
      </c>
      <c r="J19" s="1314">
        <v>4774000</v>
      </c>
      <c r="K19" s="1302"/>
      <c r="L19" s="1302"/>
      <c r="M19" s="1302"/>
      <c r="N19" s="1302"/>
      <c r="O19" s="1302"/>
      <c r="P19" s="1302"/>
      <c r="Q19" s="1299"/>
    </row>
    <row r="20" spans="1:17">
      <c r="A20" s="1302"/>
      <c r="B20" s="1305"/>
      <c r="C20" s="1315">
        <v>1.5</v>
      </c>
      <c r="D20" s="1316">
        <v>4.2999999999999997E-2</v>
      </c>
      <c r="E20" s="1302"/>
      <c r="F20" s="1315">
        <v>1</v>
      </c>
      <c r="G20" s="1314">
        <v>213000</v>
      </c>
      <c r="H20" s="1314">
        <v>320000</v>
      </c>
      <c r="I20" s="1314">
        <v>4466000</v>
      </c>
      <c r="J20" s="1314">
        <v>4999000</v>
      </c>
      <c r="K20" s="1302"/>
      <c r="L20" s="1302"/>
      <c r="M20" s="1302"/>
      <c r="N20" s="1302"/>
      <c r="O20" s="1302"/>
      <c r="P20" s="1302"/>
      <c r="Q20" s="1299"/>
    </row>
    <row r="21" spans="1:17">
      <c r="A21" s="1302"/>
      <c r="B21" s="1305"/>
      <c r="C21" s="1315">
        <v>2.5</v>
      </c>
      <c r="D21" s="1316">
        <v>4.2999999999999997E-2</v>
      </c>
      <c r="E21" s="1302"/>
      <c r="F21" s="1315">
        <v>2</v>
      </c>
      <c r="G21" s="1314">
        <v>331000</v>
      </c>
      <c r="H21" s="1314">
        <v>496000</v>
      </c>
      <c r="I21" s="1314">
        <v>4388000</v>
      </c>
      <c r="J21" s="1314">
        <v>5215000</v>
      </c>
      <c r="K21" s="1302"/>
      <c r="L21" s="1302"/>
      <c r="M21" s="1302"/>
      <c r="N21" s="1302"/>
      <c r="O21" s="1302"/>
      <c r="P21" s="1302"/>
      <c r="Q21" s="1299"/>
    </row>
    <row r="22" spans="1:17">
      <c r="A22" s="1302"/>
      <c r="B22" s="1305"/>
      <c r="C22" s="1315">
        <v>3.5</v>
      </c>
      <c r="D22" s="1316">
        <v>4.2999999999999997E-2</v>
      </c>
      <c r="E22" s="1302"/>
      <c r="F22" s="1315">
        <v>3</v>
      </c>
      <c r="G22" s="1314">
        <v>448000</v>
      </c>
      <c r="H22" s="1314">
        <v>672000</v>
      </c>
      <c r="I22" s="1314">
        <v>4301000</v>
      </c>
      <c r="J22" s="1314">
        <v>5421000</v>
      </c>
      <c r="K22" s="1302"/>
      <c r="L22" s="1302"/>
      <c r="M22" s="1302"/>
      <c r="N22" s="1302"/>
      <c r="O22" s="1302"/>
      <c r="P22" s="1302"/>
      <c r="Q22" s="1299"/>
    </row>
    <row r="23" spans="1:17">
      <c r="A23" s="1302"/>
      <c r="B23" s="1305"/>
      <c r="C23" s="1315">
        <v>4.5</v>
      </c>
      <c r="D23" s="1316">
        <v>4.3999999999999997E-2</v>
      </c>
      <c r="E23" s="1302"/>
      <c r="F23" s="1315">
        <v>4</v>
      </c>
      <c r="G23" s="1314">
        <v>565000</v>
      </c>
      <c r="H23" s="1314">
        <v>847000</v>
      </c>
      <c r="I23" s="1314">
        <v>4204000</v>
      </c>
      <c r="J23" s="1314">
        <v>5616000</v>
      </c>
      <c r="K23" s="1302"/>
      <c r="L23" s="1302"/>
      <c r="M23" s="1302"/>
      <c r="N23" s="1302"/>
      <c r="O23" s="1302"/>
      <c r="P23" s="1302"/>
      <c r="Q23" s="1299"/>
    </row>
    <row r="24" spans="1:17">
      <c r="A24" s="1302"/>
      <c r="B24" s="1305"/>
      <c r="C24" s="1315">
        <v>5.5</v>
      </c>
      <c r="D24" s="1316">
        <v>4.3999999999999997E-2</v>
      </c>
      <c r="E24" s="1302"/>
      <c r="F24" s="1315">
        <v>5</v>
      </c>
      <c r="G24" s="1314">
        <v>680000</v>
      </c>
      <c r="H24" s="1314">
        <v>1020000</v>
      </c>
      <c r="I24" s="1314">
        <v>4099000</v>
      </c>
      <c r="J24" s="1314">
        <v>5799000</v>
      </c>
      <c r="K24" s="1302"/>
      <c r="L24" s="1302"/>
      <c r="M24" s="1302"/>
      <c r="N24" s="1302"/>
      <c r="O24" s="1302"/>
      <c r="P24" s="1302"/>
      <c r="Q24" s="1299"/>
    </row>
    <row r="25" spans="1:17">
      <c r="A25" s="1302"/>
      <c r="B25" s="1305"/>
      <c r="C25" s="1315">
        <v>6.5</v>
      </c>
      <c r="D25" s="1316">
        <v>4.3999999999999997E-2</v>
      </c>
      <c r="E25" s="1302"/>
      <c r="F25" s="1315">
        <v>6</v>
      </c>
      <c r="G25" s="1314">
        <v>793000</v>
      </c>
      <c r="H25" s="1314">
        <v>1190000</v>
      </c>
      <c r="I25" s="1314">
        <v>3983000</v>
      </c>
      <c r="J25" s="1314">
        <v>5966000</v>
      </c>
      <c r="K25" s="1302"/>
      <c r="L25" s="1302"/>
      <c r="M25" s="1302"/>
      <c r="N25" s="1302"/>
      <c r="O25" s="1302"/>
      <c r="P25" s="1302"/>
      <c r="Q25" s="1299"/>
    </row>
    <row r="26" spans="1:17">
      <c r="A26" s="1302"/>
      <c r="B26" s="1305"/>
      <c r="C26" s="1315">
        <v>7.5</v>
      </c>
      <c r="D26" s="1316">
        <v>4.3999999999999997E-2</v>
      </c>
      <c r="E26" s="1302"/>
      <c r="F26" s="1315">
        <v>7</v>
      </c>
      <c r="G26" s="1314">
        <v>904000</v>
      </c>
      <c r="H26" s="1314">
        <v>1356000</v>
      </c>
      <c r="I26" s="1314">
        <v>3857000</v>
      </c>
      <c r="J26" s="1314">
        <v>6117000</v>
      </c>
      <c r="K26" s="1302"/>
      <c r="L26" s="1302"/>
      <c r="M26" s="1302"/>
      <c r="N26" s="1302"/>
      <c r="O26" s="1302"/>
      <c r="P26" s="1302"/>
      <c r="Q26" s="1299"/>
    </row>
    <row r="27" spans="1:17">
      <c r="A27" s="1302"/>
      <c r="B27" s="1305"/>
      <c r="C27" s="1315">
        <v>8.5</v>
      </c>
      <c r="D27" s="1316">
        <v>4.4999999999999998E-2</v>
      </c>
      <c r="E27" s="1302"/>
      <c r="F27" s="1315">
        <v>8</v>
      </c>
      <c r="G27" s="1314">
        <v>1011000</v>
      </c>
      <c r="H27" s="1314">
        <v>1517000</v>
      </c>
      <c r="I27" s="1314">
        <v>3721000</v>
      </c>
      <c r="J27" s="1314">
        <v>6249000</v>
      </c>
      <c r="K27" s="1302"/>
      <c r="L27" s="1302"/>
      <c r="M27" s="1302"/>
      <c r="N27" s="1302"/>
      <c r="O27" s="1302"/>
      <c r="P27" s="1302"/>
      <c r="Q27" s="1299"/>
    </row>
    <row r="28" spans="1:17">
      <c r="A28" s="1302"/>
      <c r="B28" s="1305"/>
      <c r="C28" s="1315">
        <v>9.5</v>
      </c>
      <c r="D28" s="1316">
        <v>4.4999999999999998E-2</v>
      </c>
      <c r="E28" s="1302"/>
      <c r="F28" s="1315">
        <v>9</v>
      </c>
      <c r="G28" s="1314">
        <v>1114000</v>
      </c>
      <c r="H28" s="1314">
        <v>1671000</v>
      </c>
      <c r="I28" s="1314">
        <v>3576000</v>
      </c>
      <c r="J28" s="1314">
        <v>6361000</v>
      </c>
      <c r="K28" s="1302"/>
      <c r="L28" s="1302"/>
      <c r="M28" s="1302"/>
      <c r="N28" s="1302"/>
      <c r="O28" s="1302"/>
      <c r="P28" s="1302"/>
      <c r="Q28" s="1299"/>
    </row>
    <row r="29" spans="1:17">
      <c r="A29" s="1302"/>
      <c r="B29" s="1305"/>
      <c r="C29" s="1315">
        <v>10.5</v>
      </c>
      <c r="D29" s="1316">
        <v>4.4999999999999998E-2</v>
      </c>
      <c r="E29" s="1302"/>
      <c r="F29" s="1315">
        <v>10</v>
      </c>
      <c r="G29" s="1314">
        <v>1213000</v>
      </c>
      <c r="H29" s="1314">
        <v>1819000</v>
      </c>
      <c r="I29" s="1314">
        <v>3421000</v>
      </c>
      <c r="J29" s="1314">
        <v>6453000</v>
      </c>
      <c r="K29" s="1302"/>
      <c r="L29" s="1302"/>
      <c r="M29" s="1302"/>
      <c r="N29" s="1302"/>
      <c r="O29" s="1302"/>
      <c r="P29" s="1302"/>
      <c r="Q29" s="1299"/>
    </row>
    <row r="30" spans="1:17">
      <c r="A30" s="1302"/>
      <c r="B30" s="1305"/>
      <c r="C30" s="1315">
        <v>11.5</v>
      </c>
      <c r="D30" s="1316">
        <v>4.4999999999999998E-2</v>
      </c>
      <c r="E30" s="1302"/>
      <c r="F30" s="1315">
        <v>11</v>
      </c>
      <c r="G30" s="1314">
        <v>1306000</v>
      </c>
      <c r="H30" s="1314">
        <v>1959000</v>
      </c>
      <c r="I30" s="1314">
        <v>3258000</v>
      </c>
      <c r="J30" s="1314">
        <v>6523000</v>
      </c>
      <c r="K30" s="1302"/>
      <c r="L30" s="1302"/>
      <c r="M30" s="1302"/>
      <c r="N30" s="1302"/>
      <c r="O30" s="1302"/>
      <c r="P30" s="1302"/>
      <c r="Q30" s="1299"/>
    </row>
    <row r="31" spans="1:17">
      <c r="A31" s="1302"/>
      <c r="B31" s="1305"/>
      <c r="C31" s="1315">
        <v>12.5</v>
      </c>
      <c r="D31" s="1316">
        <v>4.4999999999999998E-2</v>
      </c>
      <c r="E31" s="1302"/>
      <c r="F31" s="1315">
        <v>12</v>
      </c>
      <c r="G31" s="1314">
        <v>1393000</v>
      </c>
      <c r="H31" s="1314">
        <v>2089000</v>
      </c>
      <c r="I31" s="1314">
        <v>3088000</v>
      </c>
      <c r="J31" s="1314">
        <v>6570000</v>
      </c>
      <c r="K31" s="1302"/>
      <c r="L31" s="1302"/>
      <c r="M31" s="1302"/>
      <c r="N31" s="1302"/>
      <c r="O31" s="1302"/>
      <c r="P31" s="1302"/>
      <c r="Q31" s="1299"/>
    </row>
    <row r="32" spans="1:17">
      <c r="A32" s="1302"/>
      <c r="B32" s="1305"/>
      <c r="C32" s="1315">
        <v>13.5</v>
      </c>
      <c r="D32" s="1316">
        <v>4.5999999999999999E-2</v>
      </c>
      <c r="E32" s="1302"/>
      <c r="F32" s="1315">
        <v>13</v>
      </c>
      <c r="G32" s="1314">
        <v>1473000</v>
      </c>
      <c r="H32" s="1314">
        <v>2209000</v>
      </c>
      <c r="I32" s="1314">
        <v>2912000</v>
      </c>
      <c r="J32" s="1314">
        <v>6594000</v>
      </c>
      <c r="K32" s="1302"/>
      <c r="L32" s="1302"/>
      <c r="M32" s="1302"/>
      <c r="N32" s="1302"/>
      <c r="O32" s="1302"/>
      <c r="P32" s="1302"/>
      <c r="Q32" s="1299"/>
    </row>
    <row r="33" spans="1:17">
      <c r="A33" s="1302"/>
      <c r="B33" s="1305"/>
      <c r="C33" s="1315">
        <v>14.5</v>
      </c>
      <c r="D33" s="1316">
        <v>4.7E-2</v>
      </c>
      <c r="E33" s="1302"/>
      <c r="F33" s="1315">
        <v>14</v>
      </c>
      <c r="G33" s="1314">
        <v>1544000</v>
      </c>
      <c r="H33" s="1314">
        <v>2317000</v>
      </c>
      <c r="I33" s="1314">
        <v>2733000</v>
      </c>
      <c r="J33" s="1314">
        <v>6594000</v>
      </c>
      <c r="K33" s="1302"/>
      <c r="L33" s="1302"/>
      <c r="M33" s="1302"/>
      <c r="N33" s="1302"/>
      <c r="O33" s="1302"/>
      <c r="P33" s="1302"/>
      <c r="Q33" s="1299"/>
    </row>
    <row r="34" spans="1:17">
      <c r="A34" s="1302"/>
      <c r="B34" s="1305"/>
      <c r="C34" s="1315">
        <v>15.5</v>
      </c>
      <c r="D34" s="1316">
        <v>4.7E-2</v>
      </c>
      <c r="E34" s="1302"/>
      <c r="F34" s="1315">
        <v>15</v>
      </c>
      <c r="G34" s="1314">
        <v>1608000</v>
      </c>
      <c r="H34" s="1314">
        <v>2411000</v>
      </c>
      <c r="I34" s="1314">
        <v>2551000</v>
      </c>
      <c r="J34" s="1314">
        <v>6570000</v>
      </c>
      <c r="K34" s="1302"/>
      <c r="L34" s="1302"/>
      <c r="M34" s="1302"/>
      <c r="N34" s="1302"/>
      <c r="O34" s="1302"/>
      <c r="P34" s="1302"/>
      <c r="Q34" s="1299"/>
    </row>
    <row r="35" spans="1:17">
      <c r="A35" s="1302"/>
      <c r="B35" s="1305"/>
      <c r="C35" s="1315">
        <v>16.5</v>
      </c>
      <c r="D35" s="1316">
        <v>4.7E-2</v>
      </c>
      <c r="E35" s="1302"/>
      <c r="F35" s="1315">
        <v>16</v>
      </c>
      <c r="G35" s="1314">
        <v>1662000</v>
      </c>
      <c r="H35" s="1314">
        <v>2492000</v>
      </c>
      <c r="I35" s="1314">
        <v>2369000</v>
      </c>
      <c r="J35" s="1314">
        <v>6523000</v>
      </c>
      <c r="K35" s="1302"/>
      <c r="L35" s="1302"/>
      <c r="M35" s="1302"/>
      <c r="N35" s="1302"/>
      <c r="O35" s="1302"/>
      <c r="P35" s="1302"/>
      <c r="Q35" s="1299"/>
    </row>
    <row r="36" spans="1:17">
      <c r="A36" s="1302"/>
      <c r="B36" s="1305"/>
      <c r="C36" s="1315">
        <v>17.5</v>
      </c>
      <c r="D36" s="1316">
        <v>4.8000000000000001E-2</v>
      </c>
      <c r="E36" s="1302"/>
      <c r="F36" s="1315">
        <v>17</v>
      </c>
      <c r="G36" s="1314">
        <v>1706000</v>
      </c>
      <c r="H36" s="1314">
        <v>2559000</v>
      </c>
      <c r="I36" s="1314">
        <v>2188000</v>
      </c>
      <c r="J36" s="1314">
        <v>6453000</v>
      </c>
      <c r="K36" s="1302"/>
      <c r="L36" s="1302"/>
      <c r="M36" s="1302"/>
      <c r="N36" s="1302"/>
      <c r="O36" s="1302"/>
      <c r="P36" s="1302"/>
      <c r="Q36" s="1299"/>
    </row>
    <row r="37" spans="1:17">
      <c r="A37" s="1302"/>
      <c r="B37" s="1305"/>
      <c r="C37" s="1315">
        <v>18.5</v>
      </c>
      <c r="D37" s="1316">
        <v>4.8000000000000001E-2</v>
      </c>
      <c r="E37" s="1302"/>
      <c r="F37" s="1315">
        <v>18</v>
      </c>
      <c r="G37" s="1314">
        <v>1740000</v>
      </c>
      <c r="H37" s="1314">
        <v>2610000</v>
      </c>
      <c r="I37" s="1314">
        <v>2009000</v>
      </c>
      <c r="J37" s="1314">
        <v>6359000</v>
      </c>
      <c r="K37" s="1302"/>
      <c r="L37" s="1302"/>
      <c r="M37" s="1302"/>
      <c r="N37" s="1302"/>
      <c r="O37" s="1302"/>
      <c r="P37" s="1302"/>
      <c r="Q37" s="1299"/>
    </row>
    <row r="38" spans="1:17">
      <c r="A38" s="1302"/>
      <c r="B38" s="1305"/>
      <c r="C38" s="1315">
        <v>19.5</v>
      </c>
      <c r="D38" s="1316">
        <v>4.9000000000000002E-2</v>
      </c>
      <c r="E38" s="1302"/>
      <c r="F38" s="1315">
        <v>19</v>
      </c>
      <c r="G38" s="1314">
        <v>1764000</v>
      </c>
      <c r="H38" s="1314">
        <v>2646000</v>
      </c>
      <c r="I38" s="1314">
        <v>1835000</v>
      </c>
      <c r="J38" s="1314">
        <v>6245000</v>
      </c>
      <c r="K38" s="1302"/>
      <c r="L38" s="1302"/>
      <c r="M38" s="1302"/>
      <c r="N38" s="1302"/>
      <c r="O38" s="1302"/>
      <c r="P38" s="1302"/>
      <c r="Q38" s="1299"/>
    </row>
    <row r="39" spans="1:17">
      <c r="A39" s="1302"/>
      <c r="B39" s="1305"/>
      <c r="C39" s="1315">
        <v>20.5</v>
      </c>
      <c r="D39" s="1316">
        <v>4.9000000000000002E-2</v>
      </c>
      <c r="E39" s="1302"/>
      <c r="F39" s="1315">
        <v>20</v>
      </c>
      <c r="G39" s="1314">
        <v>1778000</v>
      </c>
      <c r="H39" s="1314">
        <v>2666000</v>
      </c>
      <c r="I39" s="1314">
        <v>1666000</v>
      </c>
      <c r="J39" s="1314">
        <v>6110000</v>
      </c>
      <c r="K39" s="1302"/>
      <c r="L39" s="1302"/>
      <c r="M39" s="1302"/>
      <c r="N39" s="1302"/>
      <c r="O39" s="1302"/>
      <c r="P39" s="1302"/>
      <c r="Q39" s="1299"/>
    </row>
    <row r="40" spans="1:17">
      <c r="A40" s="1302"/>
      <c r="B40" s="1305"/>
      <c r="C40" s="1315">
        <v>21.5</v>
      </c>
      <c r="D40" s="1316">
        <v>0.05</v>
      </c>
      <c r="E40" s="1302"/>
      <c r="F40" s="1315">
        <v>21</v>
      </c>
      <c r="G40" s="1314">
        <v>1781000</v>
      </c>
      <c r="H40" s="1314">
        <v>2672000</v>
      </c>
      <c r="I40" s="1314">
        <v>1502000</v>
      </c>
      <c r="J40" s="1314">
        <v>5955000</v>
      </c>
      <c r="K40" s="1302"/>
      <c r="L40" s="1302"/>
      <c r="M40" s="1302"/>
      <c r="N40" s="1302"/>
      <c r="O40" s="1302"/>
      <c r="P40" s="1302"/>
      <c r="Q40" s="1299"/>
    </row>
    <row r="41" spans="1:17">
      <c r="A41" s="1302"/>
      <c r="B41" s="1305"/>
      <c r="C41" s="1315">
        <v>22.5</v>
      </c>
      <c r="D41" s="1316">
        <v>0.05</v>
      </c>
      <c r="E41" s="1302"/>
      <c r="F41" s="1315">
        <v>22</v>
      </c>
      <c r="G41" s="1314">
        <v>1775000</v>
      </c>
      <c r="H41" s="1314">
        <v>2662000</v>
      </c>
      <c r="I41" s="1314">
        <v>1346000</v>
      </c>
      <c r="J41" s="1314">
        <v>5783000</v>
      </c>
      <c r="K41" s="1302"/>
      <c r="L41" s="1302"/>
      <c r="M41" s="1302"/>
      <c r="N41" s="1302"/>
      <c r="O41" s="1302"/>
      <c r="P41" s="1302"/>
      <c r="Q41" s="1299"/>
    </row>
    <row r="42" spans="1:17">
      <c r="A42" s="1302"/>
      <c r="B42" s="1305"/>
      <c r="C42" s="1315">
        <v>23.5</v>
      </c>
      <c r="D42" s="1316">
        <v>5.0999999999999997E-2</v>
      </c>
      <c r="E42" s="1302"/>
      <c r="F42" s="1315">
        <v>23</v>
      </c>
      <c r="G42" s="1314">
        <v>1759000</v>
      </c>
      <c r="H42" s="1314">
        <v>2639000</v>
      </c>
      <c r="I42" s="1314">
        <v>1198000</v>
      </c>
      <c r="J42" s="1314">
        <v>5596000</v>
      </c>
      <c r="K42" s="1302"/>
      <c r="L42" s="1302"/>
      <c r="M42" s="1302"/>
      <c r="N42" s="1302"/>
      <c r="O42" s="1302"/>
      <c r="P42" s="1302"/>
      <c r="Q42" s="1299"/>
    </row>
    <row r="43" spans="1:17">
      <c r="A43" s="1302"/>
      <c r="B43" s="1305"/>
      <c r="C43" s="1315">
        <v>24.5</v>
      </c>
      <c r="D43" s="1316">
        <v>5.0999999999999997E-2</v>
      </c>
      <c r="E43" s="1302"/>
      <c r="F43" s="1315">
        <v>24</v>
      </c>
      <c r="G43" s="1314">
        <v>1735000</v>
      </c>
      <c r="H43" s="1314">
        <v>2602000</v>
      </c>
      <c r="I43" s="1314">
        <v>1058000</v>
      </c>
      <c r="J43" s="1314">
        <v>5395000</v>
      </c>
      <c r="K43" s="1302"/>
      <c r="L43" s="1302"/>
      <c r="M43" s="1302"/>
      <c r="N43" s="1302"/>
      <c r="O43" s="1302"/>
      <c r="P43" s="1302"/>
      <c r="Q43" s="1299"/>
    </row>
    <row r="44" spans="1:17">
      <c r="A44" s="1302"/>
      <c r="B44" s="1305"/>
      <c r="C44" s="1315">
        <v>25.5</v>
      </c>
      <c r="D44" s="1316">
        <v>5.0999999999999997E-2</v>
      </c>
      <c r="E44" s="1302"/>
      <c r="F44" s="1315">
        <v>25</v>
      </c>
      <c r="G44" s="1314">
        <v>1702000</v>
      </c>
      <c r="H44" s="1314">
        <v>2553000</v>
      </c>
      <c r="I44" s="1314">
        <v>926000</v>
      </c>
      <c r="J44" s="1314">
        <v>5181000</v>
      </c>
      <c r="K44" s="1302"/>
      <c r="L44" s="1302"/>
      <c r="M44" s="1302"/>
      <c r="N44" s="1302"/>
      <c r="O44" s="1302"/>
      <c r="P44" s="1302"/>
      <c r="Q44" s="1299"/>
    </row>
    <row r="45" spans="1:17">
      <c r="A45" s="1302"/>
      <c r="B45" s="1305"/>
      <c r="C45" s="1315">
        <v>26.5</v>
      </c>
      <c r="D45" s="1316">
        <v>5.1999999999999998E-2</v>
      </c>
      <c r="E45" s="1302"/>
      <c r="F45" s="1315">
        <v>26</v>
      </c>
      <c r="G45" s="1314">
        <v>1662000</v>
      </c>
      <c r="H45" s="1314">
        <v>2492000</v>
      </c>
      <c r="I45" s="1314">
        <v>803000</v>
      </c>
      <c r="J45" s="1314">
        <v>4957000</v>
      </c>
      <c r="K45" s="1302"/>
      <c r="L45" s="1302"/>
      <c r="M45" s="1302"/>
      <c r="N45" s="1302"/>
      <c r="O45" s="1302"/>
      <c r="P45" s="1302"/>
      <c r="Q45" s="1299"/>
    </row>
    <row r="46" spans="1:17">
      <c r="A46" s="1302"/>
      <c r="B46" s="1305"/>
      <c r="C46" s="1315">
        <v>27.5</v>
      </c>
      <c r="D46" s="1316">
        <v>5.1999999999999998E-2</v>
      </c>
      <c r="E46" s="1302"/>
      <c r="F46" s="1315">
        <v>27</v>
      </c>
      <c r="G46" s="1314">
        <v>1614000</v>
      </c>
      <c r="H46" s="1314">
        <v>2421000</v>
      </c>
      <c r="I46" s="1314">
        <v>689000</v>
      </c>
      <c r="J46" s="1314">
        <v>4724000</v>
      </c>
      <c r="K46" s="1302"/>
      <c r="L46" s="1302"/>
      <c r="M46" s="1302"/>
      <c r="N46" s="1302"/>
      <c r="O46" s="1302"/>
      <c r="P46" s="1302"/>
      <c r="Q46" s="1299"/>
    </row>
    <row r="47" spans="1:17">
      <c r="A47" s="1302"/>
      <c r="B47" s="1305"/>
      <c r="C47" s="1315">
        <v>28.5</v>
      </c>
      <c r="D47" s="1316">
        <v>5.2999999999999999E-2</v>
      </c>
      <c r="E47" s="1302"/>
      <c r="F47" s="1315">
        <v>28</v>
      </c>
      <c r="G47" s="1314">
        <v>1561000</v>
      </c>
      <c r="H47" s="1314">
        <v>2341000</v>
      </c>
      <c r="I47" s="1314">
        <v>584000</v>
      </c>
      <c r="J47" s="1314">
        <v>4486000</v>
      </c>
      <c r="K47" s="1302"/>
      <c r="L47" s="1302"/>
      <c r="M47" s="1302"/>
      <c r="N47" s="1302"/>
      <c r="O47" s="1302"/>
      <c r="P47" s="1302"/>
      <c r="Q47" s="1299"/>
    </row>
    <row r="48" spans="1:17">
      <c r="A48" s="1302"/>
      <c r="B48" s="1305"/>
      <c r="C48" s="1315" t="s">
        <v>1850</v>
      </c>
      <c r="D48" s="1316">
        <v>5.5E-2</v>
      </c>
      <c r="E48" s="1302"/>
      <c r="F48" s="1315">
        <v>29</v>
      </c>
      <c r="G48" s="1314">
        <v>1502000</v>
      </c>
      <c r="H48" s="1314">
        <v>2252000</v>
      </c>
      <c r="I48" s="1314">
        <v>489000</v>
      </c>
      <c r="J48" s="1314">
        <v>4243000</v>
      </c>
      <c r="K48" s="1302"/>
      <c r="L48" s="1302"/>
      <c r="M48" s="1302"/>
      <c r="N48" s="1302"/>
      <c r="O48" s="1302"/>
      <c r="P48" s="1302"/>
      <c r="Q48" s="1299"/>
    </row>
    <row r="49" spans="1:17">
      <c r="A49" s="1302"/>
      <c r="B49" s="1305"/>
      <c r="C49" s="1302"/>
      <c r="D49" s="1305"/>
      <c r="E49" s="1302"/>
      <c r="F49" s="1315">
        <v>30</v>
      </c>
      <c r="G49" s="1314">
        <v>1438000</v>
      </c>
      <c r="H49" s="1314">
        <v>2157000</v>
      </c>
      <c r="I49" s="1314">
        <v>404000</v>
      </c>
      <c r="J49" s="1314">
        <v>3999000</v>
      </c>
      <c r="K49" s="1302"/>
      <c r="L49" s="1302"/>
      <c r="M49" s="1302"/>
      <c r="N49" s="1302"/>
      <c r="O49" s="1302"/>
      <c r="P49" s="1302"/>
      <c r="Q49" s="1299"/>
    </row>
    <row r="50" spans="1:17">
      <c r="A50" s="1302"/>
      <c r="B50" s="1305"/>
      <c r="C50" s="1302"/>
      <c r="D50" s="1305"/>
      <c r="E50" s="1302"/>
      <c r="F50" s="1315">
        <v>31</v>
      </c>
      <c r="G50" s="1314">
        <v>1370000</v>
      </c>
      <c r="H50" s="1314">
        <v>2055000</v>
      </c>
      <c r="I50" s="1314">
        <v>329000</v>
      </c>
      <c r="J50" s="1314">
        <v>3754000</v>
      </c>
      <c r="K50" s="1302"/>
      <c r="L50" s="1302"/>
      <c r="M50" s="1302"/>
      <c r="N50" s="1302"/>
      <c r="O50" s="1302"/>
      <c r="P50" s="1302"/>
      <c r="Q50" s="1299"/>
    </row>
    <row r="51" spans="1:17">
      <c r="A51" s="1302"/>
      <c r="B51" s="1305"/>
      <c r="C51" s="1302"/>
      <c r="D51" s="1305"/>
      <c r="E51" s="1302"/>
      <c r="F51" s="1315">
        <v>32</v>
      </c>
      <c r="G51" s="1314">
        <v>1299000</v>
      </c>
      <c r="H51" s="1314">
        <v>1948000</v>
      </c>
      <c r="I51" s="1314">
        <v>264000</v>
      </c>
      <c r="J51" s="1314">
        <v>3511000</v>
      </c>
      <c r="K51" s="1302"/>
      <c r="L51" s="1302"/>
      <c r="M51" s="1302"/>
      <c r="N51" s="1302"/>
      <c r="O51" s="1302"/>
      <c r="P51" s="1302"/>
      <c r="Q51" s="1299"/>
    </row>
    <row r="52" spans="1:17">
      <c r="A52" s="1302"/>
      <c r="B52" s="1305"/>
      <c r="C52" s="1302"/>
      <c r="D52" s="1305"/>
      <c r="E52" s="1302"/>
      <c r="F52" s="1315">
        <v>33</v>
      </c>
      <c r="G52" s="1314">
        <v>1225000</v>
      </c>
      <c r="H52" s="1314">
        <v>1837000</v>
      </c>
      <c r="I52" s="1314">
        <v>207000</v>
      </c>
      <c r="J52" s="1314">
        <v>3269000</v>
      </c>
      <c r="K52" s="1302"/>
      <c r="L52" s="1302"/>
      <c r="M52" s="1302"/>
      <c r="N52" s="1302"/>
      <c r="O52" s="1302"/>
      <c r="P52" s="1302"/>
      <c r="Q52" s="1299"/>
    </row>
    <row r="53" spans="1:17">
      <c r="A53" s="1302"/>
      <c r="B53" s="1305"/>
      <c r="C53" s="1302"/>
      <c r="D53" s="1305"/>
      <c r="E53" s="1302"/>
      <c r="F53" s="1315">
        <v>34</v>
      </c>
      <c r="G53" s="1314">
        <v>1150000</v>
      </c>
      <c r="H53" s="1314">
        <v>1724000</v>
      </c>
      <c r="I53" s="1314">
        <v>160000</v>
      </c>
      <c r="J53" s="1314">
        <v>3034000</v>
      </c>
      <c r="K53" s="1302"/>
      <c r="L53" s="1302"/>
      <c r="M53" s="1302"/>
      <c r="N53" s="1302"/>
      <c r="O53" s="1302"/>
      <c r="P53" s="1302"/>
      <c r="Q53" s="1299"/>
    </row>
    <row r="54" spans="1:17">
      <c r="A54" s="1302"/>
      <c r="B54" s="1305"/>
      <c r="C54" s="1302"/>
      <c r="D54" s="1305"/>
      <c r="E54" s="1302"/>
      <c r="F54" s="1315">
        <v>35</v>
      </c>
      <c r="G54" s="1314">
        <v>1073000</v>
      </c>
      <c r="H54" s="1314">
        <v>1610000</v>
      </c>
      <c r="I54" s="1314">
        <v>121000</v>
      </c>
      <c r="J54" s="1314">
        <v>2804000</v>
      </c>
      <c r="K54" s="1302"/>
      <c r="L54" s="1302"/>
      <c r="M54" s="1302"/>
      <c r="N54" s="1302"/>
      <c r="O54" s="1302"/>
      <c r="P54" s="1302"/>
      <c r="Q54" s="1299"/>
    </row>
    <row r="55" spans="1:17">
      <c r="A55" s="1302"/>
      <c r="B55" s="1305"/>
      <c r="C55" s="1302"/>
      <c r="D55" s="1305"/>
      <c r="E55" s="1302"/>
      <c r="F55" s="1315">
        <v>36</v>
      </c>
      <c r="G55" s="1314">
        <v>997000</v>
      </c>
      <c r="H55" s="1314">
        <v>1496000</v>
      </c>
      <c r="I55" s="1314">
        <v>89000</v>
      </c>
      <c r="J55" s="1314">
        <v>2582000</v>
      </c>
      <c r="K55" s="1302"/>
      <c r="L55" s="1302"/>
      <c r="M55" s="1302"/>
      <c r="N55" s="1302"/>
      <c r="O55" s="1302"/>
      <c r="P55" s="1302"/>
      <c r="Q55" s="1299"/>
    </row>
    <row r="56" spans="1:17">
      <c r="A56" s="1302"/>
      <c r="B56" s="1305"/>
      <c r="C56" s="1302"/>
      <c r="D56" s="1305"/>
      <c r="E56" s="1302"/>
      <c r="F56" s="1315">
        <v>37</v>
      </c>
      <c r="G56" s="1314">
        <v>921000</v>
      </c>
      <c r="H56" s="1314">
        <v>1382000</v>
      </c>
      <c r="I56" s="1314">
        <v>64000</v>
      </c>
      <c r="J56" s="1314">
        <v>2367000</v>
      </c>
      <c r="K56" s="1302"/>
      <c r="L56" s="1302"/>
      <c r="M56" s="1302"/>
      <c r="N56" s="1302"/>
      <c r="O56" s="1302"/>
      <c r="P56" s="1302"/>
      <c r="Q56" s="1299"/>
    </row>
    <row r="57" spans="1:17">
      <c r="A57" s="1302"/>
      <c r="B57" s="1305"/>
      <c r="C57" s="1302"/>
      <c r="D57" s="1305"/>
      <c r="E57" s="1302"/>
      <c r="F57" s="1315">
        <v>38</v>
      </c>
      <c r="G57" s="1314">
        <v>847000</v>
      </c>
      <c r="H57" s="1314">
        <v>1271000</v>
      </c>
      <c r="I57" s="1314">
        <v>45000</v>
      </c>
      <c r="J57" s="1314">
        <v>2163000</v>
      </c>
      <c r="K57" s="1302"/>
      <c r="L57" s="1302"/>
      <c r="M57" s="1302"/>
      <c r="N57" s="1302"/>
      <c r="O57" s="1302"/>
      <c r="P57" s="1302"/>
      <c r="Q57" s="1299"/>
    </row>
    <row r="58" spans="1:17">
      <c r="A58" s="1302"/>
      <c r="B58" s="1305"/>
      <c r="C58" s="1302"/>
      <c r="D58" s="1305"/>
      <c r="E58" s="1302"/>
      <c r="F58" s="1315">
        <v>39</v>
      </c>
      <c r="G58" s="1314">
        <v>775000</v>
      </c>
      <c r="H58" s="1314">
        <v>1162000</v>
      </c>
      <c r="I58" s="1314">
        <v>31000</v>
      </c>
      <c r="J58" s="1314">
        <v>1968000</v>
      </c>
      <c r="K58" s="1302"/>
      <c r="L58" s="1302"/>
      <c r="M58" s="1302"/>
      <c r="N58" s="1302"/>
      <c r="O58" s="1302"/>
      <c r="P58" s="1302"/>
      <c r="Q58" s="1299"/>
    </row>
    <row r="59" spans="1:17">
      <c r="A59" s="1302"/>
      <c r="B59" s="1305"/>
      <c r="C59" s="1302"/>
      <c r="D59" s="1305"/>
      <c r="E59" s="1302"/>
      <c r="F59" s="1315">
        <v>40</v>
      </c>
      <c r="G59" s="1314">
        <v>705000</v>
      </c>
      <c r="H59" s="1314">
        <v>1058000</v>
      </c>
      <c r="I59" s="1314">
        <v>21000</v>
      </c>
      <c r="J59" s="1314">
        <v>1784000</v>
      </c>
      <c r="K59" s="1302"/>
      <c r="L59" s="1302"/>
      <c r="M59" s="1302"/>
      <c r="N59" s="1302"/>
      <c r="O59" s="1302"/>
      <c r="P59" s="1302"/>
      <c r="Q59" s="1299"/>
    </row>
    <row r="60" spans="1:17">
      <c r="A60" s="1302"/>
      <c r="B60" s="1305"/>
      <c r="C60" s="1302"/>
      <c r="D60" s="1305"/>
      <c r="E60" s="1302"/>
      <c r="F60" s="1315">
        <v>41</v>
      </c>
      <c r="G60" s="1314">
        <v>639000</v>
      </c>
      <c r="H60" s="1314">
        <v>958000</v>
      </c>
      <c r="I60" s="1314">
        <v>13000</v>
      </c>
      <c r="J60" s="1314">
        <v>1610000</v>
      </c>
      <c r="K60" s="1302"/>
      <c r="L60" s="1302"/>
      <c r="M60" s="1302"/>
      <c r="N60" s="1302"/>
      <c r="O60" s="1302"/>
      <c r="P60" s="1302"/>
      <c r="Q60" s="1299"/>
    </row>
    <row r="61" spans="1:17">
      <c r="A61" s="1302"/>
      <c r="B61" s="1305"/>
      <c r="C61" s="1302"/>
      <c r="D61" s="1305"/>
      <c r="E61" s="1302"/>
      <c r="F61" s="1315">
        <v>42</v>
      </c>
      <c r="G61" s="1314">
        <v>576000</v>
      </c>
      <c r="H61" s="1314">
        <v>864000</v>
      </c>
      <c r="I61" s="1314">
        <v>8000</v>
      </c>
      <c r="J61" s="1314">
        <v>1448000</v>
      </c>
      <c r="K61" s="1302"/>
      <c r="L61" s="1302"/>
      <c r="M61" s="1302"/>
      <c r="N61" s="1302"/>
      <c r="O61" s="1302"/>
      <c r="P61" s="1302"/>
      <c r="Q61" s="1299"/>
    </row>
    <row r="62" spans="1:17">
      <c r="A62" s="1302"/>
      <c r="B62" s="1305"/>
      <c r="C62" s="1302"/>
      <c r="D62" s="1305"/>
      <c r="E62" s="1302"/>
      <c r="F62" s="1315">
        <v>43</v>
      </c>
      <c r="G62" s="1314">
        <v>517000</v>
      </c>
      <c r="H62" s="1314">
        <v>775000</v>
      </c>
      <c r="I62" s="1314">
        <v>5000</v>
      </c>
      <c r="J62" s="1314">
        <v>1297000</v>
      </c>
      <c r="K62" s="1302"/>
      <c r="L62" s="1302"/>
      <c r="M62" s="1302"/>
      <c r="N62" s="1302"/>
      <c r="O62" s="1302"/>
      <c r="P62" s="1302"/>
      <c r="Q62" s="1299"/>
    </row>
    <row r="63" spans="1:17">
      <c r="A63" s="1302"/>
      <c r="B63" s="1305"/>
      <c r="C63" s="1302"/>
      <c r="D63" s="1305"/>
      <c r="E63" s="1302"/>
      <c r="F63" s="1315">
        <v>44</v>
      </c>
      <c r="G63" s="1314">
        <v>461000</v>
      </c>
      <c r="H63" s="1314">
        <v>692000</v>
      </c>
      <c r="I63" s="1314">
        <v>3000</v>
      </c>
      <c r="J63" s="1314">
        <v>1156000</v>
      </c>
      <c r="K63" s="1302"/>
      <c r="L63" s="1302"/>
      <c r="M63" s="1302"/>
      <c r="N63" s="1302"/>
      <c r="O63" s="1302"/>
      <c r="P63" s="1302"/>
      <c r="Q63" s="1299"/>
    </row>
    <row r="64" spans="1:17">
      <c r="A64" s="1302"/>
      <c r="B64" s="1305"/>
      <c r="C64" s="1302"/>
      <c r="D64" s="1305"/>
      <c r="E64" s="1302"/>
      <c r="F64" s="1315">
        <v>45</v>
      </c>
      <c r="G64" s="1314">
        <v>410000</v>
      </c>
      <c r="H64" s="1314">
        <v>615000</v>
      </c>
      <c r="I64" s="1314">
        <v>2000</v>
      </c>
      <c r="J64" s="1314">
        <v>1027000</v>
      </c>
      <c r="K64" s="1302"/>
      <c r="L64" s="1302"/>
      <c r="M64" s="1302"/>
      <c r="N64" s="1302"/>
      <c r="O64" s="1302"/>
      <c r="P64" s="1302"/>
      <c r="Q64" s="1299"/>
    </row>
    <row r="65" spans="1:17">
      <c r="A65" s="1302"/>
      <c r="B65" s="1305"/>
      <c r="C65" s="1302"/>
      <c r="D65" s="1305"/>
      <c r="E65" s="1302"/>
      <c r="F65" s="1315">
        <v>46</v>
      </c>
      <c r="G65" s="1314">
        <v>363000</v>
      </c>
      <c r="H65" s="1314">
        <v>545000</v>
      </c>
      <c r="I65" s="1314">
        <v>1000</v>
      </c>
      <c r="J65" s="1314">
        <v>909000</v>
      </c>
      <c r="K65" s="1302"/>
      <c r="L65" s="1302"/>
      <c r="M65" s="1302"/>
      <c r="N65" s="1302"/>
      <c r="O65" s="1302"/>
      <c r="P65" s="1302"/>
      <c r="Q65" s="1299"/>
    </row>
    <row r="66" spans="1:17">
      <c r="A66" s="1302"/>
      <c r="B66" s="1305"/>
      <c r="C66" s="1302"/>
      <c r="D66" s="1305"/>
      <c r="E66" s="1302"/>
      <c r="F66" s="1315">
        <v>47</v>
      </c>
      <c r="G66" s="1314">
        <v>320000</v>
      </c>
      <c r="H66" s="1314">
        <v>480000</v>
      </c>
      <c r="I66" s="1314">
        <v>0</v>
      </c>
      <c r="J66" s="1314">
        <v>800000</v>
      </c>
      <c r="K66" s="1302"/>
      <c r="L66" s="1302"/>
      <c r="M66" s="1302"/>
      <c r="N66" s="1302"/>
      <c r="O66" s="1302"/>
      <c r="P66" s="1302"/>
      <c r="Q66" s="1299"/>
    </row>
    <row r="67" spans="1:17">
      <c r="A67" s="1302"/>
      <c r="B67" s="1305"/>
      <c r="C67" s="1302"/>
      <c r="D67" s="1305"/>
      <c r="E67" s="1302"/>
      <c r="F67" s="1315">
        <v>48</v>
      </c>
      <c r="G67" s="1314">
        <v>281000</v>
      </c>
      <c r="H67" s="1314">
        <v>421000</v>
      </c>
      <c r="I67" s="1314">
        <v>0</v>
      </c>
      <c r="J67" s="1314">
        <v>702000</v>
      </c>
      <c r="K67" s="1302"/>
      <c r="L67" s="1302"/>
      <c r="M67" s="1302"/>
      <c r="N67" s="1302"/>
      <c r="O67" s="1302"/>
      <c r="P67" s="1302"/>
      <c r="Q67" s="1299"/>
    </row>
    <row r="68" spans="1:17">
      <c r="A68" s="1302"/>
      <c r="B68" s="1305"/>
      <c r="C68" s="1302"/>
      <c r="D68" s="1305"/>
      <c r="E68" s="1302"/>
      <c r="F68" s="1315">
        <v>49</v>
      </c>
      <c r="G68" s="1314">
        <v>246000</v>
      </c>
      <c r="H68" s="1314">
        <v>368000</v>
      </c>
      <c r="I68" s="1314">
        <v>0</v>
      </c>
      <c r="J68" s="1314">
        <v>614000</v>
      </c>
      <c r="K68" s="1302"/>
      <c r="L68" s="1302"/>
      <c r="M68" s="1302"/>
      <c r="N68" s="1302"/>
      <c r="O68" s="1302"/>
      <c r="P68" s="1302"/>
      <c r="Q68" s="1299"/>
    </row>
    <row r="69" spans="1:17">
      <c r="A69" s="1302"/>
      <c r="B69" s="1305"/>
      <c r="C69" s="1302"/>
      <c r="D69" s="1305"/>
      <c r="E69" s="1302"/>
      <c r="F69" s="1315">
        <v>50</v>
      </c>
      <c r="G69" s="1314">
        <v>214000</v>
      </c>
      <c r="H69" s="1314">
        <v>321000</v>
      </c>
      <c r="I69" s="1314">
        <v>0</v>
      </c>
      <c r="J69" s="1314">
        <v>535000</v>
      </c>
      <c r="K69" s="1302"/>
      <c r="L69" s="1302"/>
      <c r="M69" s="1302"/>
      <c r="N69" s="1302"/>
      <c r="O69" s="1302"/>
      <c r="P69" s="1302"/>
      <c r="Q69" s="1299"/>
    </row>
    <row r="70" spans="1:17">
      <c r="A70" s="1302"/>
      <c r="B70" s="1305"/>
      <c r="C70" s="1302"/>
      <c r="D70" s="1305"/>
      <c r="E70" s="1302"/>
      <c r="F70" s="1315">
        <v>51</v>
      </c>
      <c r="G70" s="1314">
        <v>185000</v>
      </c>
      <c r="H70" s="1314">
        <v>278000</v>
      </c>
      <c r="I70" s="1314">
        <v>0</v>
      </c>
      <c r="J70" s="1314">
        <v>463000</v>
      </c>
      <c r="K70" s="1302"/>
      <c r="L70" s="1302"/>
      <c r="M70" s="1302"/>
      <c r="N70" s="1302"/>
      <c r="O70" s="1302"/>
      <c r="P70" s="1302"/>
      <c r="Q70" s="1299"/>
    </row>
    <row r="71" spans="1:17">
      <c r="A71" s="1302"/>
      <c r="B71" s="1305"/>
      <c r="C71" s="1302"/>
      <c r="D71" s="1305"/>
      <c r="E71" s="1302"/>
      <c r="F71" s="1315">
        <v>52</v>
      </c>
      <c r="G71" s="1314">
        <v>160000</v>
      </c>
      <c r="H71" s="1314">
        <v>240000</v>
      </c>
      <c r="I71" s="1314">
        <v>0</v>
      </c>
      <c r="J71" s="1314">
        <v>400000</v>
      </c>
      <c r="K71" s="1302"/>
      <c r="L71" s="1302"/>
      <c r="M71" s="1302"/>
      <c r="N71" s="1302"/>
      <c r="O71" s="1302"/>
      <c r="P71" s="1302"/>
      <c r="Q71" s="1299"/>
    </row>
    <row r="72" spans="1:17">
      <c r="A72" s="1302"/>
      <c r="B72" s="1305"/>
      <c r="C72" s="1302"/>
      <c r="D72" s="1305"/>
      <c r="E72" s="1302"/>
      <c r="F72" s="1315">
        <v>53</v>
      </c>
      <c r="G72" s="1314">
        <v>137000</v>
      </c>
      <c r="H72" s="1314">
        <v>206000</v>
      </c>
      <c r="I72" s="1314">
        <v>0</v>
      </c>
      <c r="J72" s="1314">
        <v>343000</v>
      </c>
      <c r="K72" s="1302"/>
      <c r="L72" s="1302"/>
      <c r="M72" s="1302"/>
      <c r="N72" s="1302"/>
      <c r="O72" s="1302"/>
      <c r="P72" s="1302"/>
      <c r="Q72" s="1299"/>
    </row>
    <row r="73" spans="1:17">
      <c r="A73" s="1302"/>
      <c r="B73" s="1305"/>
      <c r="C73" s="1302"/>
      <c r="D73" s="1305"/>
      <c r="E73" s="1302"/>
      <c r="F73" s="1315">
        <v>54</v>
      </c>
      <c r="G73" s="1314">
        <v>118000</v>
      </c>
      <c r="H73" s="1314">
        <v>176000</v>
      </c>
      <c r="I73" s="1314">
        <v>0</v>
      </c>
      <c r="J73" s="1314">
        <v>294000</v>
      </c>
      <c r="K73" s="1302"/>
      <c r="L73" s="1302"/>
      <c r="M73" s="1302"/>
      <c r="N73" s="1302"/>
      <c r="O73" s="1302"/>
      <c r="P73" s="1302"/>
      <c r="Q73" s="1299"/>
    </row>
    <row r="74" spans="1:17">
      <c r="A74" s="1302"/>
      <c r="B74" s="1305"/>
      <c r="C74" s="1302"/>
      <c r="D74" s="1305"/>
      <c r="E74" s="1302"/>
      <c r="F74" s="1315">
        <v>55</v>
      </c>
      <c r="G74" s="1314">
        <v>100000</v>
      </c>
      <c r="H74" s="1314">
        <v>150000</v>
      </c>
      <c r="I74" s="1314">
        <v>0</v>
      </c>
      <c r="J74" s="1314">
        <v>250000</v>
      </c>
      <c r="K74" s="1302"/>
      <c r="L74" s="1302"/>
      <c r="M74" s="1302"/>
      <c r="N74" s="1302"/>
      <c r="O74" s="1302"/>
      <c r="P74" s="1302"/>
      <c r="Q74" s="1299"/>
    </row>
    <row r="75" spans="1:17">
      <c r="A75" s="1302"/>
      <c r="B75" s="1305"/>
      <c r="C75" s="1302"/>
      <c r="D75" s="1305"/>
      <c r="E75" s="1302"/>
      <c r="F75" s="1315">
        <v>56</v>
      </c>
      <c r="G75" s="1314">
        <v>85000</v>
      </c>
      <c r="H75" s="1314">
        <v>128000</v>
      </c>
      <c r="I75" s="1314">
        <v>0</v>
      </c>
      <c r="J75" s="1314">
        <v>213000</v>
      </c>
      <c r="K75" s="1302"/>
      <c r="L75" s="1302"/>
      <c r="M75" s="1302"/>
      <c r="N75" s="1302"/>
      <c r="O75" s="1302"/>
      <c r="P75" s="1302"/>
      <c r="Q75" s="1299"/>
    </row>
    <row r="76" spans="1:17">
      <c r="A76" s="1302"/>
      <c r="B76" s="1305"/>
      <c r="C76" s="1302"/>
      <c r="D76" s="1305"/>
      <c r="E76" s="1302"/>
      <c r="F76" s="1315">
        <v>57</v>
      </c>
      <c r="G76" s="1314">
        <v>72000</v>
      </c>
      <c r="H76" s="1314">
        <v>108000</v>
      </c>
      <c r="I76" s="1314">
        <v>0</v>
      </c>
      <c r="J76" s="1314">
        <v>180000</v>
      </c>
      <c r="K76" s="1302"/>
      <c r="L76" s="1302"/>
      <c r="M76" s="1302"/>
      <c r="N76" s="1302"/>
      <c r="O76" s="1302"/>
      <c r="P76" s="1302"/>
      <c r="Q76" s="1299"/>
    </row>
    <row r="77" spans="1:17">
      <c r="A77" s="1302"/>
      <c r="B77" s="1305"/>
      <c r="C77" s="1302"/>
      <c r="D77" s="1305"/>
      <c r="E77" s="1302"/>
      <c r="F77" s="1315">
        <v>58</v>
      </c>
      <c r="G77" s="1314">
        <v>60000</v>
      </c>
      <c r="H77" s="1314">
        <v>91000</v>
      </c>
      <c r="I77" s="1314">
        <v>0</v>
      </c>
      <c r="J77" s="1314">
        <v>151000</v>
      </c>
      <c r="K77" s="1302"/>
      <c r="L77" s="1302"/>
      <c r="M77" s="1302"/>
      <c r="N77" s="1302"/>
      <c r="O77" s="1302"/>
      <c r="P77" s="1302"/>
      <c r="Q77" s="1299"/>
    </row>
    <row r="78" spans="1:17">
      <c r="A78" s="1302"/>
      <c r="B78" s="1305"/>
      <c r="C78" s="1302"/>
      <c r="D78" s="1305"/>
      <c r="E78" s="1302"/>
      <c r="F78" s="1315">
        <v>59</v>
      </c>
      <c r="G78" s="1314">
        <v>51000</v>
      </c>
      <c r="H78" s="1314">
        <v>76000</v>
      </c>
      <c r="I78" s="1314">
        <v>0</v>
      </c>
      <c r="J78" s="1314">
        <v>127000</v>
      </c>
      <c r="K78" s="1302"/>
      <c r="L78" s="1302"/>
      <c r="M78" s="1302"/>
      <c r="N78" s="1302"/>
      <c r="O78" s="1302"/>
      <c r="P78" s="1302"/>
      <c r="Q78" s="1299"/>
    </row>
    <row r="79" spans="1:17">
      <c r="A79" s="1302"/>
      <c r="B79" s="1305"/>
      <c r="C79" s="1302"/>
      <c r="D79" s="1305"/>
      <c r="E79" s="1302"/>
      <c r="F79" s="1315">
        <v>60</v>
      </c>
      <c r="G79" s="1314">
        <v>42000</v>
      </c>
      <c r="H79" s="1314">
        <v>63000</v>
      </c>
      <c r="I79" s="1314">
        <v>0</v>
      </c>
      <c r="J79" s="1314">
        <v>105000</v>
      </c>
      <c r="K79" s="1302"/>
      <c r="L79" s="1302"/>
      <c r="M79" s="1302"/>
      <c r="N79" s="1302"/>
      <c r="O79" s="1302"/>
      <c r="P79" s="1302"/>
      <c r="Q79" s="1299"/>
    </row>
    <row r="80" spans="1:17">
      <c r="A80" s="1302"/>
      <c r="B80" s="1305"/>
      <c r="C80" s="1302"/>
      <c r="D80" s="1305"/>
      <c r="E80" s="1302"/>
      <c r="F80" s="1315">
        <v>61</v>
      </c>
      <c r="G80" s="1314">
        <v>35000</v>
      </c>
      <c r="H80" s="1314">
        <v>53000</v>
      </c>
      <c r="I80" s="1314">
        <v>0</v>
      </c>
      <c r="J80" s="1314">
        <v>88000</v>
      </c>
      <c r="K80" s="1302"/>
      <c r="L80" s="1302"/>
      <c r="M80" s="1302"/>
      <c r="N80" s="1302"/>
      <c r="O80" s="1302"/>
      <c r="P80" s="1302"/>
      <c r="Q80" s="1299"/>
    </row>
    <row r="81" spans="1:17">
      <c r="A81" s="1302"/>
      <c r="B81" s="1305"/>
      <c r="C81" s="1302"/>
      <c r="D81" s="1305"/>
      <c r="E81" s="1302"/>
      <c r="F81" s="1315">
        <v>62</v>
      </c>
      <c r="G81" s="1314">
        <v>29000</v>
      </c>
      <c r="H81" s="1314">
        <v>44000</v>
      </c>
      <c r="I81" s="1314">
        <v>0</v>
      </c>
      <c r="J81" s="1314">
        <v>73000</v>
      </c>
      <c r="K81" s="1302"/>
      <c r="L81" s="1302"/>
      <c r="M81" s="1302"/>
      <c r="N81" s="1302"/>
      <c r="O81" s="1302"/>
      <c r="P81" s="1302"/>
      <c r="Q81" s="1299"/>
    </row>
    <row r="82" spans="1:17">
      <c r="A82" s="1302"/>
      <c r="B82" s="1305"/>
      <c r="C82" s="1302"/>
      <c r="D82" s="1305"/>
      <c r="E82" s="1302"/>
      <c r="F82" s="1315">
        <v>63</v>
      </c>
      <c r="G82" s="1314">
        <v>24000</v>
      </c>
      <c r="H82" s="1314">
        <v>36000</v>
      </c>
      <c r="I82" s="1314">
        <v>0</v>
      </c>
      <c r="J82" s="1314">
        <v>60000</v>
      </c>
      <c r="K82" s="1302"/>
      <c r="L82" s="1302"/>
      <c r="M82" s="1302"/>
      <c r="N82" s="1302"/>
      <c r="O82" s="1302"/>
      <c r="P82" s="1302"/>
      <c r="Q82" s="1299"/>
    </row>
    <row r="83" spans="1:17">
      <c r="A83" s="1302"/>
      <c r="B83" s="1305"/>
      <c r="C83" s="1302"/>
      <c r="D83" s="1305"/>
      <c r="E83" s="1302"/>
      <c r="F83" s="1315">
        <v>64</v>
      </c>
      <c r="G83" s="1314">
        <v>20000</v>
      </c>
      <c r="H83" s="1314">
        <v>29000</v>
      </c>
      <c r="I83" s="1314">
        <v>0</v>
      </c>
      <c r="J83" s="1314">
        <v>49000</v>
      </c>
      <c r="K83" s="1302"/>
      <c r="L83" s="1302"/>
      <c r="M83" s="1302"/>
      <c r="N83" s="1302"/>
      <c r="O83" s="1302"/>
      <c r="P83" s="1302"/>
      <c r="Q83" s="1299"/>
    </row>
    <row r="84" spans="1:17">
      <c r="A84" s="1302"/>
      <c r="B84" s="1305"/>
      <c r="C84" s="1302"/>
      <c r="D84" s="1305"/>
      <c r="E84" s="1302"/>
      <c r="F84" s="1315">
        <v>65</v>
      </c>
      <c r="G84" s="1314">
        <v>16000</v>
      </c>
      <c r="H84" s="1314">
        <v>24000</v>
      </c>
      <c r="I84" s="1314">
        <v>0</v>
      </c>
      <c r="J84" s="1314">
        <v>40000</v>
      </c>
      <c r="K84" s="1302"/>
      <c r="L84" s="1302"/>
      <c r="M84" s="1302"/>
      <c r="N84" s="1302"/>
      <c r="O84" s="1302"/>
      <c r="P84" s="1302"/>
      <c r="Q84" s="1299"/>
    </row>
    <row r="85" spans="1:17">
      <c r="A85" s="1302"/>
      <c r="B85" s="1305"/>
      <c r="C85" s="1302"/>
      <c r="D85" s="1305"/>
      <c r="E85" s="1302"/>
      <c r="F85" s="1315">
        <v>66</v>
      </c>
      <c r="G85" s="1314">
        <v>13000</v>
      </c>
      <c r="H85" s="1314">
        <v>19000</v>
      </c>
      <c r="I85" s="1314">
        <v>0</v>
      </c>
      <c r="J85" s="1314">
        <v>32000</v>
      </c>
      <c r="K85" s="1302"/>
      <c r="L85" s="1302"/>
      <c r="M85" s="1302"/>
      <c r="N85" s="1302"/>
      <c r="O85" s="1302"/>
      <c r="P85" s="1302"/>
      <c r="Q85" s="1299"/>
    </row>
    <row r="86" spans="1:17">
      <c r="A86" s="1302"/>
      <c r="B86" s="1305"/>
      <c r="C86" s="1302"/>
      <c r="D86" s="1305"/>
      <c r="E86" s="1302"/>
      <c r="F86" s="1315">
        <v>67</v>
      </c>
      <c r="G86" s="1314">
        <v>11000</v>
      </c>
      <c r="H86" s="1314">
        <v>16000</v>
      </c>
      <c r="I86" s="1314">
        <v>0</v>
      </c>
      <c r="J86" s="1314">
        <v>27000</v>
      </c>
      <c r="K86" s="1302"/>
      <c r="L86" s="1302"/>
      <c r="M86" s="1302"/>
      <c r="N86" s="1302"/>
      <c r="O86" s="1302"/>
      <c r="P86" s="1302"/>
      <c r="Q86" s="1299"/>
    </row>
    <row r="87" spans="1:17">
      <c r="A87" s="1302"/>
      <c r="B87" s="1305"/>
      <c r="C87" s="1302"/>
      <c r="D87" s="1305"/>
      <c r="E87" s="1302"/>
      <c r="F87" s="1315">
        <v>68</v>
      </c>
      <c r="G87" s="1314">
        <v>8000</v>
      </c>
      <c r="H87" s="1314">
        <v>13000</v>
      </c>
      <c r="I87" s="1314">
        <v>0</v>
      </c>
      <c r="J87" s="1314">
        <v>21000</v>
      </c>
      <c r="K87" s="1302"/>
      <c r="L87" s="1302"/>
      <c r="M87" s="1302"/>
      <c r="N87" s="1302"/>
      <c r="O87" s="1302"/>
      <c r="P87" s="1302"/>
      <c r="Q87" s="1299"/>
    </row>
    <row r="88" spans="1:17">
      <c r="A88" s="1302"/>
      <c r="B88" s="1305"/>
      <c r="C88" s="1302"/>
      <c r="D88" s="1305"/>
      <c r="E88" s="1302"/>
      <c r="F88" s="1315">
        <v>69</v>
      </c>
      <c r="G88" s="1314">
        <v>7000</v>
      </c>
      <c r="H88" s="1314">
        <v>10000</v>
      </c>
      <c r="I88" s="1314">
        <v>0</v>
      </c>
      <c r="J88" s="1314">
        <v>17000</v>
      </c>
      <c r="K88" s="1302"/>
      <c r="L88" s="1302"/>
      <c r="M88" s="1302"/>
      <c r="N88" s="1302"/>
      <c r="O88" s="1302"/>
      <c r="P88" s="1302"/>
      <c r="Q88" s="1299"/>
    </row>
    <row r="89" spans="1:17">
      <c r="A89" s="1302"/>
      <c r="B89" s="1305"/>
      <c r="C89" s="1302"/>
      <c r="D89" s="1305"/>
      <c r="E89" s="1302"/>
      <c r="F89" s="1315">
        <v>70</v>
      </c>
      <c r="G89" s="1314">
        <v>5000</v>
      </c>
      <c r="H89" s="1314">
        <v>8000</v>
      </c>
      <c r="I89" s="1314">
        <v>0</v>
      </c>
      <c r="J89" s="1314">
        <v>13000</v>
      </c>
      <c r="K89" s="1302"/>
      <c r="L89" s="1302"/>
      <c r="M89" s="1302"/>
      <c r="N89" s="1302"/>
      <c r="O89" s="1302"/>
      <c r="P89" s="1302"/>
      <c r="Q89" s="1299"/>
    </row>
    <row r="90" spans="1:17">
      <c r="A90" s="1302"/>
      <c r="B90" s="1305"/>
      <c r="C90" s="1302"/>
      <c r="D90" s="1305"/>
      <c r="E90" s="1302"/>
      <c r="F90" s="1315">
        <v>71</v>
      </c>
      <c r="G90" s="1314">
        <v>4000</v>
      </c>
      <c r="H90" s="1314">
        <v>6000</v>
      </c>
      <c r="I90" s="1314">
        <v>0</v>
      </c>
      <c r="J90" s="1314">
        <v>10000</v>
      </c>
      <c r="K90" s="1302"/>
      <c r="L90" s="1302"/>
      <c r="M90" s="1302"/>
      <c r="N90" s="1302"/>
      <c r="O90" s="1302"/>
      <c r="P90" s="1302"/>
      <c r="Q90" s="1299"/>
    </row>
    <row r="91" spans="1:17">
      <c r="A91" s="1302"/>
      <c r="B91" s="1305"/>
      <c r="C91" s="1302"/>
      <c r="D91" s="1305"/>
      <c r="E91" s="1302"/>
      <c r="F91" s="1315">
        <v>72</v>
      </c>
      <c r="G91" s="1314">
        <v>3000</v>
      </c>
      <c r="H91" s="1314">
        <v>5000</v>
      </c>
      <c r="I91" s="1314">
        <v>0</v>
      </c>
      <c r="J91" s="1314">
        <v>8000</v>
      </c>
      <c r="K91" s="1302"/>
      <c r="L91" s="1302"/>
      <c r="M91" s="1302"/>
      <c r="N91" s="1302"/>
      <c r="O91" s="1302"/>
      <c r="P91" s="1302"/>
      <c r="Q91" s="1299"/>
    </row>
    <row r="92" spans="1:17">
      <c r="A92" s="1302"/>
      <c r="B92" s="1305"/>
      <c r="C92" s="1302"/>
      <c r="D92" s="1305"/>
      <c r="E92" s="1302"/>
      <c r="F92" s="1315">
        <v>73</v>
      </c>
      <c r="G92" s="1314">
        <v>3000</v>
      </c>
      <c r="H92" s="1314">
        <v>4000</v>
      </c>
      <c r="I92" s="1314">
        <v>0</v>
      </c>
      <c r="J92" s="1314">
        <v>7000</v>
      </c>
      <c r="K92" s="1302"/>
      <c r="L92" s="1302"/>
      <c r="M92" s="1302"/>
      <c r="N92" s="1302"/>
      <c r="O92" s="1302"/>
      <c r="P92" s="1302"/>
      <c r="Q92" s="1299"/>
    </row>
    <row r="93" spans="1:17">
      <c r="A93" s="1302"/>
      <c r="B93" s="1305"/>
      <c r="C93" s="1302"/>
      <c r="D93" s="1305"/>
      <c r="E93" s="1302"/>
      <c r="F93" s="1315">
        <v>74</v>
      </c>
      <c r="G93" s="1314">
        <v>2000</v>
      </c>
      <c r="H93" s="1314">
        <v>3000</v>
      </c>
      <c r="I93" s="1314">
        <v>0</v>
      </c>
      <c r="J93" s="1314">
        <v>5000</v>
      </c>
      <c r="K93" s="1302"/>
      <c r="L93" s="1302"/>
      <c r="M93" s="1302"/>
      <c r="N93" s="1302"/>
      <c r="O93" s="1302"/>
      <c r="P93" s="1302"/>
      <c r="Q93" s="1299"/>
    </row>
    <row r="94" spans="1:17">
      <c r="A94" s="1302"/>
      <c r="B94" s="1305"/>
      <c r="C94" s="1302"/>
      <c r="D94" s="1305"/>
      <c r="E94" s="1302"/>
      <c r="F94" s="1315">
        <v>75</v>
      </c>
      <c r="G94" s="1314">
        <v>2000</v>
      </c>
      <c r="H94" s="1314">
        <v>2000</v>
      </c>
      <c r="I94" s="1314">
        <v>0</v>
      </c>
      <c r="J94" s="1314">
        <v>4000</v>
      </c>
      <c r="K94" s="1302"/>
      <c r="L94" s="1302"/>
      <c r="M94" s="1302"/>
      <c r="N94" s="1302"/>
      <c r="O94" s="1302"/>
      <c r="P94" s="1302"/>
      <c r="Q94" s="1299"/>
    </row>
    <row r="95" spans="1:17">
      <c r="A95" s="1302"/>
      <c r="B95" s="1305"/>
      <c r="C95" s="1302"/>
      <c r="D95" s="1305"/>
      <c r="E95" s="1302"/>
      <c r="F95" s="1315">
        <v>76</v>
      </c>
      <c r="G95" s="1314">
        <v>1000</v>
      </c>
      <c r="H95" s="1314">
        <v>2000</v>
      </c>
      <c r="I95" s="1314">
        <v>0</v>
      </c>
      <c r="J95" s="1314">
        <v>3000</v>
      </c>
      <c r="K95" s="1302"/>
      <c r="L95" s="1302"/>
      <c r="M95" s="1302"/>
      <c r="N95" s="1302"/>
      <c r="O95" s="1302"/>
      <c r="P95" s="1302"/>
      <c r="Q95" s="1299"/>
    </row>
    <row r="96" spans="1:17">
      <c r="A96" s="1302"/>
      <c r="B96" s="1305"/>
      <c r="C96" s="1302"/>
      <c r="D96" s="1305"/>
      <c r="E96" s="1302"/>
      <c r="F96" s="1315">
        <v>77</v>
      </c>
      <c r="G96" s="1314">
        <v>1000</v>
      </c>
      <c r="H96" s="1314">
        <v>1000</v>
      </c>
      <c r="I96" s="1314">
        <v>0</v>
      </c>
      <c r="J96" s="1314">
        <v>2000</v>
      </c>
      <c r="K96" s="1302"/>
      <c r="L96" s="1302"/>
      <c r="M96" s="1302"/>
      <c r="N96" s="1302"/>
      <c r="O96" s="1302"/>
      <c r="P96" s="1302"/>
      <c r="Q96" s="1299"/>
    </row>
    <row r="97" spans="1:17">
      <c r="A97" s="1302"/>
      <c r="B97" s="1305"/>
      <c r="C97" s="1302"/>
      <c r="D97" s="1305"/>
      <c r="E97" s="1302"/>
      <c r="F97" s="1315">
        <v>78</v>
      </c>
      <c r="G97" s="1314">
        <v>1000</v>
      </c>
      <c r="H97" s="1314">
        <v>0</v>
      </c>
      <c r="I97" s="1314">
        <v>0</v>
      </c>
      <c r="J97" s="1314">
        <v>1000</v>
      </c>
      <c r="K97" s="1302"/>
      <c r="L97" s="1302"/>
      <c r="M97" s="1302"/>
      <c r="N97" s="1302"/>
      <c r="O97" s="1302"/>
      <c r="P97" s="1302"/>
      <c r="Q97" s="1299"/>
    </row>
    <row r="98" spans="1:17">
      <c r="A98" s="1302"/>
      <c r="B98" s="1305"/>
      <c r="C98" s="1302"/>
      <c r="D98" s="1305"/>
      <c r="E98" s="1302"/>
      <c r="F98" s="1315">
        <v>79</v>
      </c>
      <c r="G98" s="1314">
        <v>1000</v>
      </c>
      <c r="H98" s="1314">
        <v>0</v>
      </c>
      <c r="I98" s="1314">
        <v>0</v>
      </c>
      <c r="J98" s="1314">
        <v>1000</v>
      </c>
      <c r="K98" s="1302"/>
      <c r="L98" s="1302"/>
      <c r="M98" s="1302"/>
      <c r="N98" s="1302"/>
      <c r="O98" s="1302"/>
      <c r="P98" s="1302"/>
      <c r="Q98" s="1299"/>
    </row>
    <row r="99" spans="1:17">
      <c r="A99" s="1302"/>
      <c r="B99" s="1305"/>
      <c r="C99" s="1302"/>
      <c r="D99" s="1305"/>
      <c r="E99" s="1302"/>
      <c r="F99" s="1302"/>
      <c r="G99" s="1302"/>
      <c r="H99" s="1302"/>
      <c r="I99" s="1302"/>
      <c r="J99" s="1302"/>
      <c r="K99" s="1302"/>
      <c r="L99" s="1302"/>
      <c r="M99" s="1302"/>
      <c r="N99" s="1302"/>
      <c r="O99" s="1302"/>
      <c r="P99" s="1302"/>
      <c r="Q99" s="1299"/>
    </row>
    <row r="100" spans="1:17">
      <c r="A100" s="1302"/>
      <c r="B100" s="1305"/>
      <c r="C100" s="1302"/>
      <c r="D100" s="1302"/>
      <c r="E100" s="1302"/>
      <c r="F100" s="1302"/>
      <c r="G100" s="1302"/>
      <c r="H100" s="1302"/>
      <c r="I100" s="1302"/>
      <c r="J100" s="1302"/>
      <c r="K100" s="1302"/>
      <c r="L100" s="1302"/>
      <c r="M100" s="1302"/>
      <c r="N100" s="1302"/>
      <c r="O100" s="1302"/>
      <c r="P100" s="1302"/>
      <c r="Q100" s="1299"/>
    </row>
    <row r="101" spans="1:17">
      <c r="A101" s="1302"/>
      <c r="B101" s="1305" t="s">
        <v>6</v>
      </c>
      <c r="C101" s="1305" t="s">
        <v>247</v>
      </c>
      <c r="D101" s="1312" t="s">
        <v>1849</v>
      </c>
      <c r="E101" s="1302"/>
      <c r="F101" s="1302"/>
      <c r="G101" s="1302"/>
      <c r="H101" s="1302"/>
      <c r="I101" s="1302"/>
      <c r="J101" s="1302"/>
      <c r="K101" s="1302"/>
      <c r="L101" s="1302"/>
      <c r="M101" s="1302"/>
      <c r="N101" s="1302"/>
      <c r="O101" s="1302"/>
      <c r="P101" s="1302"/>
      <c r="Q101" s="1299"/>
    </row>
    <row r="102" spans="1:17">
      <c r="A102" s="1302"/>
      <c r="B102" s="1305"/>
      <c r="C102" s="1313" t="s">
        <v>26</v>
      </c>
      <c r="D102" s="1312" t="s">
        <v>1846</v>
      </c>
      <c r="E102" s="1302"/>
      <c r="F102" s="1302"/>
      <c r="G102" s="1302"/>
      <c r="H102" s="1302"/>
      <c r="I102" s="1302"/>
      <c r="J102" s="1302"/>
      <c r="K102" s="1302"/>
      <c r="L102" s="1302"/>
      <c r="M102" s="1302"/>
      <c r="N102" s="1302"/>
      <c r="O102" s="1302"/>
      <c r="P102" s="1302"/>
      <c r="Q102" s="1299"/>
    </row>
    <row r="103" spans="1:17">
      <c r="A103" s="1302"/>
      <c r="B103" s="1305"/>
      <c r="C103" s="1313" t="s">
        <v>27</v>
      </c>
      <c r="D103" s="1312" t="s">
        <v>1845</v>
      </c>
      <c r="E103" s="1302"/>
      <c r="F103" s="1302"/>
      <c r="G103" s="1302"/>
      <c r="H103" s="1302"/>
      <c r="I103" s="1302"/>
      <c r="J103" s="1302"/>
      <c r="K103" s="1302"/>
      <c r="L103" s="1302"/>
      <c r="M103" s="1302"/>
      <c r="N103" s="1302"/>
      <c r="O103" s="1302"/>
      <c r="P103" s="1302"/>
      <c r="Q103" s="1299"/>
    </row>
    <row r="104" spans="1:17">
      <c r="A104" s="1302"/>
      <c r="B104" s="1305"/>
      <c r="C104" s="1302"/>
      <c r="D104" s="1302"/>
      <c r="E104" s="1302"/>
      <c r="F104" s="1302"/>
      <c r="G104" s="1302"/>
      <c r="H104" s="1302"/>
      <c r="I104" s="1302"/>
      <c r="J104" s="1302"/>
      <c r="K104" s="1302"/>
      <c r="L104" s="1302"/>
      <c r="M104" s="1302"/>
      <c r="N104" s="1302"/>
      <c r="O104" s="1302"/>
      <c r="P104" s="1302"/>
      <c r="Q104" s="1299"/>
    </row>
    <row r="105" spans="1:17">
      <c r="A105" s="1302"/>
      <c r="B105" s="1305"/>
      <c r="C105" s="1302"/>
      <c r="D105" s="1311"/>
      <c r="E105" s="1310"/>
      <c r="F105" s="1310"/>
      <c r="G105" s="1310"/>
      <c r="H105" s="1310"/>
      <c r="I105" s="1310"/>
      <c r="J105" s="1310"/>
      <c r="K105" s="1310"/>
      <c r="L105" s="1310"/>
      <c r="M105" s="1310"/>
      <c r="N105" s="1310"/>
      <c r="O105" s="1309"/>
      <c r="P105" s="1302"/>
      <c r="Q105" s="1299"/>
    </row>
    <row r="106" spans="1:17">
      <c r="A106" s="1302"/>
      <c r="B106" s="1305"/>
      <c r="C106" s="1302"/>
      <c r="D106" s="1308" t="s">
        <v>1770</v>
      </c>
      <c r="E106" s="1307"/>
      <c r="F106" s="1307"/>
      <c r="G106" s="1307"/>
      <c r="H106" s="1307"/>
      <c r="I106" s="1307"/>
      <c r="J106" s="1307"/>
      <c r="K106" s="1307"/>
      <c r="L106" s="1307"/>
      <c r="M106" s="1307"/>
      <c r="N106" s="1307"/>
      <c r="O106" s="1306"/>
      <c r="P106" s="1302"/>
      <c r="Q106" s="1299"/>
    </row>
    <row r="107" spans="1:17">
      <c r="A107" s="1302"/>
      <c r="B107" s="1305"/>
      <c r="C107" s="1302"/>
      <c r="D107" s="1305"/>
      <c r="E107" s="1302"/>
      <c r="F107" s="1302"/>
      <c r="G107" s="1302"/>
      <c r="H107" s="1302"/>
      <c r="I107" s="1302"/>
      <c r="J107" s="1302"/>
      <c r="K107" s="1302"/>
      <c r="L107" s="1302"/>
      <c r="M107" s="1302"/>
      <c r="N107" s="1302"/>
      <c r="O107" s="1302"/>
      <c r="P107" s="1302"/>
      <c r="Q107" s="1299"/>
    </row>
    <row r="108" spans="1:17">
      <c r="A108" s="1302"/>
      <c r="B108" s="1302" t="s">
        <v>1848</v>
      </c>
      <c r="C108" s="1302"/>
      <c r="D108" s="1302"/>
      <c r="E108" s="1302"/>
      <c r="F108" s="1302"/>
      <c r="G108" s="1302"/>
      <c r="H108" s="1302"/>
      <c r="I108" s="1302"/>
      <c r="J108" s="1302"/>
      <c r="K108" s="1302"/>
      <c r="L108" s="1302"/>
      <c r="M108" s="1302"/>
      <c r="N108" s="1302"/>
      <c r="O108" s="1302"/>
      <c r="P108" s="1302"/>
      <c r="Q108" s="1299"/>
    </row>
    <row r="109" spans="1:17">
      <c r="A109" s="1302"/>
      <c r="B109" s="1305"/>
      <c r="C109" s="1302"/>
      <c r="D109" s="1302"/>
      <c r="E109" s="1302"/>
      <c r="F109" s="1302"/>
      <c r="G109" s="1302"/>
      <c r="H109" s="1302"/>
      <c r="I109" s="1302"/>
      <c r="J109" s="1302"/>
      <c r="K109" s="1302"/>
      <c r="L109" s="1302"/>
      <c r="M109" s="1302"/>
      <c r="N109" s="1302"/>
      <c r="O109" s="1302"/>
      <c r="P109" s="1302"/>
      <c r="Q109" s="1299"/>
    </row>
    <row r="110" spans="1:17">
      <c r="A110" s="1302"/>
      <c r="B110" s="1305" t="s">
        <v>256</v>
      </c>
      <c r="C110" s="1305" t="s">
        <v>247</v>
      </c>
      <c r="D110" s="1312" t="s">
        <v>1847</v>
      </c>
      <c r="E110" s="1302"/>
      <c r="F110" s="1302"/>
      <c r="G110" s="1302"/>
      <c r="H110" s="1302"/>
      <c r="I110" s="1302"/>
      <c r="J110" s="1302"/>
      <c r="K110" s="1302"/>
      <c r="L110" s="1302"/>
      <c r="M110" s="1302"/>
      <c r="N110" s="1302"/>
      <c r="O110" s="1302"/>
      <c r="P110" s="1302"/>
      <c r="Q110" s="1299"/>
    </row>
    <row r="111" spans="1:17">
      <c r="A111" s="1302"/>
      <c r="B111" s="1305"/>
      <c r="C111" s="1313" t="s">
        <v>26</v>
      </c>
      <c r="D111" s="1312" t="s">
        <v>1846</v>
      </c>
      <c r="E111" s="1302"/>
      <c r="F111" s="1302"/>
      <c r="G111" s="1302"/>
      <c r="H111" s="1302"/>
      <c r="I111" s="1302"/>
      <c r="J111" s="1302"/>
      <c r="K111" s="1302"/>
      <c r="L111" s="1302"/>
      <c r="M111" s="1302"/>
      <c r="N111" s="1302"/>
      <c r="O111" s="1302"/>
      <c r="P111" s="1302"/>
      <c r="Q111" s="1299"/>
    </row>
    <row r="112" spans="1:17">
      <c r="A112" s="1302"/>
      <c r="B112" s="1305"/>
      <c r="C112" s="1313" t="s">
        <v>27</v>
      </c>
      <c r="D112" s="1312" t="s">
        <v>1845</v>
      </c>
      <c r="E112" s="1302"/>
      <c r="F112" s="1302"/>
      <c r="G112" s="1302"/>
      <c r="H112" s="1302"/>
      <c r="I112" s="1302"/>
      <c r="J112" s="1302"/>
      <c r="K112" s="1302"/>
      <c r="L112" s="1302"/>
      <c r="M112" s="1302"/>
      <c r="N112" s="1302"/>
      <c r="O112" s="1302"/>
      <c r="P112" s="1302"/>
      <c r="Q112" s="1299"/>
    </row>
    <row r="113" spans="1:20">
      <c r="A113" s="1302"/>
      <c r="B113" s="1305"/>
      <c r="C113" s="1302"/>
      <c r="D113" s="1302"/>
      <c r="E113" s="1302"/>
      <c r="F113" s="1302"/>
      <c r="G113" s="1302"/>
      <c r="H113" s="1302"/>
      <c r="I113" s="1302"/>
      <c r="J113" s="1302"/>
      <c r="K113" s="1302"/>
      <c r="L113" s="1302"/>
      <c r="M113" s="1302"/>
      <c r="N113" s="1302"/>
      <c r="O113" s="1302"/>
      <c r="P113" s="1302"/>
      <c r="Q113" s="1299"/>
    </row>
    <row r="114" spans="1:20">
      <c r="A114" s="1302"/>
      <c r="B114" s="1305"/>
      <c r="C114" s="1302"/>
      <c r="D114" s="1311"/>
      <c r="E114" s="1310"/>
      <c r="F114" s="1310"/>
      <c r="G114" s="1310"/>
      <c r="H114" s="1310"/>
      <c r="I114" s="1310"/>
      <c r="J114" s="1310"/>
      <c r="K114" s="1310"/>
      <c r="L114" s="1310"/>
      <c r="M114" s="1310"/>
      <c r="N114" s="1310"/>
      <c r="O114" s="1309"/>
      <c r="P114" s="1302"/>
      <c r="Q114" s="1299"/>
    </row>
    <row r="115" spans="1:20">
      <c r="A115" s="1302"/>
      <c r="B115" s="1305"/>
      <c r="C115" s="1302"/>
      <c r="D115" s="1308" t="s">
        <v>1770</v>
      </c>
      <c r="E115" s="1307"/>
      <c r="F115" s="1307"/>
      <c r="G115" s="1307"/>
      <c r="H115" s="1307"/>
      <c r="I115" s="1307"/>
      <c r="J115" s="1307"/>
      <c r="K115" s="1307"/>
      <c r="L115" s="1307"/>
      <c r="M115" s="1307"/>
      <c r="N115" s="1307"/>
      <c r="O115" s="1306"/>
      <c r="P115" s="1302"/>
      <c r="Q115" s="1299"/>
    </row>
    <row r="116" spans="1:20">
      <c r="A116" s="1302"/>
      <c r="B116" s="1305"/>
      <c r="C116" s="1302"/>
      <c r="D116" s="1302"/>
      <c r="E116" s="1302"/>
      <c r="F116" s="1302"/>
      <c r="G116" s="1302"/>
      <c r="H116" s="1302"/>
      <c r="I116" s="1302"/>
      <c r="J116" s="1302"/>
      <c r="K116" s="1302"/>
      <c r="L116" s="1302"/>
      <c r="M116" s="1302"/>
      <c r="N116" s="1302"/>
      <c r="O116" s="1302"/>
      <c r="P116" s="1302"/>
      <c r="Q116" s="1299"/>
    </row>
    <row r="117" spans="1:20">
      <c r="A117" s="1302"/>
      <c r="B117" s="1305"/>
      <c r="C117" s="1302"/>
      <c r="D117" s="1302"/>
      <c r="E117" s="1302"/>
      <c r="F117" s="1302"/>
      <c r="G117" s="1302"/>
      <c r="H117" s="1302"/>
      <c r="I117" s="1302"/>
      <c r="J117" s="1302"/>
      <c r="K117" s="1302"/>
      <c r="L117" s="1302"/>
      <c r="M117" s="1302"/>
      <c r="N117" s="1302"/>
      <c r="O117" s="1302"/>
      <c r="P117" s="1302"/>
      <c r="Q117" s="1299"/>
    </row>
    <row r="118" spans="1:20">
      <c r="A118" s="1302"/>
      <c r="B118" s="1302"/>
      <c r="C118" s="1302"/>
      <c r="D118" s="1302"/>
      <c r="E118" s="1302"/>
      <c r="F118" s="1302"/>
      <c r="G118" s="1302"/>
      <c r="H118" s="1302"/>
      <c r="I118" s="1302"/>
      <c r="J118" s="1302"/>
      <c r="K118" s="1302"/>
      <c r="L118" s="1302"/>
      <c r="M118" s="1302"/>
      <c r="N118" s="1302"/>
      <c r="O118" s="1302"/>
      <c r="P118" s="1302"/>
      <c r="Q118" s="1299"/>
      <c r="S118" s="1304"/>
    </row>
    <row r="119" spans="1:20">
      <c r="A119" s="1302"/>
      <c r="B119" s="1302"/>
      <c r="C119" s="1303"/>
      <c r="D119" s="1302"/>
      <c r="E119" s="1302"/>
      <c r="F119" s="1302"/>
      <c r="G119" s="1302"/>
      <c r="H119" s="1302"/>
      <c r="I119" s="1302"/>
      <c r="J119" s="1302"/>
      <c r="K119" s="1302"/>
      <c r="L119" s="1302"/>
      <c r="M119" s="1302"/>
      <c r="N119" s="1302"/>
      <c r="O119" s="1302"/>
      <c r="P119" s="1302"/>
      <c r="Q119" s="1299"/>
      <c r="S119" s="1300"/>
      <c r="T119" s="1301"/>
    </row>
    <row r="120" spans="1:20">
      <c r="A120" s="1299"/>
      <c r="B120" s="1299"/>
      <c r="C120" s="1299"/>
      <c r="D120" s="1299"/>
      <c r="E120" s="1299"/>
      <c r="F120" s="1299"/>
      <c r="G120" s="1299"/>
      <c r="H120" s="1299"/>
      <c r="I120" s="1299"/>
      <c r="J120" s="1299"/>
      <c r="K120" s="1299"/>
      <c r="L120" s="1299"/>
      <c r="M120" s="1299"/>
      <c r="N120" s="1299"/>
      <c r="O120" s="1299"/>
      <c r="P120" s="1299"/>
      <c r="Q120" s="1299"/>
      <c r="S120" s="1300"/>
      <c r="T120" s="1300"/>
    </row>
    <row r="121" spans="1:20">
      <c r="A121" s="1299"/>
      <c r="B121" s="1299"/>
      <c r="C121" s="1299"/>
      <c r="D121" s="1299"/>
      <c r="E121" s="1299"/>
      <c r="F121" s="1299"/>
      <c r="G121" s="1299"/>
      <c r="H121" s="1299"/>
      <c r="I121" s="1299"/>
      <c r="J121" s="1299"/>
      <c r="K121" s="1299"/>
      <c r="L121" s="1299"/>
      <c r="M121" s="1299"/>
      <c r="N121" s="1299"/>
      <c r="O121" s="1299"/>
      <c r="P121" s="1299"/>
      <c r="Q121" s="1299"/>
      <c r="S121" s="1300"/>
      <c r="T121" s="1300"/>
    </row>
    <row r="122" spans="1:20">
      <c r="A122" s="1299"/>
      <c r="B122" s="1299"/>
      <c r="C122" s="1299"/>
      <c r="D122" s="1299"/>
      <c r="E122" s="1299"/>
      <c r="F122" s="1299"/>
      <c r="G122" s="1299"/>
      <c r="H122" s="1299"/>
      <c r="I122" s="1299"/>
      <c r="J122" s="1299"/>
      <c r="K122" s="1299"/>
      <c r="L122" s="1299"/>
      <c r="M122" s="1299"/>
      <c r="N122" s="1299"/>
      <c r="O122" s="1299"/>
      <c r="P122" s="1299"/>
      <c r="Q122" s="1299"/>
      <c r="S122" s="1300"/>
      <c r="T122" s="1300"/>
    </row>
    <row r="123" spans="1:20">
      <c r="A123" s="1299"/>
      <c r="B123" s="1299"/>
      <c r="C123" s="1299"/>
      <c r="D123" s="1299"/>
      <c r="E123" s="1299"/>
      <c r="F123" s="1299"/>
      <c r="G123" s="1299"/>
      <c r="H123" s="1299"/>
      <c r="I123" s="1299"/>
      <c r="J123" s="1299"/>
      <c r="K123" s="1299"/>
      <c r="L123" s="1299"/>
      <c r="M123" s="1299"/>
      <c r="N123" s="1299"/>
      <c r="O123" s="1299"/>
      <c r="P123" s="1299"/>
      <c r="Q123" s="1299"/>
    </row>
    <row r="124" spans="1:20">
      <c r="A124" s="1297"/>
      <c r="B124" s="1297"/>
      <c r="C124" s="1297"/>
      <c r="D124" s="1297"/>
      <c r="E124" s="1297"/>
      <c r="F124" s="1297"/>
      <c r="G124" s="1297"/>
      <c r="H124" s="1297"/>
      <c r="I124" s="1297"/>
      <c r="J124" s="1297"/>
      <c r="K124" s="1297"/>
      <c r="L124" s="1297"/>
      <c r="M124" s="1297"/>
      <c r="N124" s="1297"/>
      <c r="O124" s="1297"/>
      <c r="P124" s="1297"/>
    </row>
    <row r="125" spans="1:20">
      <c r="A125" s="1297"/>
      <c r="B125" s="1297"/>
      <c r="C125" s="1297"/>
      <c r="D125" s="1297"/>
      <c r="E125" s="1297"/>
      <c r="F125" s="1297"/>
      <c r="G125" s="1297"/>
      <c r="H125" s="1297"/>
      <c r="I125" s="1297"/>
      <c r="J125" s="1297"/>
      <c r="K125" s="1297"/>
      <c r="L125" s="1297"/>
      <c r="M125" s="1297"/>
      <c r="N125" s="1297"/>
      <c r="O125" s="1297"/>
      <c r="P125" s="1297"/>
    </row>
    <row r="126" spans="1:20">
      <c r="A126" s="1297"/>
      <c r="B126" s="1297"/>
      <c r="C126" s="1297"/>
      <c r="D126" s="1297"/>
      <c r="E126" s="1297"/>
      <c r="F126" s="1297"/>
      <c r="G126" s="1297"/>
      <c r="H126" s="1297"/>
      <c r="I126" s="1297"/>
      <c r="J126" s="1297"/>
      <c r="K126" s="1297"/>
      <c r="L126" s="1297"/>
      <c r="M126" s="1297"/>
      <c r="N126" s="1297"/>
      <c r="O126" s="1297"/>
      <c r="P126" s="1297"/>
    </row>
    <row r="127" spans="1:20">
      <c r="A127" s="1297"/>
      <c r="B127" s="1297"/>
      <c r="C127" s="1297"/>
      <c r="D127" s="1297"/>
      <c r="E127" s="1297"/>
      <c r="F127" s="1297"/>
      <c r="G127" s="1297"/>
      <c r="H127" s="1297"/>
      <c r="I127" s="1297"/>
      <c r="J127" s="1297"/>
      <c r="K127" s="1297"/>
      <c r="L127" s="1297"/>
      <c r="M127" s="1297"/>
      <c r="N127" s="1297"/>
      <c r="O127" s="1297"/>
      <c r="P127" s="1297"/>
    </row>
  </sheetData>
  <pageMargins left="0.7" right="0.7" top="0.75" bottom="0.75" header="0.3" footer="0.3"/>
  <pageSetup scale="77" orientation="portrait" r:id="rId1"/>
  <headerFooter differentFirst="1">
    <firstFooter>&amp;L </firstFooter>
  </headerFooter>
  <colBreaks count="1" manualBreakCount="1">
    <brk id="7" max="23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9255B-3924-4E05-8283-7CE397E78859}">
  <dimension ref="A1:AK128"/>
  <sheetViews>
    <sheetView zoomScaleNormal="100" workbookViewId="0">
      <selection activeCell="P41" sqref="P41"/>
    </sheetView>
  </sheetViews>
  <sheetFormatPr defaultColWidth="9.33203125" defaultRowHeight="14.4"/>
  <cols>
    <col min="1" max="1" width="5.5546875" style="1323" customWidth="1"/>
    <col min="2" max="2" width="7.6640625" style="1323" customWidth="1"/>
    <col min="3" max="3" width="9.6640625" style="1323" bestFit="1" customWidth="1"/>
    <col min="4" max="4" width="13.6640625" style="1323" customWidth="1"/>
    <col min="5" max="6" width="9.33203125" style="1323"/>
    <col min="7" max="10" width="14.5546875" style="1323" bestFit="1" customWidth="1"/>
    <col min="11" max="15" width="9.33203125" style="1323"/>
    <col min="16" max="16" width="9.33203125" style="1323" customWidth="1"/>
    <col min="17" max="17" width="9.33203125" customWidth="1"/>
    <col min="18" max="18" width="14.6640625" customWidth="1"/>
    <col min="20" max="21" width="11.6640625" customWidth="1"/>
    <col min="22" max="24" width="11.6640625" style="1322" customWidth="1"/>
    <col min="25" max="25" width="9.33203125" style="1322"/>
    <col min="28" max="28" width="10.88671875" bestFit="1" customWidth="1"/>
    <col min="29" max="29" width="14.33203125" bestFit="1" customWidth="1"/>
    <col min="30" max="30" width="10.88671875" bestFit="1" customWidth="1"/>
    <col min="31" max="31" width="18.33203125" bestFit="1" customWidth="1"/>
    <col min="32" max="32" width="17.33203125" customWidth="1"/>
    <col min="34" max="34" width="43.5546875" customWidth="1"/>
    <col min="37" max="37" width="12.6640625" bestFit="1" customWidth="1"/>
  </cols>
  <sheetData>
    <row r="1" spans="1:34" ht="16.2" thickBot="1">
      <c r="A1" s="1302" t="s">
        <v>1801</v>
      </c>
      <c r="B1" s="1302"/>
      <c r="C1" s="1302"/>
      <c r="D1" s="1302"/>
      <c r="E1" s="1302"/>
      <c r="F1" s="1302"/>
      <c r="G1" s="1302"/>
      <c r="H1" s="1302"/>
      <c r="I1" s="1302"/>
      <c r="J1" s="1302"/>
      <c r="K1" s="1302"/>
      <c r="L1" s="1302"/>
      <c r="M1" s="1302"/>
      <c r="N1" s="1302"/>
      <c r="O1" s="1302"/>
      <c r="P1" s="1302"/>
      <c r="S1" s="1345" t="s">
        <v>1898</v>
      </c>
    </row>
    <row r="2" spans="1:34" ht="30.45" customHeight="1">
      <c r="A2" s="1302" t="s">
        <v>1858</v>
      </c>
      <c r="B2" s="1302"/>
      <c r="C2" s="1302"/>
      <c r="D2" s="1302"/>
      <c r="E2" s="1302"/>
      <c r="F2" s="1302"/>
      <c r="G2" s="1302"/>
      <c r="H2" s="1302"/>
      <c r="I2" s="1302"/>
      <c r="J2" s="1302"/>
      <c r="K2" s="1302"/>
      <c r="L2" s="1302"/>
      <c r="M2" s="1302"/>
      <c r="N2" s="1302"/>
      <c r="O2" s="1302"/>
      <c r="P2" s="1302"/>
      <c r="R2" s="1370" t="s">
        <v>1897</v>
      </c>
      <c r="S2" s="1701" t="s">
        <v>1896</v>
      </c>
      <c r="T2" s="1701"/>
      <c r="U2" s="1701"/>
      <c r="V2" s="1701"/>
      <c r="W2" s="1701"/>
      <c r="X2" s="1702"/>
    </row>
    <row r="3" spans="1:34" ht="31.95" customHeight="1">
      <c r="A3" s="1302"/>
      <c r="B3" s="1302"/>
      <c r="C3" s="1302"/>
      <c r="D3" s="1302"/>
      <c r="E3" s="1302"/>
      <c r="F3" s="1302"/>
      <c r="G3" s="1302"/>
      <c r="H3" s="1302"/>
      <c r="I3" s="1302"/>
      <c r="J3" s="1302"/>
      <c r="K3" s="1302"/>
      <c r="L3" s="1302"/>
      <c r="M3" s="1302"/>
      <c r="N3" s="1302"/>
      <c r="O3" s="1302"/>
      <c r="P3" s="1302"/>
      <c r="R3" s="1361"/>
      <c r="S3" s="1703" t="s">
        <v>1895</v>
      </c>
      <c r="T3" s="1703"/>
      <c r="U3" s="1703"/>
      <c r="V3" s="1703"/>
      <c r="W3" s="1703"/>
      <c r="X3" s="1704"/>
    </row>
    <row r="4" spans="1:34" ht="30.45" customHeight="1">
      <c r="A4" s="1302"/>
      <c r="B4" s="1302"/>
      <c r="C4" s="1302"/>
      <c r="D4" s="1302"/>
      <c r="E4" s="1302"/>
      <c r="F4" s="1302"/>
      <c r="G4" s="1302"/>
      <c r="H4" s="1302"/>
      <c r="I4" s="1302"/>
      <c r="J4" s="1302"/>
      <c r="K4" s="1302"/>
      <c r="L4" s="1302"/>
      <c r="M4" s="1302"/>
      <c r="N4" s="1302"/>
      <c r="O4" s="1302"/>
      <c r="P4" s="1302"/>
      <c r="Q4" s="1369"/>
      <c r="R4" s="1361"/>
      <c r="S4" s="1703" t="s">
        <v>1894</v>
      </c>
      <c r="T4" s="1703"/>
      <c r="U4" s="1703"/>
      <c r="V4" s="1703"/>
      <c r="W4" s="1703"/>
      <c r="X4" s="1704"/>
    </row>
    <row r="5" spans="1:34" ht="31.95" customHeight="1" thickBot="1">
      <c r="A5" s="1302"/>
      <c r="B5" s="1305" t="s">
        <v>302</v>
      </c>
      <c r="C5" s="1302"/>
      <c r="D5" s="1302"/>
      <c r="E5" s="1302"/>
      <c r="F5" s="1302"/>
      <c r="G5" s="1302"/>
      <c r="H5" s="1302"/>
      <c r="I5" s="1302"/>
      <c r="J5" s="1302"/>
      <c r="K5" s="1302"/>
      <c r="L5" s="1302"/>
      <c r="M5" s="1302"/>
      <c r="N5" s="1302"/>
      <c r="O5" s="1302"/>
      <c r="P5" s="1302"/>
      <c r="R5" s="1367"/>
      <c r="S5" s="1705" t="s">
        <v>1893</v>
      </c>
      <c r="T5" s="1705"/>
      <c r="U5" s="1705"/>
      <c r="V5" s="1705"/>
      <c r="W5" s="1705"/>
      <c r="X5" s="1706"/>
    </row>
    <row r="6" spans="1:34" ht="16.2" thickBot="1">
      <c r="A6" s="1302"/>
      <c r="B6" s="1305"/>
      <c r="C6" s="1302"/>
      <c r="D6" s="1302"/>
      <c r="E6" s="1302"/>
      <c r="F6" s="1302"/>
      <c r="G6" s="1302"/>
      <c r="H6" s="1302"/>
      <c r="I6" s="1302"/>
      <c r="J6" s="1302"/>
      <c r="K6" s="1302"/>
      <c r="L6" s="1302"/>
      <c r="M6" s="1302"/>
      <c r="N6" s="1302"/>
      <c r="O6" s="1302"/>
      <c r="P6" s="1302"/>
    </row>
    <row r="7" spans="1:34" ht="15.6">
      <c r="A7" s="1302"/>
      <c r="B7" s="1305" t="s">
        <v>246</v>
      </c>
      <c r="C7" s="1305" t="s">
        <v>247</v>
      </c>
      <c r="D7" s="1312" t="s">
        <v>1857</v>
      </c>
      <c r="E7" s="1302"/>
      <c r="F7" s="1302"/>
      <c r="G7" s="1302"/>
      <c r="H7" s="1302"/>
      <c r="I7" s="1302"/>
      <c r="J7" s="1302"/>
      <c r="K7" s="1302"/>
      <c r="L7" s="1302"/>
      <c r="M7" s="1302"/>
      <c r="N7" s="1302"/>
      <c r="O7" s="1302"/>
      <c r="P7" s="1302"/>
      <c r="R7" s="1368" t="s">
        <v>1892</v>
      </c>
      <c r="S7" s="1707" t="s">
        <v>1891</v>
      </c>
      <c r="T7" s="1708"/>
      <c r="U7" s="1709"/>
      <c r="V7" s="1707" t="s">
        <v>1890</v>
      </c>
      <c r="W7" s="1708"/>
      <c r="X7" s="1710"/>
    </row>
    <row r="8" spans="1:34" ht="76.2" customHeight="1">
      <c r="A8" s="1302"/>
      <c r="B8" s="1305"/>
      <c r="C8" s="1313" t="s">
        <v>26</v>
      </c>
      <c r="D8" s="1312" t="s">
        <v>1856</v>
      </c>
      <c r="E8" s="1302"/>
      <c r="F8" s="1302"/>
      <c r="G8" s="1302"/>
      <c r="H8" s="1302"/>
      <c r="I8" s="1302"/>
      <c r="J8" s="1302"/>
      <c r="K8" s="1302"/>
      <c r="L8" s="1302"/>
      <c r="M8" s="1302"/>
      <c r="N8" s="1302"/>
      <c r="O8" s="1302"/>
      <c r="P8" s="1302"/>
      <c r="R8" s="1361"/>
      <c r="S8" s="1717" t="s">
        <v>1889</v>
      </c>
      <c r="T8" s="1718"/>
      <c r="U8" s="1546"/>
      <c r="V8" s="1717" t="s">
        <v>1888</v>
      </c>
      <c r="W8" s="1718"/>
      <c r="X8" s="1719"/>
    </row>
    <row r="9" spans="1:34" ht="48.45" customHeight="1">
      <c r="A9" s="1302"/>
      <c r="B9" s="1305"/>
      <c r="C9" s="1313" t="s">
        <v>27</v>
      </c>
      <c r="D9" s="1312" t="s">
        <v>1855</v>
      </c>
      <c r="E9" s="1302"/>
      <c r="F9" s="1302"/>
      <c r="G9" s="1302"/>
      <c r="H9" s="1302"/>
      <c r="I9" s="1302"/>
      <c r="J9" s="1302"/>
      <c r="K9" s="1302"/>
      <c r="L9" s="1302"/>
      <c r="M9" s="1302"/>
      <c r="N9" s="1302"/>
      <c r="O9" s="1302"/>
      <c r="P9" s="1302"/>
      <c r="R9" s="1361"/>
      <c r="S9" s="1720" t="s">
        <v>1887</v>
      </c>
      <c r="T9" s="1721"/>
      <c r="U9" s="1722"/>
      <c r="V9" s="1720" t="s">
        <v>1886</v>
      </c>
      <c r="W9" s="1721"/>
      <c r="X9" s="1723"/>
    </row>
    <row r="10" spans="1:34" ht="48" customHeight="1">
      <c r="A10" s="1302"/>
      <c r="B10" s="1305"/>
      <c r="C10" s="1302"/>
      <c r="D10" s="1302"/>
      <c r="E10" s="1302"/>
      <c r="F10" s="1302"/>
      <c r="G10" s="1302"/>
      <c r="H10" s="1302"/>
      <c r="I10" s="1302"/>
      <c r="J10" s="1302"/>
      <c r="K10" s="1302"/>
      <c r="L10" s="1302"/>
      <c r="M10" s="1302"/>
      <c r="N10" s="1302"/>
      <c r="O10" s="1302"/>
      <c r="P10" s="1302"/>
      <c r="R10" s="1361"/>
      <c r="S10" s="1720" t="s">
        <v>1885</v>
      </c>
      <c r="T10" s="1721"/>
      <c r="U10" s="1722"/>
      <c r="V10" s="1720" t="s">
        <v>1884</v>
      </c>
      <c r="W10" s="1721"/>
      <c r="X10" s="1723"/>
    </row>
    <row r="11" spans="1:34" ht="30.45" customHeight="1" thickBot="1">
      <c r="A11" s="1302"/>
      <c r="B11" s="1305"/>
      <c r="C11" s="1302"/>
      <c r="D11" s="1311"/>
      <c r="E11" s="1310"/>
      <c r="F11" s="1310"/>
      <c r="G11" s="1310"/>
      <c r="H11" s="1310"/>
      <c r="I11" s="1310"/>
      <c r="J11" s="1310"/>
      <c r="K11" s="1310"/>
      <c r="L11" s="1310"/>
      <c r="M11" s="1310"/>
      <c r="N11" s="1310"/>
      <c r="O11" s="1309"/>
      <c r="P11" s="1302"/>
      <c r="R11" s="1367"/>
      <c r="S11" s="1711" t="s">
        <v>1883</v>
      </c>
      <c r="T11" s="1712"/>
      <c r="U11" s="1713"/>
      <c r="V11" s="1711" t="s">
        <v>1882</v>
      </c>
      <c r="W11" s="1712"/>
      <c r="X11" s="1714"/>
    </row>
    <row r="12" spans="1:34" ht="15.6">
      <c r="A12" s="1302"/>
      <c r="B12" s="1305"/>
      <c r="C12" s="1302"/>
      <c r="D12" s="1308" t="s">
        <v>1770</v>
      </c>
      <c r="E12" s="1307"/>
      <c r="F12" s="1307"/>
      <c r="G12" s="1307"/>
      <c r="H12" s="1307"/>
      <c r="I12" s="1307"/>
      <c r="J12" s="1307"/>
      <c r="K12" s="1307"/>
      <c r="L12" s="1307"/>
      <c r="M12" s="1307"/>
      <c r="N12" s="1307"/>
      <c r="O12" s="1306"/>
      <c r="P12" s="1302"/>
      <c r="R12" s="371"/>
      <c r="S12" s="371"/>
      <c r="T12" s="371"/>
      <c r="U12" s="371"/>
      <c r="V12" s="1329"/>
      <c r="W12" s="1329"/>
      <c r="X12" s="1329"/>
      <c r="Y12" s="1329"/>
      <c r="Z12" s="371"/>
      <c r="AA12" s="371"/>
      <c r="AB12" s="371"/>
      <c r="AC12" s="371"/>
      <c r="AD12" s="371"/>
      <c r="AE12" s="371"/>
      <c r="AF12" s="371"/>
      <c r="AG12" s="371"/>
      <c r="AH12" s="371"/>
    </row>
    <row r="13" spans="1:34" ht="15.6">
      <c r="A13" s="1302"/>
      <c r="B13" s="1305"/>
      <c r="C13" s="1302"/>
      <c r="D13" s="1305"/>
      <c r="E13" s="1302"/>
      <c r="F13" s="1302"/>
      <c r="G13" s="1302"/>
      <c r="H13" s="1302"/>
      <c r="I13" s="1302"/>
      <c r="J13" s="1302"/>
      <c r="K13" s="1302"/>
      <c r="L13" s="1302"/>
      <c r="M13" s="1302"/>
      <c r="N13" s="1302"/>
      <c r="O13" s="1302"/>
      <c r="P13" s="1302"/>
      <c r="R13" s="371"/>
      <c r="W13" s="1366"/>
      <c r="X13" s="1329"/>
      <c r="Y13" s="1329"/>
      <c r="Z13" s="371"/>
      <c r="AA13" s="371"/>
      <c r="AB13" s="371"/>
      <c r="AC13" s="371"/>
      <c r="AD13" s="371"/>
      <c r="AE13" s="371"/>
      <c r="AF13" s="371"/>
      <c r="AG13" s="371"/>
    </row>
    <row r="14" spans="1:34" ht="15.6">
      <c r="A14" s="1302"/>
      <c r="B14" s="1302" t="s">
        <v>1854</v>
      </c>
      <c r="C14" s="1302"/>
      <c r="D14" s="1305"/>
      <c r="E14" s="1302"/>
      <c r="F14" s="1302"/>
      <c r="G14" s="1302"/>
      <c r="H14" s="1302"/>
      <c r="I14" s="1302"/>
      <c r="J14" s="1302"/>
      <c r="K14" s="1302"/>
      <c r="L14" s="1302"/>
      <c r="M14" s="1302"/>
      <c r="N14" s="1302"/>
      <c r="O14" s="1302"/>
      <c r="P14" s="1302"/>
      <c r="R14" s="371"/>
      <c r="S14" s="1345" t="s">
        <v>1881</v>
      </c>
      <c r="T14" s="1344"/>
      <c r="U14" s="1344"/>
      <c r="V14" s="1365"/>
      <c r="W14" s="1329"/>
      <c r="X14" s="1329"/>
      <c r="Y14" s="1329"/>
      <c r="Z14" s="371"/>
      <c r="AA14" s="371"/>
      <c r="AB14" s="371"/>
      <c r="AC14" s="371"/>
      <c r="AD14" s="371"/>
      <c r="AE14" s="371"/>
      <c r="AF14" s="371"/>
      <c r="AG14" s="371"/>
    </row>
    <row r="15" spans="1:34" ht="16.2" thickBot="1">
      <c r="A15" s="1302"/>
      <c r="B15" s="1302"/>
      <c r="C15" s="1302"/>
      <c r="D15" s="1305"/>
      <c r="E15" s="1302"/>
      <c r="F15" s="1302"/>
      <c r="G15" s="1302"/>
      <c r="H15" s="1302"/>
      <c r="I15" s="1302"/>
      <c r="J15" s="1302"/>
      <c r="K15" s="1302"/>
      <c r="L15" s="1302"/>
      <c r="M15" s="1302"/>
      <c r="N15" s="1302"/>
      <c r="O15" s="1302"/>
      <c r="P15" s="1302"/>
      <c r="R15" s="371"/>
      <c r="S15" s="371"/>
      <c r="T15" s="371"/>
      <c r="U15" s="371"/>
      <c r="V15" s="1329"/>
      <c r="W15" s="1329"/>
      <c r="X15" s="1329"/>
      <c r="Y15" s="1329"/>
      <c r="Z15" s="371"/>
      <c r="AA15" s="371"/>
      <c r="AB15" s="371"/>
      <c r="AC15" s="371"/>
      <c r="AD15" s="371"/>
      <c r="AE15" s="371"/>
      <c r="AF15" s="371"/>
      <c r="AG15" s="371"/>
    </row>
    <row r="16" spans="1:34" ht="15.6">
      <c r="A16" s="1302"/>
      <c r="B16" s="1302" t="s">
        <v>1853</v>
      </c>
      <c r="C16" s="1302"/>
      <c r="D16" s="1305"/>
      <c r="E16" s="1302"/>
      <c r="F16" s="1302"/>
      <c r="G16" s="1302"/>
      <c r="H16" s="1302"/>
      <c r="I16" s="1302"/>
      <c r="J16" s="1302"/>
      <c r="K16" s="1302"/>
      <c r="L16" s="1302"/>
      <c r="M16" s="1302"/>
      <c r="N16" s="1302"/>
      <c r="O16" s="1302"/>
      <c r="P16" s="1302"/>
      <c r="R16" s="371"/>
      <c r="S16" s="371"/>
      <c r="T16" s="1353" t="s">
        <v>1880</v>
      </c>
      <c r="U16" s="1352"/>
      <c r="V16" s="1364"/>
      <c r="W16" s="1364"/>
      <c r="X16" s="1363"/>
      <c r="Y16" s="1362"/>
      <c r="Z16" s="1353" t="s">
        <v>1879</v>
      </c>
      <c r="AA16" s="1352"/>
      <c r="AB16" s="1352"/>
      <c r="AC16" s="1352"/>
      <c r="AD16" s="1352"/>
      <c r="AE16" s="1352"/>
      <c r="AF16" s="1351"/>
      <c r="AG16" s="371"/>
    </row>
    <row r="17" spans="1:37" ht="15.6">
      <c r="A17" s="1302"/>
      <c r="B17" s="1305"/>
      <c r="C17" s="1302"/>
      <c r="D17" s="1305"/>
      <c r="E17" s="1302"/>
      <c r="F17" s="1302"/>
      <c r="G17" s="1302"/>
      <c r="H17" s="1302"/>
      <c r="I17" s="1302"/>
      <c r="J17" s="1302"/>
      <c r="K17" s="1302"/>
      <c r="L17" s="1302"/>
      <c r="M17" s="1302"/>
      <c r="N17" s="1302"/>
      <c r="O17" s="1302"/>
      <c r="P17" s="1302"/>
      <c r="R17" s="371"/>
      <c r="S17" s="371"/>
      <c r="T17" s="1337"/>
      <c r="U17" s="371"/>
      <c r="V17" s="1335"/>
      <c r="W17" s="1335"/>
      <c r="X17" s="1334"/>
      <c r="Y17" s="1329"/>
      <c r="Z17" s="1361"/>
      <c r="AA17" s="371"/>
      <c r="AB17" s="371"/>
      <c r="AC17" s="371"/>
      <c r="AD17" s="371"/>
      <c r="AE17" s="1715"/>
      <c r="AF17" s="1716"/>
      <c r="AG17" s="371"/>
    </row>
    <row r="18" spans="1:37" s="453" customFormat="1" ht="31.2">
      <c r="A18" s="1319"/>
      <c r="B18" s="1321"/>
      <c r="C18" s="1320" t="s">
        <v>12</v>
      </c>
      <c r="D18" s="1320" t="s">
        <v>1852</v>
      </c>
      <c r="E18" s="1319"/>
      <c r="F18" s="1320" t="s">
        <v>12</v>
      </c>
      <c r="G18" s="1320" t="s">
        <v>400</v>
      </c>
      <c r="H18" s="1320" t="s">
        <v>1851</v>
      </c>
      <c r="I18" s="1320" t="s">
        <v>1465</v>
      </c>
      <c r="J18" s="1320" t="s">
        <v>440</v>
      </c>
      <c r="K18" s="1319"/>
      <c r="L18" s="1319"/>
      <c r="M18" s="1319"/>
      <c r="N18" s="1319"/>
      <c r="O18" s="1319"/>
      <c r="P18" s="1319"/>
      <c r="R18" s="371"/>
      <c r="S18" s="371"/>
      <c r="T18" s="1337" t="s">
        <v>12</v>
      </c>
      <c r="U18" s="371" t="s">
        <v>1311</v>
      </c>
      <c r="V18" s="1335" t="s">
        <v>1878</v>
      </c>
      <c r="W18" s="1335" t="s">
        <v>1877</v>
      </c>
      <c r="X18" s="1334" t="s">
        <v>1876</v>
      </c>
      <c r="Y18" s="1329"/>
      <c r="Z18" s="1337"/>
      <c r="AA18" s="371"/>
      <c r="AB18" s="1360" t="str">
        <f>G18</f>
        <v>Active</v>
      </c>
      <c r="AC18" s="1360" t="str">
        <f>H18</f>
        <v>Deferred Vested</v>
      </c>
      <c r="AD18" s="1360" t="str">
        <f>I18</f>
        <v>Retiree</v>
      </c>
      <c r="AE18" s="1360" t="s">
        <v>1875</v>
      </c>
      <c r="AF18" s="1359" t="s">
        <v>1874</v>
      </c>
      <c r="AG18" s="371"/>
    </row>
    <row r="19" spans="1:37" ht="15.6">
      <c r="A19" s="1302"/>
      <c r="B19" s="1305"/>
      <c r="C19" s="1315">
        <v>0.5</v>
      </c>
      <c r="D19" s="1316">
        <v>4.2000000000000003E-2</v>
      </c>
      <c r="E19" s="1302"/>
      <c r="F19" s="1315">
        <v>0</v>
      </c>
      <c r="G19" s="1314">
        <v>95000</v>
      </c>
      <c r="H19" s="1314">
        <v>143000</v>
      </c>
      <c r="I19" s="1314">
        <v>4536000</v>
      </c>
      <c r="J19" s="1314">
        <v>4774000</v>
      </c>
      <c r="K19" s="1302"/>
      <c r="L19" s="1302"/>
      <c r="M19" s="1302"/>
      <c r="N19" s="1302"/>
      <c r="O19" s="1302"/>
      <c r="P19" s="1302"/>
      <c r="R19" s="371"/>
      <c r="S19" s="371"/>
      <c r="T19" s="1337">
        <v>1</v>
      </c>
      <c r="U19" s="429">
        <f t="shared" ref="U19:U48" si="0">D19</f>
        <v>4.2000000000000003E-2</v>
      </c>
      <c r="V19" s="1335">
        <f t="shared" ref="V19:V50" si="1">(1+$U19)^-($T19-0.5)</f>
        <v>0.97963916738386536</v>
      </c>
      <c r="W19" s="1335">
        <f t="shared" ref="W19:W50" si="2">(1+$U19+0.0001)^-($T19-0.5)</f>
        <v>0.9795921631294715</v>
      </c>
      <c r="X19" s="1334">
        <f t="shared" ref="X19:X50" si="3">(1+$U19-0.0001)^-($T19-0.5)</f>
        <v>0.97968617840519334</v>
      </c>
      <c r="Y19" s="1329"/>
      <c r="Z19" s="1337"/>
      <c r="AA19" s="418" t="s">
        <v>1873</v>
      </c>
      <c r="AB19" s="1341">
        <f>SUMPRODUCT($V$19:$V$98,G$19:G$98)</f>
        <v>19560278.673645385</v>
      </c>
      <c r="AC19" s="1341">
        <f>SUMPRODUCT($V$19:$V$98,H$19:H$98)</f>
        <v>29338791.052138906</v>
      </c>
      <c r="AD19" s="1341">
        <f>SUMPRODUCT($V$19:$V$98,I$19:I$98)</f>
        <v>50955595.239825025</v>
      </c>
      <c r="AE19" s="1341">
        <f>SUM(AB19:AD19)</f>
        <v>99854664.965609312</v>
      </c>
      <c r="AF19" s="1357">
        <f>SUM(AB19:AC19)</f>
        <v>48899069.725784287</v>
      </c>
      <c r="AG19" s="371"/>
      <c r="AH19" s="371"/>
      <c r="AI19" s="371"/>
      <c r="AJ19" s="371"/>
      <c r="AK19" s="371"/>
    </row>
    <row r="20" spans="1:37" ht="15.6">
      <c r="A20" s="1302"/>
      <c r="B20" s="1305"/>
      <c r="C20" s="1315">
        <v>1.5</v>
      </c>
      <c r="D20" s="1316">
        <v>4.2999999999999997E-2</v>
      </c>
      <c r="E20" s="1302"/>
      <c r="F20" s="1315">
        <v>1</v>
      </c>
      <c r="G20" s="1314">
        <v>213000</v>
      </c>
      <c r="H20" s="1314">
        <v>320000</v>
      </c>
      <c r="I20" s="1314">
        <v>4466000</v>
      </c>
      <c r="J20" s="1314">
        <v>4999000</v>
      </c>
      <c r="K20" s="1302"/>
      <c r="L20" s="1302"/>
      <c r="M20" s="1302"/>
      <c r="N20" s="1302"/>
      <c r="O20" s="1302"/>
      <c r="P20" s="1302"/>
      <c r="R20" s="371"/>
      <c r="S20" s="371"/>
      <c r="T20" s="1337">
        <f t="shared" ref="T20:T51" si="4">T19+1</f>
        <v>2</v>
      </c>
      <c r="U20" s="429">
        <f t="shared" si="0"/>
        <v>4.2999999999999997E-2</v>
      </c>
      <c r="V20" s="1335">
        <f t="shared" si="1"/>
        <v>0.93880098665802236</v>
      </c>
      <c r="W20" s="1335">
        <f t="shared" si="2"/>
        <v>0.93866598831375503</v>
      </c>
      <c r="X20" s="1334">
        <f t="shared" si="3"/>
        <v>0.93893601736435228</v>
      </c>
      <c r="Y20" s="1329"/>
      <c r="Z20" s="1337"/>
      <c r="AA20" s="1358" t="s">
        <v>1872</v>
      </c>
      <c r="AB20" s="1341">
        <f>SUMPRODUCT($W$19:$W$98,G$19:G$98)</f>
        <v>19527266.427306477</v>
      </c>
      <c r="AC20" s="1341">
        <f>SUMPRODUCT($W$19:$W$98,H$19:H$98)</f>
        <v>29289277.18963908</v>
      </c>
      <c r="AD20" s="1341">
        <f>SUMPRODUCT($W$19:$W$98,I$19:I$98)</f>
        <v>50914812.986602783</v>
      </c>
      <c r="AE20" s="1341">
        <f>SUM(AB20:AD20)</f>
        <v>99731356.603548348</v>
      </c>
      <c r="AF20" s="1357">
        <f>SUM(AB20:AC20)</f>
        <v>48816543.616945557</v>
      </c>
      <c r="AG20" s="371"/>
    </row>
    <row r="21" spans="1:37" ht="16.2" thickBot="1">
      <c r="A21" s="1302"/>
      <c r="B21" s="1305"/>
      <c r="C21" s="1315">
        <v>2.5</v>
      </c>
      <c r="D21" s="1316">
        <v>4.2999999999999997E-2</v>
      </c>
      <c r="E21" s="1302"/>
      <c r="F21" s="1315">
        <v>2</v>
      </c>
      <c r="G21" s="1314">
        <v>331000</v>
      </c>
      <c r="H21" s="1314">
        <v>496000</v>
      </c>
      <c r="I21" s="1314">
        <v>4388000</v>
      </c>
      <c r="J21" s="1314">
        <v>5215000</v>
      </c>
      <c r="K21" s="1302"/>
      <c r="L21" s="1302"/>
      <c r="M21" s="1302"/>
      <c r="N21" s="1302"/>
      <c r="O21" s="1302"/>
      <c r="P21" s="1302"/>
      <c r="R21" s="371"/>
      <c r="S21" s="371"/>
      <c r="T21" s="1337">
        <f t="shared" si="4"/>
        <v>3</v>
      </c>
      <c r="U21" s="429">
        <f t="shared" si="0"/>
        <v>4.2999999999999997E-2</v>
      </c>
      <c r="V21" s="1335">
        <f t="shared" si="1"/>
        <v>0.9000968232579315</v>
      </c>
      <c r="W21" s="1335">
        <f t="shared" si="2"/>
        <v>0.89988111237058299</v>
      </c>
      <c r="X21" s="1334">
        <f t="shared" si="3"/>
        <v>0.90031260654363054</v>
      </c>
      <c r="Y21" s="1329"/>
      <c r="Z21" s="1333"/>
      <c r="AA21" s="1356" t="s">
        <v>1871</v>
      </c>
      <c r="AB21" s="1355">
        <f>SUMPRODUCT($X$19:$X$98,G$19:G$98)</f>
        <v>19593366.919656843</v>
      </c>
      <c r="AC21" s="1355">
        <f>SUMPRODUCT($X$19:$X$98,H$19:H$98)</f>
        <v>29388418.901728369</v>
      </c>
      <c r="AD21" s="1355">
        <f>SUMPRODUCT($X$19:$X$98,I$19:I$98)</f>
        <v>50996434.62932919</v>
      </c>
      <c r="AE21" s="1355">
        <f>SUM(AB21:AD21)</f>
        <v>99978220.450714409</v>
      </c>
      <c r="AF21" s="1354">
        <f>SUM(AB21:AC21)</f>
        <v>48981785.821385212</v>
      </c>
      <c r="AG21" s="371"/>
    </row>
    <row r="22" spans="1:37" ht="15.6">
      <c r="A22" s="1302"/>
      <c r="B22" s="1305"/>
      <c r="C22" s="1315">
        <v>3.5</v>
      </c>
      <c r="D22" s="1316">
        <v>4.2999999999999997E-2</v>
      </c>
      <c r="E22" s="1302"/>
      <c r="F22" s="1315">
        <v>3</v>
      </c>
      <c r="G22" s="1314">
        <v>448000</v>
      </c>
      <c r="H22" s="1314">
        <v>672000</v>
      </c>
      <c r="I22" s="1314">
        <v>4301000</v>
      </c>
      <c r="J22" s="1314">
        <v>5421000</v>
      </c>
      <c r="K22" s="1302"/>
      <c r="L22" s="1302"/>
      <c r="M22" s="1302"/>
      <c r="N22" s="1302"/>
      <c r="O22" s="1302"/>
      <c r="P22" s="1302"/>
      <c r="R22" s="371"/>
      <c r="S22" s="371"/>
      <c r="T22" s="1337">
        <f t="shared" si="4"/>
        <v>4</v>
      </c>
      <c r="U22" s="429">
        <f t="shared" si="0"/>
        <v>4.2999999999999997E-2</v>
      </c>
      <c r="V22" s="1335">
        <f t="shared" si="1"/>
        <v>0.86298832527126701</v>
      </c>
      <c r="W22" s="1335">
        <f t="shared" si="2"/>
        <v>0.86269879433475516</v>
      </c>
      <c r="X22" s="1334">
        <f t="shared" si="3"/>
        <v>0.86327798115220133</v>
      </c>
      <c r="Y22" s="1329"/>
      <c r="Z22" s="371"/>
      <c r="AA22" s="371"/>
      <c r="AB22" s="371"/>
      <c r="AC22" s="371"/>
      <c r="AD22" s="371"/>
      <c r="AE22" s="371"/>
      <c r="AF22" s="371"/>
      <c r="AG22" s="371"/>
      <c r="AH22" s="371"/>
    </row>
    <row r="23" spans="1:37" ht="16.2" thickBot="1">
      <c r="A23" s="1302"/>
      <c r="B23" s="1305"/>
      <c r="C23" s="1315">
        <v>4.5</v>
      </c>
      <c r="D23" s="1316">
        <v>4.3999999999999997E-2</v>
      </c>
      <c r="E23" s="1302"/>
      <c r="F23" s="1315">
        <v>4</v>
      </c>
      <c r="G23" s="1314">
        <v>565000</v>
      </c>
      <c r="H23" s="1314">
        <v>847000</v>
      </c>
      <c r="I23" s="1314">
        <v>4204000</v>
      </c>
      <c r="J23" s="1314">
        <v>5616000</v>
      </c>
      <c r="K23" s="1302"/>
      <c r="L23" s="1302"/>
      <c r="M23" s="1302"/>
      <c r="N23" s="1302"/>
      <c r="O23" s="1302"/>
      <c r="P23" s="1302"/>
      <c r="R23" s="371"/>
      <c r="S23" s="371"/>
      <c r="T23" s="1337">
        <f t="shared" si="4"/>
        <v>5</v>
      </c>
      <c r="U23" s="429">
        <f t="shared" si="0"/>
        <v>4.3999999999999997E-2</v>
      </c>
      <c r="V23" s="1335">
        <f t="shared" si="1"/>
        <v>0.82384926010615478</v>
      </c>
      <c r="W23" s="1335">
        <f t="shared" si="2"/>
        <v>0.82349424618588185</v>
      </c>
      <c r="X23" s="1334">
        <f t="shared" si="3"/>
        <v>0.82420446110410872</v>
      </c>
      <c r="Y23" s="1329"/>
      <c r="Z23" s="371"/>
      <c r="AA23" s="371"/>
      <c r="AB23" s="371"/>
      <c r="AC23" s="371"/>
      <c r="AD23" s="371"/>
      <c r="AE23" s="371"/>
      <c r="AF23" s="371"/>
      <c r="AG23" s="371"/>
      <c r="AH23" s="371"/>
    </row>
    <row r="24" spans="1:37" ht="15.6">
      <c r="A24" s="1302"/>
      <c r="B24" s="1305"/>
      <c r="C24" s="1315">
        <v>5.5</v>
      </c>
      <c r="D24" s="1316">
        <v>4.3999999999999997E-2</v>
      </c>
      <c r="E24" s="1302"/>
      <c r="F24" s="1315">
        <v>5</v>
      </c>
      <c r="G24" s="1314">
        <v>680000</v>
      </c>
      <c r="H24" s="1314">
        <v>1020000</v>
      </c>
      <c r="I24" s="1314">
        <v>4099000</v>
      </c>
      <c r="J24" s="1314">
        <v>5799000</v>
      </c>
      <c r="K24" s="1302"/>
      <c r="L24" s="1302"/>
      <c r="M24" s="1302"/>
      <c r="N24" s="1302"/>
      <c r="O24" s="1302"/>
      <c r="P24" s="1302"/>
      <c r="R24" s="371"/>
      <c r="S24" s="371"/>
      <c r="T24" s="1337">
        <f t="shared" si="4"/>
        <v>6</v>
      </c>
      <c r="U24" s="429">
        <f t="shared" si="0"/>
        <v>4.3999999999999997E-2</v>
      </c>
      <c r="V24" s="1335">
        <f t="shared" si="1"/>
        <v>0.78912764377984168</v>
      </c>
      <c r="W24" s="1335">
        <f t="shared" si="2"/>
        <v>0.78871204500132341</v>
      </c>
      <c r="X24" s="1334">
        <f t="shared" si="3"/>
        <v>0.78954350139295781</v>
      </c>
      <c r="Y24" s="1329"/>
      <c r="Z24" s="1353" t="s">
        <v>1870</v>
      </c>
      <c r="AA24" s="1352"/>
      <c r="AB24" s="1352"/>
      <c r="AC24" s="1352"/>
      <c r="AD24" s="1352"/>
      <c r="AE24" s="1352"/>
      <c r="AF24" s="1351"/>
      <c r="AG24" s="371"/>
      <c r="AH24" s="371"/>
    </row>
    <row r="25" spans="1:37" ht="15.6">
      <c r="A25" s="1302"/>
      <c r="B25" s="1305"/>
      <c r="C25" s="1315">
        <v>6.5</v>
      </c>
      <c r="D25" s="1316">
        <v>4.3999999999999997E-2</v>
      </c>
      <c r="E25" s="1302"/>
      <c r="F25" s="1315">
        <v>6</v>
      </c>
      <c r="G25" s="1314">
        <v>793000</v>
      </c>
      <c r="H25" s="1314">
        <v>1190000</v>
      </c>
      <c r="I25" s="1314">
        <v>3983000</v>
      </c>
      <c r="J25" s="1314">
        <v>5966000</v>
      </c>
      <c r="K25" s="1302"/>
      <c r="L25" s="1302"/>
      <c r="M25" s="1302"/>
      <c r="N25" s="1302"/>
      <c r="O25" s="1302"/>
      <c r="P25" s="1302"/>
      <c r="R25" s="371"/>
      <c r="S25" s="371"/>
      <c r="T25" s="1337">
        <f t="shared" si="4"/>
        <v>7</v>
      </c>
      <c r="U25" s="429">
        <f t="shared" si="0"/>
        <v>4.3999999999999997E-2</v>
      </c>
      <c r="V25" s="1335">
        <f t="shared" si="1"/>
        <v>0.75586939059371794</v>
      </c>
      <c r="W25" s="1335">
        <f t="shared" si="2"/>
        <v>0.75539895125114775</v>
      </c>
      <c r="X25" s="1334">
        <f t="shared" si="3"/>
        <v>0.75634016801701098</v>
      </c>
      <c r="Y25" s="1329"/>
      <c r="Z25" s="1337"/>
      <c r="AA25" s="371"/>
      <c r="AB25" s="371"/>
      <c r="AC25" s="371"/>
      <c r="AD25" s="371"/>
      <c r="AE25" s="433" t="s">
        <v>1869</v>
      </c>
      <c r="AF25" s="1350"/>
      <c r="AG25" s="371"/>
      <c r="AH25" s="371"/>
    </row>
    <row r="26" spans="1:37" ht="15.6">
      <c r="A26" s="1302"/>
      <c r="B26" s="1305"/>
      <c r="C26" s="1315">
        <v>7.5</v>
      </c>
      <c r="D26" s="1316">
        <v>4.3999999999999997E-2</v>
      </c>
      <c r="E26" s="1302"/>
      <c r="F26" s="1315">
        <v>7</v>
      </c>
      <c r="G26" s="1314">
        <v>904000</v>
      </c>
      <c r="H26" s="1314">
        <v>1356000</v>
      </c>
      <c r="I26" s="1314">
        <v>3857000</v>
      </c>
      <c r="J26" s="1314">
        <v>6117000</v>
      </c>
      <c r="K26" s="1302"/>
      <c r="L26" s="1302"/>
      <c r="M26" s="1302"/>
      <c r="N26" s="1302"/>
      <c r="O26" s="1302"/>
      <c r="P26" s="1302"/>
      <c r="R26" s="371"/>
      <c r="S26" s="371"/>
      <c r="T26" s="1337">
        <f t="shared" si="4"/>
        <v>8</v>
      </c>
      <c r="U26" s="429">
        <f t="shared" si="0"/>
        <v>4.3999999999999997E-2</v>
      </c>
      <c r="V26" s="1335">
        <f t="shared" si="1"/>
        <v>0.7240128262391935</v>
      </c>
      <c r="W26" s="1335">
        <f t="shared" si="2"/>
        <v>0.72349291375457114</v>
      </c>
      <c r="X26" s="1334">
        <f t="shared" si="3"/>
        <v>0.72453316219658104</v>
      </c>
      <c r="Y26" s="1329"/>
      <c r="Z26" s="1337"/>
      <c r="AA26" s="371" t="s">
        <v>1861</v>
      </c>
      <c r="AB26" s="371"/>
      <c r="AC26" s="371">
        <f>((AE21-AE20)/(2/100))/AE19</f>
        <v>0.12361157450735183</v>
      </c>
      <c r="AD26" s="420" t="s">
        <v>1866</v>
      </c>
      <c r="AE26" s="1349" t="s">
        <v>1868</v>
      </c>
      <c r="AF26" s="1348"/>
      <c r="AG26" s="371"/>
      <c r="AH26" s="371"/>
    </row>
    <row r="27" spans="1:37" ht="15.6">
      <c r="A27" s="1302"/>
      <c r="B27" s="1305"/>
      <c r="C27" s="1315">
        <v>8.5</v>
      </c>
      <c r="D27" s="1316">
        <v>4.4999999999999998E-2</v>
      </c>
      <c r="E27" s="1302"/>
      <c r="F27" s="1315">
        <v>8</v>
      </c>
      <c r="G27" s="1314">
        <v>1011000</v>
      </c>
      <c r="H27" s="1314">
        <v>1517000</v>
      </c>
      <c r="I27" s="1314">
        <v>3721000</v>
      </c>
      <c r="J27" s="1314">
        <v>6249000</v>
      </c>
      <c r="K27" s="1302"/>
      <c r="L27" s="1302"/>
      <c r="M27" s="1302"/>
      <c r="N27" s="1302"/>
      <c r="O27" s="1302"/>
      <c r="P27" s="1302"/>
      <c r="R27" s="371"/>
      <c r="S27" s="371"/>
      <c r="T27" s="1337">
        <f t="shared" si="4"/>
        <v>9</v>
      </c>
      <c r="U27" s="429">
        <f t="shared" si="0"/>
        <v>4.4999999999999998E-2</v>
      </c>
      <c r="V27" s="1335">
        <f t="shared" si="1"/>
        <v>0.68787817631116599</v>
      </c>
      <c r="W27" s="1335">
        <f t="shared" si="2"/>
        <v>0.68731891241859122</v>
      </c>
      <c r="X27" s="1334">
        <f t="shared" si="3"/>
        <v>0.68843794885663645</v>
      </c>
      <c r="Y27" s="1329"/>
      <c r="Z27" s="1337"/>
      <c r="AA27" s="371"/>
      <c r="AB27" s="371"/>
      <c r="AC27" s="371"/>
      <c r="AD27" s="420"/>
      <c r="AE27" s="433" t="s">
        <v>1867</v>
      </c>
      <c r="AF27" s="1350"/>
      <c r="AG27" s="371"/>
      <c r="AH27" s="371"/>
    </row>
    <row r="28" spans="1:37" ht="15.6">
      <c r="A28" s="1302"/>
      <c r="B28" s="1305"/>
      <c r="C28" s="1315">
        <v>9.5</v>
      </c>
      <c r="D28" s="1316">
        <v>4.4999999999999998E-2</v>
      </c>
      <c r="E28" s="1302"/>
      <c r="F28" s="1315">
        <v>9</v>
      </c>
      <c r="G28" s="1314">
        <v>1114000</v>
      </c>
      <c r="H28" s="1314">
        <v>1671000</v>
      </c>
      <c r="I28" s="1314">
        <v>3576000</v>
      </c>
      <c r="J28" s="1314">
        <v>6361000</v>
      </c>
      <c r="K28" s="1302"/>
      <c r="L28" s="1302"/>
      <c r="M28" s="1302"/>
      <c r="N28" s="1302"/>
      <c r="O28" s="1302"/>
      <c r="P28" s="1302"/>
      <c r="R28" s="371"/>
      <c r="S28" s="371"/>
      <c r="T28" s="1337">
        <f t="shared" si="4"/>
        <v>10</v>
      </c>
      <c r="U28" s="429">
        <f t="shared" si="0"/>
        <v>4.4999999999999998E-2</v>
      </c>
      <c r="V28" s="1335">
        <f t="shared" si="1"/>
        <v>0.65825662804896268</v>
      </c>
      <c r="W28" s="1335">
        <f t="shared" si="2"/>
        <v>0.65765851346147852</v>
      </c>
      <c r="X28" s="1334">
        <f t="shared" si="3"/>
        <v>0.65885534391485934</v>
      </c>
      <c r="Y28" s="1329"/>
      <c r="Z28" s="1337"/>
      <c r="AA28" s="371" t="s">
        <v>1859</v>
      </c>
      <c r="AB28" s="371"/>
      <c r="AC28" s="371">
        <f>((AF21-AF20)/(2/100))/AF19</f>
        <v>0.16896252358817715</v>
      </c>
      <c r="AD28" s="420" t="s">
        <v>1866</v>
      </c>
      <c r="AE28" s="1349" t="s">
        <v>1865</v>
      </c>
      <c r="AF28" s="1348"/>
      <c r="AG28" s="371"/>
      <c r="AH28" s="371"/>
    </row>
    <row r="29" spans="1:37" ht="16.2" thickBot="1">
      <c r="A29" s="1302"/>
      <c r="B29" s="1305"/>
      <c r="C29" s="1315">
        <v>10.5</v>
      </c>
      <c r="D29" s="1316">
        <v>4.4999999999999998E-2</v>
      </c>
      <c r="E29" s="1302"/>
      <c r="F29" s="1315">
        <v>10</v>
      </c>
      <c r="G29" s="1314">
        <v>1213000</v>
      </c>
      <c r="H29" s="1314">
        <v>1819000</v>
      </c>
      <c r="I29" s="1314">
        <v>3421000</v>
      </c>
      <c r="J29" s="1314">
        <v>6453000</v>
      </c>
      <c r="K29" s="1302"/>
      <c r="L29" s="1302"/>
      <c r="M29" s="1302"/>
      <c r="N29" s="1302"/>
      <c r="O29" s="1302"/>
      <c r="P29" s="1302"/>
      <c r="R29" s="371"/>
      <c r="S29" s="371"/>
      <c r="T29" s="1337">
        <f t="shared" si="4"/>
        <v>11</v>
      </c>
      <c r="U29" s="429">
        <f t="shared" si="0"/>
        <v>4.4999999999999998E-2</v>
      </c>
      <c r="V29" s="1335">
        <f t="shared" si="1"/>
        <v>0.62991064885068193</v>
      </c>
      <c r="W29" s="1335">
        <f t="shared" si="2"/>
        <v>0.62927807239640088</v>
      </c>
      <c r="X29" s="1334">
        <f t="shared" si="3"/>
        <v>0.63054392182492047</v>
      </c>
      <c r="Y29" s="1329"/>
      <c r="Z29" s="1333"/>
      <c r="AA29" s="1347"/>
      <c r="AB29" s="1347"/>
      <c r="AC29" s="1347"/>
      <c r="AD29" s="1347"/>
      <c r="AE29" s="1347"/>
      <c r="AF29" s="1346"/>
      <c r="AG29" s="371"/>
      <c r="AH29" s="371"/>
    </row>
    <row r="30" spans="1:37" ht="15.6">
      <c r="A30" s="1302"/>
      <c r="B30" s="1305"/>
      <c r="C30" s="1315">
        <v>11.5</v>
      </c>
      <c r="D30" s="1316">
        <v>4.4999999999999998E-2</v>
      </c>
      <c r="E30" s="1302"/>
      <c r="F30" s="1315">
        <v>11</v>
      </c>
      <c r="G30" s="1314">
        <v>1306000</v>
      </c>
      <c r="H30" s="1314">
        <v>1959000</v>
      </c>
      <c r="I30" s="1314">
        <v>3258000</v>
      </c>
      <c r="J30" s="1314">
        <v>6523000</v>
      </c>
      <c r="K30" s="1302"/>
      <c r="L30" s="1302"/>
      <c r="M30" s="1302"/>
      <c r="N30" s="1302"/>
      <c r="O30" s="1302"/>
      <c r="P30" s="1302"/>
      <c r="R30" s="371"/>
      <c r="S30" s="371"/>
      <c r="T30" s="1337">
        <f t="shared" si="4"/>
        <v>12</v>
      </c>
      <c r="U30" s="429">
        <f t="shared" si="0"/>
        <v>4.4999999999999998E-2</v>
      </c>
      <c r="V30" s="1335">
        <f t="shared" si="1"/>
        <v>0.60278530990495882</v>
      </c>
      <c r="W30" s="1335">
        <f t="shared" si="2"/>
        <v>0.60212235422103244</v>
      </c>
      <c r="X30" s="1334">
        <f t="shared" si="3"/>
        <v>0.60344905907256241</v>
      </c>
      <c r="Y30" s="1329"/>
      <c r="Z30" s="371"/>
      <c r="AA30" s="371"/>
      <c r="AB30" s="371"/>
      <c r="AC30" s="371"/>
      <c r="AD30" s="371"/>
      <c r="AE30" s="371"/>
      <c r="AF30" s="371"/>
      <c r="AG30" s="371"/>
      <c r="AH30" s="371"/>
    </row>
    <row r="31" spans="1:37" ht="15.6">
      <c r="A31" s="1302"/>
      <c r="B31" s="1305"/>
      <c r="C31" s="1315">
        <v>12.5</v>
      </c>
      <c r="D31" s="1316">
        <v>4.4999999999999998E-2</v>
      </c>
      <c r="E31" s="1302"/>
      <c r="F31" s="1315">
        <v>12</v>
      </c>
      <c r="G31" s="1314">
        <v>1393000</v>
      </c>
      <c r="H31" s="1314">
        <v>2089000</v>
      </c>
      <c r="I31" s="1314">
        <v>3088000</v>
      </c>
      <c r="J31" s="1314">
        <v>6570000</v>
      </c>
      <c r="K31" s="1302"/>
      <c r="L31" s="1302"/>
      <c r="M31" s="1302"/>
      <c r="N31" s="1302"/>
      <c r="O31" s="1302"/>
      <c r="P31" s="1302"/>
      <c r="R31" s="371"/>
      <c r="S31" s="371"/>
      <c r="T31" s="1337">
        <f t="shared" si="4"/>
        <v>13</v>
      </c>
      <c r="U31" s="429">
        <f t="shared" si="0"/>
        <v>4.4999999999999998E-2</v>
      </c>
      <c r="V31" s="1335">
        <f t="shared" si="1"/>
        <v>0.57682804775594154</v>
      </c>
      <c r="W31" s="1335">
        <f t="shared" si="2"/>
        <v>0.57613850753136775</v>
      </c>
      <c r="X31" s="1334">
        <f t="shared" si="3"/>
        <v>0.57751847934975831</v>
      </c>
      <c r="Y31" s="1329"/>
      <c r="AD31" s="371"/>
      <c r="AE31" s="371"/>
      <c r="AF31" s="371"/>
      <c r="AG31" s="371"/>
      <c r="AH31" s="371"/>
    </row>
    <row r="32" spans="1:37" ht="15.6">
      <c r="A32" s="1302"/>
      <c r="B32" s="1305"/>
      <c r="C32" s="1315">
        <v>13.5</v>
      </c>
      <c r="D32" s="1316">
        <v>4.5999999999999999E-2</v>
      </c>
      <c r="E32" s="1302"/>
      <c r="F32" s="1315">
        <v>13</v>
      </c>
      <c r="G32" s="1314">
        <v>1473000</v>
      </c>
      <c r="H32" s="1314">
        <v>2209000</v>
      </c>
      <c r="I32" s="1314">
        <v>2912000</v>
      </c>
      <c r="J32" s="1314">
        <v>6594000</v>
      </c>
      <c r="K32" s="1302"/>
      <c r="L32" s="1302"/>
      <c r="M32" s="1302"/>
      <c r="N32" s="1302"/>
      <c r="O32" s="1302"/>
      <c r="P32" s="1302"/>
      <c r="R32" s="371"/>
      <c r="S32" s="371"/>
      <c r="T32" s="1337">
        <f t="shared" si="4"/>
        <v>14</v>
      </c>
      <c r="U32" s="429">
        <f t="shared" si="0"/>
        <v>4.5999999999999999E-2</v>
      </c>
      <c r="V32" s="1335">
        <f t="shared" si="1"/>
        <v>0.54490683920063465</v>
      </c>
      <c r="W32" s="1335">
        <f t="shared" si="2"/>
        <v>0.5442040527653782</v>
      </c>
      <c r="X32" s="1334">
        <f t="shared" si="3"/>
        <v>0.54561060053740562</v>
      </c>
      <c r="Y32" s="1329"/>
      <c r="Z32" s="1345" t="s">
        <v>1864</v>
      </c>
      <c r="AA32" s="1344"/>
      <c r="AB32" s="1344"/>
      <c r="AC32" s="1344"/>
      <c r="AD32" s="371"/>
      <c r="AE32" s="371"/>
      <c r="AF32" s="371"/>
      <c r="AG32" s="371"/>
      <c r="AH32" s="371"/>
    </row>
    <row r="33" spans="1:34" ht="15.6">
      <c r="A33" s="1302"/>
      <c r="B33" s="1305"/>
      <c r="C33" s="1315">
        <v>14.5</v>
      </c>
      <c r="D33" s="1316">
        <v>4.7E-2</v>
      </c>
      <c r="E33" s="1302"/>
      <c r="F33" s="1315">
        <v>14</v>
      </c>
      <c r="G33" s="1314">
        <v>1544000</v>
      </c>
      <c r="H33" s="1314">
        <v>2317000</v>
      </c>
      <c r="I33" s="1314">
        <v>2733000</v>
      </c>
      <c r="J33" s="1314">
        <v>6594000</v>
      </c>
      <c r="K33" s="1302"/>
      <c r="L33" s="1302"/>
      <c r="M33" s="1302"/>
      <c r="N33" s="1302"/>
      <c r="O33" s="1302"/>
      <c r="P33" s="1302"/>
      <c r="R33" s="371"/>
      <c r="S33" s="371"/>
      <c r="T33" s="1337">
        <f t="shared" si="4"/>
        <v>15</v>
      </c>
      <c r="U33" s="429">
        <f t="shared" si="0"/>
        <v>4.7E-2</v>
      </c>
      <c r="V33" s="1335">
        <f t="shared" si="1"/>
        <v>0.51377517477259615</v>
      </c>
      <c r="W33" s="1335">
        <f t="shared" si="2"/>
        <v>0.51306416917978304</v>
      </c>
      <c r="X33" s="1334">
        <f t="shared" si="3"/>
        <v>0.51448723373201988</v>
      </c>
      <c r="Y33" s="1329"/>
      <c r="Z33" s="371" t="s">
        <v>1863</v>
      </c>
      <c r="AB33" s="371"/>
      <c r="AC33" s="433" t="s">
        <v>1862</v>
      </c>
      <c r="AD33" s="1342"/>
      <c r="AE33" s="1341"/>
      <c r="AF33" s="1340"/>
      <c r="AG33" s="371"/>
      <c r="AH33" s="371"/>
    </row>
    <row r="34" spans="1:34" ht="15.6">
      <c r="A34" s="1302"/>
      <c r="B34" s="1305"/>
      <c r="C34" s="1315">
        <v>15.5</v>
      </c>
      <c r="D34" s="1316">
        <v>4.7E-2</v>
      </c>
      <c r="E34" s="1302"/>
      <c r="F34" s="1315">
        <v>15</v>
      </c>
      <c r="G34" s="1314">
        <v>1608000</v>
      </c>
      <c r="H34" s="1314">
        <v>2411000</v>
      </c>
      <c r="I34" s="1314">
        <v>2551000</v>
      </c>
      <c r="J34" s="1314">
        <v>6570000</v>
      </c>
      <c r="K34" s="1302"/>
      <c r="L34" s="1302"/>
      <c r="M34" s="1302"/>
      <c r="N34" s="1302"/>
      <c r="O34" s="1302"/>
      <c r="P34" s="1302"/>
      <c r="R34" s="371"/>
      <c r="S34" s="371"/>
      <c r="T34" s="1337">
        <f t="shared" si="4"/>
        <v>16</v>
      </c>
      <c r="U34" s="429">
        <f t="shared" si="0"/>
        <v>4.7E-2</v>
      </c>
      <c r="V34" s="1335">
        <f t="shared" si="1"/>
        <v>0.49071172375606137</v>
      </c>
      <c r="W34" s="1335">
        <f t="shared" si="2"/>
        <v>0.48998583629050058</v>
      </c>
      <c r="X34" s="1334">
        <f t="shared" si="3"/>
        <v>0.4914387560722322</v>
      </c>
      <c r="Y34" s="1329"/>
      <c r="Z34" s="371"/>
      <c r="AA34" s="371" t="s">
        <v>1861</v>
      </c>
      <c r="AB34" s="1339"/>
      <c r="AC34" s="1338">
        <f>(1+AC26)^1*AE19</f>
        <v>112197857.32391238</v>
      </c>
      <c r="AD34" s="371"/>
      <c r="AE34" s="1343"/>
      <c r="AF34" s="371"/>
      <c r="AG34" s="371"/>
      <c r="AH34" s="371"/>
    </row>
    <row r="35" spans="1:34" ht="15.6">
      <c r="A35" s="1302"/>
      <c r="B35" s="1305"/>
      <c r="C35" s="1315">
        <v>16.5</v>
      </c>
      <c r="D35" s="1316">
        <v>4.7E-2</v>
      </c>
      <c r="E35" s="1302"/>
      <c r="F35" s="1315">
        <v>16</v>
      </c>
      <c r="G35" s="1314">
        <v>1662000</v>
      </c>
      <c r="H35" s="1314">
        <v>2492000</v>
      </c>
      <c r="I35" s="1314">
        <v>2369000</v>
      </c>
      <c r="J35" s="1314">
        <v>6523000</v>
      </c>
      <c r="K35" s="1302"/>
      <c r="L35" s="1302"/>
      <c r="M35" s="1302"/>
      <c r="N35" s="1302"/>
      <c r="O35" s="1302"/>
      <c r="P35" s="1302"/>
      <c r="R35" s="371"/>
      <c r="S35" s="371"/>
      <c r="T35" s="1337">
        <f t="shared" si="4"/>
        <v>17</v>
      </c>
      <c r="U35" s="429">
        <f t="shared" si="0"/>
        <v>4.7E-2</v>
      </c>
      <c r="V35" s="1335">
        <f t="shared" si="1"/>
        <v>0.46868359480044069</v>
      </c>
      <c r="W35" s="1335">
        <f t="shared" si="2"/>
        <v>0.46794559859660068</v>
      </c>
      <c r="X35" s="1334">
        <f t="shared" si="3"/>
        <v>0.4694228255537608</v>
      </c>
      <c r="Y35" s="1329"/>
      <c r="Z35" s="1339"/>
      <c r="AA35" s="371"/>
      <c r="AB35" s="1339"/>
      <c r="AC35" s="433" t="s">
        <v>1860</v>
      </c>
      <c r="AD35" s="1342"/>
      <c r="AE35" s="1341"/>
      <c r="AF35" s="1340"/>
      <c r="AG35" s="371"/>
      <c r="AH35" s="371"/>
    </row>
    <row r="36" spans="1:34" ht="15.6">
      <c r="A36" s="1302"/>
      <c r="B36" s="1305"/>
      <c r="C36" s="1315">
        <v>17.5</v>
      </c>
      <c r="D36" s="1316">
        <v>4.8000000000000001E-2</v>
      </c>
      <c r="E36" s="1302"/>
      <c r="F36" s="1315">
        <v>17</v>
      </c>
      <c r="G36" s="1314">
        <v>1706000</v>
      </c>
      <c r="H36" s="1314">
        <v>2559000</v>
      </c>
      <c r="I36" s="1314">
        <v>2188000</v>
      </c>
      <c r="J36" s="1314">
        <v>6453000</v>
      </c>
      <c r="K36" s="1302"/>
      <c r="L36" s="1302"/>
      <c r="M36" s="1302"/>
      <c r="N36" s="1302"/>
      <c r="O36" s="1302"/>
      <c r="P36" s="1302"/>
      <c r="R36" s="371"/>
      <c r="S36" s="371"/>
      <c r="T36" s="1337">
        <f t="shared" si="4"/>
        <v>18</v>
      </c>
      <c r="U36" s="429">
        <f t="shared" si="0"/>
        <v>4.8000000000000001E-2</v>
      </c>
      <c r="V36" s="1335">
        <f t="shared" si="1"/>
        <v>0.44022789048519939</v>
      </c>
      <c r="W36" s="1335">
        <f t="shared" si="2"/>
        <v>0.43949342555197246</v>
      </c>
      <c r="X36" s="1334">
        <f t="shared" si="3"/>
        <v>0.44096365309031654</v>
      </c>
      <c r="Y36" s="1329"/>
      <c r="Z36" s="371"/>
      <c r="AA36" s="371" t="s">
        <v>1859</v>
      </c>
      <c r="AB36" s="1339"/>
      <c r="AC36" s="1338">
        <f>(1+AC28)^1*AF19</f>
        <v>57161179.947767034</v>
      </c>
      <c r="AD36" s="371"/>
      <c r="AE36" s="371"/>
      <c r="AF36" s="371"/>
      <c r="AG36" s="371"/>
      <c r="AH36" s="371"/>
    </row>
    <row r="37" spans="1:34" ht="15.6">
      <c r="A37" s="1302"/>
      <c r="B37" s="1305"/>
      <c r="C37" s="1315">
        <v>18.5</v>
      </c>
      <c r="D37" s="1316">
        <v>4.8000000000000001E-2</v>
      </c>
      <c r="E37" s="1302"/>
      <c r="F37" s="1315">
        <v>18</v>
      </c>
      <c r="G37" s="1314">
        <v>1740000</v>
      </c>
      <c r="H37" s="1314">
        <v>2610000</v>
      </c>
      <c r="I37" s="1314">
        <v>2009000</v>
      </c>
      <c r="J37" s="1314">
        <v>6359000</v>
      </c>
      <c r="K37" s="1302"/>
      <c r="L37" s="1302"/>
      <c r="M37" s="1302"/>
      <c r="N37" s="1302"/>
      <c r="O37" s="1302"/>
      <c r="P37" s="1302"/>
      <c r="R37" s="371"/>
      <c r="S37" s="371"/>
      <c r="T37" s="1337">
        <f t="shared" si="4"/>
        <v>19</v>
      </c>
      <c r="U37" s="429">
        <f t="shared" si="0"/>
        <v>4.8000000000000001E-2</v>
      </c>
      <c r="V37" s="1335">
        <f t="shared" si="1"/>
        <v>0.42006478099732775</v>
      </c>
      <c r="W37" s="1335">
        <f t="shared" si="2"/>
        <v>0.41932394385265953</v>
      </c>
      <c r="X37" s="1334">
        <f t="shared" si="3"/>
        <v>0.4208069978913222</v>
      </c>
      <c r="Y37" s="1329"/>
      <c r="Z37" s="371"/>
      <c r="AA37" s="371"/>
      <c r="AB37" s="371"/>
      <c r="AC37" s="371"/>
      <c r="AD37" s="371"/>
      <c r="AE37" s="371"/>
      <c r="AF37" s="371"/>
      <c r="AG37" s="371"/>
      <c r="AH37" s="371"/>
    </row>
    <row r="38" spans="1:34" ht="15.6">
      <c r="A38" s="1302"/>
      <c r="B38" s="1305"/>
      <c r="C38" s="1315">
        <v>19.5</v>
      </c>
      <c r="D38" s="1316">
        <v>4.9000000000000002E-2</v>
      </c>
      <c r="E38" s="1302"/>
      <c r="F38" s="1315">
        <v>19</v>
      </c>
      <c r="G38" s="1314">
        <v>1764000</v>
      </c>
      <c r="H38" s="1314">
        <v>2646000</v>
      </c>
      <c r="I38" s="1314">
        <v>1835000</v>
      </c>
      <c r="J38" s="1314">
        <v>6245000</v>
      </c>
      <c r="K38" s="1302"/>
      <c r="L38" s="1302"/>
      <c r="M38" s="1302"/>
      <c r="N38" s="1302"/>
      <c r="O38" s="1302"/>
      <c r="P38" s="1302"/>
      <c r="R38" s="371"/>
      <c r="S38" s="371"/>
      <c r="T38" s="1337">
        <f t="shared" si="4"/>
        <v>20</v>
      </c>
      <c r="U38" s="429">
        <f t="shared" si="0"/>
        <v>4.9000000000000002E-2</v>
      </c>
      <c r="V38" s="1335">
        <f t="shared" si="1"/>
        <v>0.39343951879883354</v>
      </c>
      <c r="W38" s="1335">
        <f t="shared" si="2"/>
        <v>0.39270886301298374</v>
      </c>
      <c r="X38" s="1334">
        <f t="shared" si="3"/>
        <v>0.39417160385915018</v>
      </c>
      <c r="Y38" s="1329"/>
      <c r="Z38" s="371"/>
      <c r="AA38" s="371"/>
      <c r="AB38" s="371"/>
      <c r="AC38" s="371"/>
      <c r="AD38" s="371"/>
      <c r="AE38" s="371"/>
      <c r="AF38" s="371"/>
      <c r="AG38" s="371"/>
      <c r="AH38" s="371"/>
    </row>
    <row r="39" spans="1:34" ht="15.6">
      <c r="A39" s="1302"/>
      <c r="B39" s="1305"/>
      <c r="C39" s="1315">
        <v>20.5</v>
      </c>
      <c r="D39" s="1316">
        <v>4.9000000000000002E-2</v>
      </c>
      <c r="E39" s="1302"/>
      <c r="F39" s="1315">
        <v>20</v>
      </c>
      <c r="G39" s="1314">
        <v>1778000</v>
      </c>
      <c r="H39" s="1314">
        <v>2666000</v>
      </c>
      <c r="I39" s="1314">
        <v>1666000</v>
      </c>
      <c r="J39" s="1314">
        <v>6110000</v>
      </c>
      <c r="K39" s="1302"/>
      <c r="L39" s="1302"/>
      <c r="M39" s="1302"/>
      <c r="N39" s="1302"/>
      <c r="O39" s="1302"/>
      <c r="P39" s="1302"/>
      <c r="R39" s="371"/>
      <c r="S39" s="371"/>
      <c r="T39" s="1337">
        <f t="shared" si="4"/>
        <v>21</v>
      </c>
      <c r="U39" s="429">
        <f t="shared" si="0"/>
        <v>4.9000000000000002E-2</v>
      </c>
      <c r="V39" s="1335">
        <f t="shared" si="1"/>
        <v>0.37506150505131891</v>
      </c>
      <c r="W39" s="1335">
        <f t="shared" si="2"/>
        <v>0.37432929464587145</v>
      </c>
      <c r="X39" s="1334">
        <f t="shared" si="3"/>
        <v>0.37579521771298519</v>
      </c>
      <c r="Y39" s="1329"/>
      <c r="Z39" s="371"/>
      <c r="AA39" s="371"/>
      <c r="AB39" s="371"/>
      <c r="AC39" s="371"/>
      <c r="AD39" s="371"/>
      <c r="AE39" s="371"/>
      <c r="AF39" s="371"/>
      <c r="AG39" s="371"/>
      <c r="AH39" s="371"/>
    </row>
    <row r="40" spans="1:34" ht="15.6">
      <c r="A40" s="1302"/>
      <c r="B40" s="1305"/>
      <c r="C40" s="1315">
        <v>21.5</v>
      </c>
      <c r="D40" s="1316">
        <v>0.05</v>
      </c>
      <c r="E40" s="1302"/>
      <c r="F40" s="1315">
        <v>21</v>
      </c>
      <c r="G40" s="1314">
        <v>1781000</v>
      </c>
      <c r="H40" s="1314">
        <v>2672000</v>
      </c>
      <c r="I40" s="1314">
        <v>1502000</v>
      </c>
      <c r="J40" s="1314">
        <v>5955000</v>
      </c>
      <c r="K40" s="1302"/>
      <c r="L40" s="1302"/>
      <c r="M40" s="1302"/>
      <c r="N40" s="1302"/>
      <c r="O40" s="1302"/>
      <c r="P40" s="1302"/>
      <c r="R40" s="371"/>
      <c r="S40" s="371"/>
      <c r="T40" s="1337">
        <f t="shared" si="4"/>
        <v>22</v>
      </c>
      <c r="U40" s="429">
        <f t="shared" si="0"/>
        <v>0.05</v>
      </c>
      <c r="V40" s="1335">
        <f t="shared" si="1"/>
        <v>0.35029187983742477</v>
      </c>
      <c r="W40" s="1335">
        <f t="shared" si="2"/>
        <v>0.34957538343654571</v>
      </c>
      <c r="X40" s="1334">
        <f t="shared" si="3"/>
        <v>0.35100991323395569</v>
      </c>
      <c r="Y40" s="1329"/>
      <c r="Z40" s="371"/>
      <c r="AA40" s="371"/>
      <c r="AB40" s="371"/>
      <c r="AC40" s="371"/>
      <c r="AD40" s="371"/>
      <c r="AE40" s="371"/>
      <c r="AF40" s="371"/>
      <c r="AG40" s="371"/>
      <c r="AH40" s="371"/>
    </row>
    <row r="41" spans="1:34" ht="15.6">
      <c r="A41" s="1302"/>
      <c r="B41" s="1305"/>
      <c r="C41" s="1315">
        <v>22.5</v>
      </c>
      <c r="D41" s="1316">
        <v>0.05</v>
      </c>
      <c r="E41" s="1302"/>
      <c r="F41" s="1315">
        <v>22</v>
      </c>
      <c r="G41" s="1314">
        <v>1775000</v>
      </c>
      <c r="H41" s="1314">
        <v>2662000</v>
      </c>
      <c r="I41" s="1314">
        <v>1346000</v>
      </c>
      <c r="J41" s="1314">
        <v>5783000</v>
      </c>
      <c r="K41" s="1302"/>
      <c r="L41" s="1302"/>
      <c r="M41" s="1302"/>
      <c r="N41" s="1302"/>
      <c r="O41" s="1302"/>
      <c r="P41" s="1302"/>
      <c r="R41" s="371"/>
      <c r="S41" s="371"/>
      <c r="T41" s="1337">
        <f t="shared" si="4"/>
        <v>23</v>
      </c>
      <c r="U41" s="429">
        <f t="shared" si="0"/>
        <v>0.05</v>
      </c>
      <c r="V41" s="1335">
        <f t="shared" si="1"/>
        <v>0.33361131413088069</v>
      </c>
      <c r="W41" s="1335">
        <f t="shared" si="2"/>
        <v>0.33289723210793798</v>
      </c>
      <c r="X41" s="1334">
        <f t="shared" si="3"/>
        <v>0.33432699612720795</v>
      </c>
      <c r="Y41" s="1329"/>
      <c r="Z41" s="371"/>
      <c r="AA41" s="371"/>
      <c r="AB41" s="371"/>
      <c r="AC41" s="371"/>
      <c r="AD41" s="371"/>
      <c r="AE41" s="371"/>
      <c r="AF41" s="371"/>
      <c r="AG41" s="371"/>
      <c r="AH41" s="371"/>
    </row>
    <row r="42" spans="1:34" ht="15.6">
      <c r="A42" s="1302"/>
      <c r="B42" s="1305"/>
      <c r="C42" s="1315">
        <v>23.5</v>
      </c>
      <c r="D42" s="1316">
        <v>5.0999999999999997E-2</v>
      </c>
      <c r="E42" s="1302"/>
      <c r="F42" s="1315">
        <v>23</v>
      </c>
      <c r="G42" s="1314">
        <v>1759000</v>
      </c>
      <c r="H42" s="1314">
        <v>2639000</v>
      </c>
      <c r="I42" s="1314">
        <v>1198000</v>
      </c>
      <c r="J42" s="1314">
        <v>5596000</v>
      </c>
      <c r="K42" s="1302"/>
      <c r="L42" s="1302"/>
      <c r="M42" s="1302"/>
      <c r="N42" s="1302"/>
      <c r="O42" s="1302"/>
      <c r="P42" s="1302"/>
      <c r="R42" s="371"/>
      <c r="S42" s="371"/>
      <c r="T42" s="1337">
        <f t="shared" si="4"/>
        <v>24</v>
      </c>
      <c r="U42" s="429">
        <f t="shared" si="0"/>
        <v>5.0999999999999997E-2</v>
      </c>
      <c r="V42" s="1335">
        <f t="shared" si="1"/>
        <v>0.31069636578044507</v>
      </c>
      <c r="W42" s="1335">
        <f t="shared" si="2"/>
        <v>0.31000246841409551</v>
      </c>
      <c r="X42" s="1334">
        <f t="shared" si="3"/>
        <v>0.3113918825869707</v>
      </c>
      <c r="Y42" s="1329"/>
      <c r="Z42" s="371"/>
      <c r="AA42" s="371"/>
      <c r="AB42" s="371"/>
      <c r="AC42" s="371"/>
      <c r="AD42" s="371"/>
      <c r="AE42" s="371"/>
      <c r="AF42" s="371"/>
      <c r="AG42" s="371"/>
      <c r="AH42" s="371"/>
    </row>
    <row r="43" spans="1:34" ht="15.6">
      <c r="A43" s="1302"/>
      <c r="B43" s="1305"/>
      <c r="C43" s="1315">
        <v>24.5</v>
      </c>
      <c r="D43" s="1316">
        <v>5.0999999999999997E-2</v>
      </c>
      <c r="E43" s="1302"/>
      <c r="F43" s="1315">
        <v>24</v>
      </c>
      <c r="G43" s="1314">
        <v>1735000</v>
      </c>
      <c r="H43" s="1314">
        <v>2602000</v>
      </c>
      <c r="I43" s="1314">
        <v>1058000</v>
      </c>
      <c r="J43" s="1314">
        <v>5395000</v>
      </c>
      <c r="K43" s="1302"/>
      <c r="L43" s="1302"/>
      <c r="M43" s="1302"/>
      <c r="N43" s="1302"/>
      <c r="O43" s="1302"/>
      <c r="P43" s="1302"/>
      <c r="R43" s="371"/>
      <c r="S43" s="371"/>
      <c r="T43" s="1337">
        <f t="shared" si="4"/>
        <v>25</v>
      </c>
      <c r="U43" s="429">
        <f t="shared" si="0"/>
        <v>5.0999999999999997E-2</v>
      </c>
      <c r="V43" s="1335">
        <f t="shared" si="1"/>
        <v>0.29561975811650337</v>
      </c>
      <c r="W43" s="1335">
        <f t="shared" si="2"/>
        <v>0.29493147028265199</v>
      </c>
      <c r="X43" s="1334">
        <f t="shared" si="3"/>
        <v>0.29630971794363947</v>
      </c>
      <c r="Y43" s="1329"/>
      <c r="Z43" s="371"/>
      <c r="AA43" s="371"/>
      <c r="AB43" s="371"/>
      <c r="AC43" s="371"/>
      <c r="AD43" s="371"/>
      <c r="AE43" s="371"/>
      <c r="AF43" s="371"/>
      <c r="AG43" s="371"/>
      <c r="AH43" s="371"/>
    </row>
    <row r="44" spans="1:34" ht="15.6">
      <c r="A44" s="1302"/>
      <c r="B44" s="1305"/>
      <c r="C44" s="1315">
        <v>25.5</v>
      </c>
      <c r="D44" s="1316">
        <v>5.0999999999999997E-2</v>
      </c>
      <c r="E44" s="1302"/>
      <c r="F44" s="1315">
        <v>25</v>
      </c>
      <c r="G44" s="1314">
        <v>1702000</v>
      </c>
      <c r="H44" s="1314">
        <v>2553000</v>
      </c>
      <c r="I44" s="1314">
        <v>926000</v>
      </c>
      <c r="J44" s="1314">
        <v>5181000</v>
      </c>
      <c r="K44" s="1302"/>
      <c r="L44" s="1302"/>
      <c r="M44" s="1302"/>
      <c r="N44" s="1302"/>
      <c r="O44" s="1302"/>
      <c r="P44" s="1302"/>
      <c r="R44" s="371"/>
      <c r="S44" s="371"/>
      <c r="T44" s="1337">
        <f t="shared" si="4"/>
        <v>26</v>
      </c>
      <c r="U44" s="429">
        <f t="shared" si="0"/>
        <v>5.0999999999999997E-2</v>
      </c>
      <c r="V44" s="1335">
        <f t="shared" si="1"/>
        <v>0.28127474606708225</v>
      </c>
      <c r="W44" s="1335">
        <f t="shared" si="2"/>
        <v>0.28059315981605176</v>
      </c>
      <c r="X44" s="1334">
        <f t="shared" si="3"/>
        <v>0.28195805304371446</v>
      </c>
      <c r="Y44" s="1329"/>
      <c r="Z44" s="371"/>
      <c r="AA44" s="371"/>
      <c r="AB44" s="371"/>
      <c r="AC44" s="371"/>
      <c r="AD44" s="371"/>
      <c r="AE44" s="371"/>
      <c r="AF44" s="371"/>
      <c r="AG44" s="371"/>
      <c r="AH44" s="371"/>
    </row>
    <row r="45" spans="1:34" ht="15.6">
      <c r="A45" s="1302"/>
      <c r="B45" s="1305"/>
      <c r="C45" s="1315">
        <v>26.5</v>
      </c>
      <c r="D45" s="1316">
        <v>5.1999999999999998E-2</v>
      </c>
      <c r="E45" s="1302"/>
      <c r="F45" s="1315">
        <v>26</v>
      </c>
      <c r="G45" s="1314">
        <v>1662000</v>
      </c>
      <c r="H45" s="1314">
        <v>2492000</v>
      </c>
      <c r="I45" s="1314">
        <v>803000</v>
      </c>
      <c r="J45" s="1314">
        <v>4957000</v>
      </c>
      <c r="K45" s="1302"/>
      <c r="L45" s="1302"/>
      <c r="M45" s="1302"/>
      <c r="N45" s="1302"/>
      <c r="O45" s="1302"/>
      <c r="P45" s="1302"/>
      <c r="R45" s="371"/>
      <c r="S45" s="371"/>
      <c r="T45" s="1337">
        <f t="shared" si="4"/>
        <v>27</v>
      </c>
      <c r="U45" s="429">
        <f t="shared" si="0"/>
        <v>5.1999999999999998E-2</v>
      </c>
      <c r="V45" s="1335">
        <f t="shared" si="1"/>
        <v>0.26096537863627944</v>
      </c>
      <c r="W45" s="1335">
        <f t="shared" si="2"/>
        <v>0.26030886230665751</v>
      </c>
      <c r="X45" s="1334">
        <f t="shared" si="3"/>
        <v>0.26162361338961793</v>
      </c>
      <c r="Y45" s="1329"/>
      <c r="Z45" s="371"/>
      <c r="AA45" s="371"/>
      <c r="AB45" s="371"/>
      <c r="AC45" s="371"/>
      <c r="AD45" s="371"/>
      <c r="AE45" s="371"/>
      <c r="AF45" s="371"/>
      <c r="AG45" s="371"/>
      <c r="AH45" s="371"/>
    </row>
    <row r="46" spans="1:34" ht="15.6">
      <c r="A46" s="1302"/>
      <c r="B46" s="1305"/>
      <c r="C46" s="1315">
        <v>27.5</v>
      </c>
      <c r="D46" s="1316">
        <v>5.1999999999999998E-2</v>
      </c>
      <c r="E46" s="1302"/>
      <c r="F46" s="1315">
        <v>27</v>
      </c>
      <c r="G46" s="1314">
        <v>1614000</v>
      </c>
      <c r="H46" s="1314">
        <v>2421000</v>
      </c>
      <c r="I46" s="1314">
        <v>689000</v>
      </c>
      <c r="J46" s="1314">
        <v>4724000</v>
      </c>
      <c r="K46" s="1302"/>
      <c r="L46" s="1302"/>
      <c r="M46" s="1302"/>
      <c r="N46" s="1302"/>
      <c r="O46" s="1302"/>
      <c r="P46" s="1302"/>
      <c r="R46" s="371"/>
      <c r="S46" s="371"/>
      <c r="T46" s="1337">
        <f t="shared" si="4"/>
        <v>28</v>
      </c>
      <c r="U46" s="429">
        <f t="shared" si="0"/>
        <v>5.1999999999999998E-2</v>
      </c>
      <c r="V46" s="1335">
        <f t="shared" si="1"/>
        <v>0.24806594927402986</v>
      </c>
      <c r="W46" s="1335">
        <f t="shared" si="2"/>
        <v>0.24741836546588494</v>
      </c>
      <c r="X46" s="1334">
        <f t="shared" si="3"/>
        <v>0.2487152898465804</v>
      </c>
      <c r="Y46" s="1329"/>
      <c r="Z46" s="371"/>
      <c r="AA46" s="371"/>
      <c r="AB46" s="371"/>
      <c r="AC46" s="371"/>
      <c r="AD46" s="371"/>
      <c r="AE46" s="371"/>
      <c r="AF46" s="371"/>
      <c r="AG46" s="371"/>
      <c r="AH46" s="371"/>
    </row>
    <row r="47" spans="1:34" ht="15.6">
      <c r="A47" s="1302"/>
      <c r="B47" s="1305"/>
      <c r="C47" s="1315">
        <v>28.5</v>
      </c>
      <c r="D47" s="1316">
        <v>5.2999999999999999E-2</v>
      </c>
      <c r="E47" s="1302"/>
      <c r="F47" s="1315">
        <v>28</v>
      </c>
      <c r="G47" s="1314">
        <v>1561000</v>
      </c>
      <c r="H47" s="1314">
        <v>2341000</v>
      </c>
      <c r="I47" s="1314">
        <v>584000</v>
      </c>
      <c r="J47" s="1314">
        <v>4486000</v>
      </c>
      <c r="K47" s="1302"/>
      <c r="L47" s="1302"/>
      <c r="M47" s="1302"/>
      <c r="N47" s="1302"/>
      <c r="O47" s="1302"/>
      <c r="P47" s="1302"/>
      <c r="R47" s="371"/>
      <c r="S47" s="371"/>
      <c r="T47" s="1337">
        <f t="shared" si="4"/>
        <v>29</v>
      </c>
      <c r="U47" s="429">
        <f t="shared" si="0"/>
        <v>5.2999999999999999E-2</v>
      </c>
      <c r="V47" s="1335">
        <f t="shared" si="1"/>
        <v>0.22950461406450778</v>
      </c>
      <c r="W47" s="1335">
        <f t="shared" si="2"/>
        <v>0.22888431699548026</v>
      </c>
      <c r="X47" s="1334">
        <f t="shared" si="3"/>
        <v>0.23012665134437052</v>
      </c>
      <c r="Y47" s="1329"/>
      <c r="Z47" s="371"/>
      <c r="AA47" s="371"/>
      <c r="AB47" s="371"/>
      <c r="AC47" s="371"/>
      <c r="AD47" s="371"/>
      <c r="AE47" s="371"/>
      <c r="AF47" s="371"/>
      <c r="AG47" s="371"/>
      <c r="AH47" s="371"/>
    </row>
    <row r="48" spans="1:34" ht="15.6">
      <c r="A48" s="1302"/>
      <c r="B48" s="1305"/>
      <c r="C48" s="1315" t="s">
        <v>1850</v>
      </c>
      <c r="D48" s="1316">
        <v>5.5E-2</v>
      </c>
      <c r="E48" s="1302"/>
      <c r="F48" s="1315">
        <v>29</v>
      </c>
      <c r="G48" s="1314">
        <v>1502000</v>
      </c>
      <c r="H48" s="1314">
        <v>2252000</v>
      </c>
      <c r="I48" s="1314">
        <v>489000</v>
      </c>
      <c r="J48" s="1314">
        <v>4243000</v>
      </c>
      <c r="K48" s="1302"/>
      <c r="L48" s="1302"/>
      <c r="M48" s="1302"/>
      <c r="N48" s="1302"/>
      <c r="O48" s="1302"/>
      <c r="P48" s="1302"/>
      <c r="R48" s="371"/>
      <c r="S48" s="371"/>
      <c r="T48" s="1337">
        <f t="shared" si="4"/>
        <v>30</v>
      </c>
      <c r="U48" s="429">
        <f t="shared" si="0"/>
        <v>5.5E-2</v>
      </c>
      <c r="V48" s="1335">
        <f t="shared" si="1"/>
        <v>0.20608787481537888</v>
      </c>
      <c r="W48" s="1335">
        <f t="shared" si="2"/>
        <v>0.20551244230254145</v>
      </c>
      <c r="X48" s="1334">
        <f t="shared" si="3"/>
        <v>0.20666497330793368</v>
      </c>
      <c r="Y48" s="1329"/>
      <c r="Z48" s="371"/>
      <c r="AA48" s="371"/>
      <c r="AB48" s="371"/>
      <c r="AC48" s="371"/>
      <c r="AD48" s="371"/>
      <c r="AE48" s="371"/>
      <c r="AF48" s="371"/>
      <c r="AG48" s="371"/>
      <c r="AH48" s="371"/>
    </row>
    <row r="49" spans="1:34" ht="15.6">
      <c r="A49" s="1302"/>
      <c r="B49" s="1305"/>
      <c r="C49" s="1302"/>
      <c r="D49" s="1305"/>
      <c r="E49" s="1302"/>
      <c r="F49" s="1315">
        <v>30</v>
      </c>
      <c r="G49" s="1314">
        <v>1438000</v>
      </c>
      <c r="H49" s="1314">
        <v>2157000</v>
      </c>
      <c r="I49" s="1314">
        <v>404000</v>
      </c>
      <c r="J49" s="1314">
        <v>3999000</v>
      </c>
      <c r="K49" s="1302"/>
      <c r="L49" s="1302"/>
      <c r="M49" s="1302"/>
      <c r="N49" s="1302"/>
      <c r="O49" s="1302"/>
      <c r="P49" s="1302"/>
      <c r="R49" s="371"/>
      <c r="S49" s="371"/>
      <c r="T49" s="1337">
        <f t="shared" si="4"/>
        <v>31</v>
      </c>
      <c r="U49" s="1336">
        <f t="shared" ref="U49:U80" si="5">U48</f>
        <v>5.5E-2</v>
      </c>
      <c r="V49" s="1335">
        <f t="shared" si="1"/>
        <v>0.19534395717097525</v>
      </c>
      <c r="W49" s="1335">
        <f t="shared" si="2"/>
        <v>0.19478006094449957</v>
      </c>
      <c r="X49" s="1334">
        <f t="shared" si="3"/>
        <v>0.19590953958473192</v>
      </c>
      <c r="Y49" s="1329"/>
      <c r="Z49" s="371"/>
      <c r="AA49" s="371"/>
      <c r="AB49" s="371"/>
      <c r="AC49" s="371"/>
      <c r="AD49" s="371"/>
      <c r="AE49" s="371"/>
      <c r="AF49" s="371"/>
      <c r="AG49" s="371"/>
      <c r="AH49" s="371"/>
    </row>
    <row r="50" spans="1:34" ht="15.6">
      <c r="A50" s="1302"/>
      <c r="B50" s="1305"/>
      <c r="C50" s="1302"/>
      <c r="D50" s="1305"/>
      <c r="E50" s="1302"/>
      <c r="F50" s="1315">
        <v>31</v>
      </c>
      <c r="G50" s="1314">
        <v>1370000</v>
      </c>
      <c r="H50" s="1314">
        <v>2055000</v>
      </c>
      <c r="I50" s="1314">
        <v>329000</v>
      </c>
      <c r="J50" s="1314">
        <v>3754000</v>
      </c>
      <c r="K50" s="1302"/>
      <c r="L50" s="1302"/>
      <c r="M50" s="1302"/>
      <c r="N50" s="1302"/>
      <c r="O50" s="1302"/>
      <c r="P50" s="1302"/>
      <c r="R50" s="371"/>
      <c r="S50" s="371"/>
      <c r="T50" s="1337">
        <f t="shared" si="4"/>
        <v>32</v>
      </c>
      <c r="U50" s="1336">
        <f t="shared" si="5"/>
        <v>5.5E-2</v>
      </c>
      <c r="V50" s="1335">
        <f t="shared" si="1"/>
        <v>0.18516014897722774</v>
      </c>
      <c r="W50" s="1335">
        <f t="shared" si="2"/>
        <v>0.18460815178134735</v>
      </c>
      <c r="X50" s="1334">
        <f t="shared" si="3"/>
        <v>0.18571384926033929</v>
      </c>
      <c r="Y50" s="1329"/>
      <c r="Z50" s="371"/>
      <c r="AA50" s="371"/>
      <c r="AB50" s="371"/>
      <c r="AC50" s="371"/>
      <c r="AD50" s="371"/>
      <c r="AE50" s="371"/>
      <c r="AF50" s="371"/>
      <c r="AG50" s="371"/>
      <c r="AH50" s="371"/>
    </row>
    <row r="51" spans="1:34" ht="15.6">
      <c r="A51" s="1302"/>
      <c r="B51" s="1305"/>
      <c r="C51" s="1302"/>
      <c r="D51" s="1305"/>
      <c r="E51" s="1302"/>
      <c r="F51" s="1315">
        <v>32</v>
      </c>
      <c r="G51" s="1314">
        <v>1299000</v>
      </c>
      <c r="H51" s="1314">
        <v>1948000</v>
      </c>
      <c r="I51" s="1314">
        <v>264000</v>
      </c>
      <c r="J51" s="1314">
        <v>3511000</v>
      </c>
      <c r="K51" s="1302"/>
      <c r="L51" s="1302"/>
      <c r="M51" s="1302"/>
      <c r="N51" s="1302"/>
      <c r="O51" s="1302"/>
      <c r="P51" s="1302"/>
      <c r="R51" s="371"/>
      <c r="S51" s="371"/>
      <c r="T51" s="1337">
        <f t="shared" si="4"/>
        <v>33</v>
      </c>
      <c r="U51" s="1336">
        <f t="shared" si="5"/>
        <v>5.5E-2</v>
      </c>
      <c r="V51" s="1335">
        <f t="shared" ref="V51:V82" si="6">(1+$U51)^-($T51-0.5)</f>
        <v>0.17550725021538174</v>
      </c>
      <c r="W51" s="1335">
        <f t="shared" ref="W51:W82" si="7">(1+$U51+0.0001)^-($T51-0.5)</f>
        <v>0.17496744553250623</v>
      </c>
      <c r="X51" s="1334">
        <f t="shared" ref="X51:X82" si="8">(1+$U51-0.0001)^-($T51-0.5)</f>
        <v>0.17604877169432107</v>
      </c>
      <c r="Y51" s="1329"/>
      <c r="Z51" s="371"/>
      <c r="AA51" s="371"/>
      <c r="AB51" s="371"/>
      <c r="AC51" s="371"/>
      <c r="AD51" s="371"/>
      <c r="AE51" s="371"/>
      <c r="AF51" s="371"/>
      <c r="AG51" s="371"/>
      <c r="AH51" s="371"/>
    </row>
    <row r="52" spans="1:34" ht="15.6">
      <c r="A52" s="1302"/>
      <c r="B52" s="1305"/>
      <c r="C52" s="1302"/>
      <c r="D52" s="1305"/>
      <c r="E52" s="1302"/>
      <c r="F52" s="1315">
        <v>33</v>
      </c>
      <c r="G52" s="1314">
        <v>1225000</v>
      </c>
      <c r="H52" s="1314">
        <v>1837000</v>
      </c>
      <c r="I52" s="1314">
        <v>207000</v>
      </c>
      <c r="J52" s="1314">
        <v>3269000</v>
      </c>
      <c r="K52" s="1302"/>
      <c r="L52" s="1302"/>
      <c r="M52" s="1302"/>
      <c r="N52" s="1302"/>
      <c r="O52" s="1302"/>
      <c r="P52" s="1302"/>
      <c r="R52" s="371"/>
      <c r="S52" s="371"/>
      <c r="T52" s="1337">
        <f t="shared" ref="T52:T83" si="9">T51+1</f>
        <v>34</v>
      </c>
      <c r="U52" s="1336">
        <f t="shared" si="5"/>
        <v>5.5E-2</v>
      </c>
      <c r="V52" s="1335">
        <f t="shared" si="6"/>
        <v>0.16635758314254195</v>
      </c>
      <c r="W52" s="1335">
        <f t="shared" si="7"/>
        <v>0.16583020143351934</v>
      </c>
      <c r="X52" s="1334">
        <f t="shared" si="8"/>
        <v>0.16688669228772496</v>
      </c>
      <c r="Y52" s="1329"/>
      <c r="Z52" s="371"/>
      <c r="AA52" s="371"/>
      <c r="AB52" s="371"/>
      <c r="AC52" s="371"/>
      <c r="AD52" s="371"/>
      <c r="AE52" s="371"/>
      <c r="AF52" s="371"/>
      <c r="AG52" s="371"/>
      <c r="AH52" s="371"/>
    </row>
    <row r="53" spans="1:34" ht="15.6">
      <c r="A53" s="1302"/>
      <c r="B53" s="1305"/>
      <c r="C53" s="1302"/>
      <c r="D53" s="1305"/>
      <c r="E53" s="1302"/>
      <c r="F53" s="1315">
        <v>34</v>
      </c>
      <c r="G53" s="1314">
        <v>1150000</v>
      </c>
      <c r="H53" s="1314">
        <v>1724000</v>
      </c>
      <c r="I53" s="1314">
        <v>160000</v>
      </c>
      <c r="J53" s="1314">
        <v>3034000</v>
      </c>
      <c r="K53" s="1302"/>
      <c r="L53" s="1302"/>
      <c r="M53" s="1302"/>
      <c r="N53" s="1302"/>
      <c r="O53" s="1302"/>
      <c r="P53" s="1302"/>
      <c r="R53" s="371"/>
      <c r="S53" s="371"/>
      <c r="T53" s="1337">
        <f t="shared" si="9"/>
        <v>35</v>
      </c>
      <c r="U53" s="1336">
        <f t="shared" si="5"/>
        <v>5.5E-2</v>
      </c>
      <c r="V53" s="1335">
        <f t="shared" si="6"/>
        <v>0.15768491293131937</v>
      </c>
      <c r="W53" s="1335">
        <f t="shared" si="7"/>
        <v>0.15717012741305975</v>
      </c>
      <c r="X53" s="1334">
        <f t="shared" si="8"/>
        <v>0.15820143358396532</v>
      </c>
      <c r="Y53" s="1329"/>
      <c r="Z53" s="371"/>
      <c r="AA53" s="371"/>
      <c r="AB53" s="371"/>
      <c r="AC53" s="371"/>
      <c r="AD53" s="371"/>
      <c r="AE53" s="371"/>
      <c r="AF53" s="371"/>
      <c r="AG53" s="371"/>
      <c r="AH53" s="371"/>
    </row>
    <row r="54" spans="1:34" ht="15.6">
      <c r="A54" s="1302"/>
      <c r="B54" s="1305"/>
      <c r="C54" s="1302"/>
      <c r="D54" s="1305"/>
      <c r="E54" s="1302"/>
      <c r="F54" s="1315">
        <v>35</v>
      </c>
      <c r="G54" s="1314">
        <v>1073000</v>
      </c>
      <c r="H54" s="1314">
        <v>1610000</v>
      </c>
      <c r="I54" s="1314">
        <v>121000</v>
      </c>
      <c r="J54" s="1314">
        <v>2804000</v>
      </c>
      <c r="K54" s="1302"/>
      <c r="L54" s="1302"/>
      <c r="M54" s="1302"/>
      <c r="N54" s="1302"/>
      <c r="O54" s="1302"/>
      <c r="P54" s="1302"/>
      <c r="R54" s="371"/>
      <c r="S54" s="371"/>
      <c r="T54" s="1337">
        <f t="shared" si="9"/>
        <v>36</v>
      </c>
      <c r="U54" s="1336">
        <f t="shared" si="5"/>
        <v>5.5E-2</v>
      </c>
      <c r="V54" s="1335">
        <f t="shared" si="6"/>
        <v>0.14946437244674826</v>
      </c>
      <c r="W54" s="1335">
        <f t="shared" si="7"/>
        <v>0.14896230443849851</v>
      </c>
      <c r="X54" s="1334">
        <f t="shared" si="8"/>
        <v>0.14996818047584159</v>
      </c>
      <c r="Y54" s="1329"/>
      <c r="Z54" s="371"/>
      <c r="AA54" s="371"/>
      <c r="AB54" s="371"/>
      <c r="AC54" s="371"/>
      <c r="AD54" s="371"/>
      <c r="AE54" s="371"/>
      <c r="AF54" s="371"/>
      <c r="AG54" s="371"/>
      <c r="AH54" s="371"/>
    </row>
    <row r="55" spans="1:34" ht="15.6">
      <c r="A55" s="1302"/>
      <c r="B55" s="1305"/>
      <c r="C55" s="1302"/>
      <c r="D55" s="1305"/>
      <c r="E55" s="1302"/>
      <c r="F55" s="1315">
        <v>36</v>
      </c>
      <c r="G55" s="1314">
        <v>997000</v>
      </c>
      <c r="H55" s="1314">
        <v>1496000</v>
      </c>
      <c r="I55" s="1314">
        <v>89000</v>
      </c>
      <c r="J55" s="1314">
        <v>2582000</v>
      </c>
      <c r="K55" s="1302"/>
      <c r="L55" s="1302"/>
      <c r="M55" s="1302"/>
      <c r="N55" s="1302"/>
      <c r="O55" s="1302"/>
      <c r="P55" s="1302"/>
      <c r="R55" s="371"/>
      <c r="S55" s="371"/>
      <c r="T55" s="1337">
        <f t="shared" si="9"/>
        <v>37</v>
      </c>
      <c r="U55" s="1336">
        <f t="shared" si="5"/>
        <v>5.5E-2</v>
      </c>
      <c r="V55" s="1335">
        <f t="shared" si="6"/>
        <v>0.14167239094478509</v>
      </c>
      <c r="W55" s="1335">
        <f t="shared" si="7"/>
        <v>0.14118311481233867</v>
      </c>
      <c r="X55" s="1334">
        <f t="shared" si="8"/>
        <v>0.14216340930499727</v>
      </c>
      <c r="Y55" s="1329"/>
      <c r="Z55" s="371"/>
      <c r="AA55" s="371"/>
      <c r="AB55" s="371"/>
      <c r="AC55" s="371"/>
      <c r="AD55" s="371"/>
      <c r="AE55" s="371"/>
      <c r="AF55" s="371"/>
      <c r="AG55" s="371"/>
      <c r="AH55" s="371"/>
    </row>
    <row r="56" spans="1:34" ht="15.6">
      <c r="A56" s="1302"/>
      <c r="B56" s="1305"/>
      <c r="C56" s="1302"/>
      <c r="D56" s="1305"/>
      <c r="E56" s="1302"/>
      <c r="F56" s="1315">
        <v>37</v>
      </c>
      <c r="G56" s="1314">
        <v>921000</v>
      </c>
      <c r="H56" s="1314">
        <v>1382000</v>
      </c>
      <c r="I56" s="1314">
        <v>64000</v>
      </c>
      <c r="J56" s="1314">
        <v>2367000</v>
      </c>
      <c r="K56" s="1302"/>
      <c r="L56" s="1302"/>
      <c r="M56" s="1302"/>
      <c r="N56" s="1302"/>
      <c r="O56" s="1302"/>
      <c r="P56" s="1302"/>
      <c r="R56" s="371"/>
      <c r="S56" s="371"/>
      <c r="T56" s="1337">
        <f t="shared" si="9"/>
        <v>38</v>
      </c>
      <c r="U56" s="1336">
        <f t="shared" si="5"/>
        <v>5.5E-2</v>
      </c>
      <c r="V56" s="1335">
        <f t="shared" si="6"/>
        <v>0.13428662648794795</v>
      </c>
      <c r="W56" s="1335">
        <f t="shared" si="7"/>
        <v>0.1338101742131918</v>
      </c>
      <c r="X56" s="1334">
        <f t="shared" si="8"/>
        <v>0.13476482065124396</v>
      </c>
      <c r="Y56" s="1329"/>
      <c r="Z56" s="371"/>
      <c r="AA56" s="371"/>
      <c r="AB56" s="371"/>
      <c r="AC56" s="371"/>
      <c r="AD56" s="371"/>
      <c r="AE56" s="371"/>
      <c r="AF56" s="371"/>
      <c r="AG56" s="371"/>
      <c r="AH56" s="371"/>
    </row>
    <row r="57" spans="1:34" ht="15.6">
      <c r="A57" s="1302"/>
      <c r="B57" s="1305"/>
      <c r="C57" s="1302"/>
      <c r="D57" s="1305"/>
      <c r="E57" s="1302"/>
      <c r="F57" s="1315">
        <v>38</v>
      </c>
      <c r="G57" s="1314">
        <v>847000</v>
      </c>
      <c r="H57" s="1314">
        <v>1271000</v>
      </c>
      <c r="I57" s="1314">
        <v>45000</v>
      </c>
      <c r="J57" s="1314">
        <v>2163000</v>
      </c>
      <c r="K57" s="1302"/>
      <c r="L57" s="1302"/>
      <c r="M57" s="1302"/>
      <c r="N57" s="1302"/>
      <c r="O57" s="1302"/>
      <c r="P57" s="1302"/>
      <c r="R57" s="371"/>
      <c r="S57" s="371"/>
      <c r="T57" s="1337">
        <f t="shared" si="9"/>
        <v>39</v>
      </c>
      <c r="U57" s="1336">
        <f t="shared" si="5"/>
        <v>5.5E-2</v>
      </c>
      <c r="V57" s="1335">
        <f t="shared" si="6"/>
        <v>0.12728590188431085</v>
      </c>
      <c r="W57" s="1335">
        <f t="shared" si="7"/>
        <v>0.12682226728574716</v>
      </c>
      <c r="X57" s="1334">
        <f t="shared" si="8"/>
        <v>0.12775127561972127</v>
      </c>
      <c r="Y57" s="1329"/>
      <c r="Z57" s="371"/>
      <c r="AA57" s="371"/>
      <c r="AB57" s="371"/>
      <c r="AC57" s="371"/>
      <c r="AD57" s="371"/>
      <c r="AE57" s="371"/>
      <c r="AF57" s="371"/>
      <c r="AG57" s="371"/>
      <c r="AH57" s="371"/>
    </row>
    <row r="58" spans="1:34" ht="15.6">
      <c r="A58" s="1302"/>
      <c r="B58" s="1305"/>
      <c r="C58" s="1302"/>
      <c r="D58" s="1305"/>
      <c r="E58" s="1302"/>
      <c r="F58" s="1315">
        <v>39</v>
      </c>
      <c r="G58" s="1314">
        <v>775000</v>
      </c>
      <c r="H58" s="1314">
        <v>1162000</v>
      </c>
      <c r="I58" s="1314">
        <v>31000</v>
      </c>
      <c r="J58" s="1314">
        <v>1968000</v>
      </c>
      <c r="K58" s="1302"/>
      <c r="L58" s="1302"/>
      <c r="M58" s="1302"/>
      <c r="N58" s="1302"/>
      <c r="O58" s="1302"/>
      <c r="P58" s="1302"/>
      <c r="R58" s="371"/>
      <c r="S58" s="371"/>
      <c r="T58" s="1337">
        <f t="shared" si="9"/>
        <v>40</v>
      </c>
      <c r="U58" s="1336">
        <f t="shared" si="5"/>
        <v>5.5E-2</v>
      </c>
      <c r="V58" s="1335">
        <f t="shared" si="6"/>
        <v>0.12065014396617144</v>
      </c>
      <c r="W58" s="1335">
        <f t="shared" si="7"/>
        <v>0.12019928659439595</v>
      </c>
      <c r="X58" s="1334">
        <f t="shared" si="8"/>
        <v>0.12110273544385369</v>
      </c>
      <c r="Y58" s="1329"/>
      <c r="Z58" s="371"/>
      <c r="AA58" s="371"/>
      <c r="AB58" s="371"/>
      <c r="AC58" s="371"/>
      <c r="AD58" s="371"/>
      <c r="AE58" s="371"/>
      <c r="AF58" s="371"/>
      <c r="AG58" s="371"/>
      <c r="AH58" s="371"/>
    </row>
    <row r="59" spans="1:34" ht="15.6">
      <c r="A59" s="1302"/>
      <c r="B59" s="1305"/>
      <c r="C59" s="1302"/>
      <c r="D59" s="1305"/>
      <c r="E59" s="1302"/>
      <c r="F59" s="1315">
        <v>40</v>
      </c>
      <c r="G59" s="1314">
        <v>705000</v>
      </c>
      <c r="H59" s="1314">
        <v>1058000</v>
      </c>
      <c r="I59" s="1314">
        <v>21000</v>
      </c>
      <c r="J59" s="1314">
        <v>1784000</v>
      </c>
      <c r="K59" s="1302"/>
      <c r="L59" s="1302"/>
      <c r="M59" s="1302"/>
      <c r="N59" s="1302"/>
      <c r="O59" s="1302"/>
      <c r="P59" s="1302"/>
      <c r="R59" s="371"/>
      <c r="S59" s="371"/>
      <c r="T59" s="1337">
        <f t="shared" si="9"/>
        <v>41</v>
      </c>
      <c r="U59" s="1336">
        <f t="shared" si="5"/>
        <v>5.5E-2</v>
      </c>
      <c r="V59" s="1335">
        <f t="shared" si="6"/>
        <v>0.11436032603428575</v>
      </c>
      <c r="W59" s="1335">
        <f t="shared" si="7"/>
        <v>0.11392217476485254</v>
      </c>
      <c r="X59" s="1334">
        <f t="shared" si="8"/>
        <v>0.11480020423154209</v>
      </c>
      <c r="Y59" s="1329"/>
      <c r="Z59" s="371"/>
      <c r="AA59" s="371"/>
      <c r="AB59" s="371"/>
      <c r="AC59" s="371"/>
      <c r="AD59" s="371"/>
      <c r="AE59" s="371"/>
      <c r="AF59" s="371"/>
      <c r="AG59" s="371"/>
      <c r="AH59" s="371"/>
    </row>
    <row r="60" spans="1:34" ht="15.6">
      <c r="A60" s="1302"/>
      <c r="B60" s="1305"/>
      <c r="C60" s="1302"/>
      <c r="D60" s="1305"/>
      <c r="E60" s="1302"/>
      <c r="F60" s="1315">
        <v>41</v>
      </c>
      <c r="G60" s="1314">
        <v>639000</v>
      </c>
      <c r="H60" s="1314">
        <v>958000</v>
      </c>
      <c r="I60" s="1314">
        <v>13000</v>
      </c>
      <c r="J60" s="1314">
        <v>1610000</v>
      </c>
      <c r="K60" s="1302"/>
      <c r="L60" s="1302"/>
      <c r="M60" s="1302"/>
      <c r="N60" s="1302"/>
      <c r="O60" s="1302"/>
      <c r="P60" s="1302"/>
      <c r="R60" s="371"/>
      <c r="S60" s="371"/>
      <c r="T60" s="1337">
        <f t="shared" si="9"/>
        <v>42</v>
      </c>
      <c r="U60" s="1336">
        <f t="shared" si="5"/>
        <v>5.5E-2</v>
      </c>
      <c r="V60" s="1335">
        <f t="shared" si="6"/>
        <v>0.10839841330264051</v>
      </c>
      <c r="W60" s="1335">
        <f t="shared" si="7"/>
        <v>0.10797286964728706</v>
      </c>
      <c r="X60" s="1334">
        <f t="shared" si="8"/>
        <v>0.10882567469100587</v>
      </c>
      <c r="Y60" s="1329"/>
      <c r="Z60" s="371"/>
      <c r="AA60" s="371"/>
      <c r="AB60" s="371"/>
      <c r="AC60" s="371"/>
      <c r="AD60" s="371"/>
      <c r="AE60" s="371"/>
      <c r="AF60" s="371"/>
      <c r="AG60" s="371"/>
      <c r="AH60" s="371"/>
    </row>
    <row r="61" spans="1:34" ht="15.6">
      <c r="A61" s="1302"/>
      <c r="B61" s="1305"/>
      <c r="C61" s="1302"/>
      <c r="D61" s="1305"/>
      <c r="E61" s="1302"/>
      <c r="F61" s="1315">
        <v>42</v>
      </c>
      <c r="G61" s="1314">
        <v>576000</v>
      </c>
      <c r="H61" s="1314">
        <v>864000</v>
      </c>
      <c r="I61" s="1314">
        <v>8000</v>
      </c>
      <c r="J61" s="1314">
        <v>1448000</v>
      </c>
      <c r="K61" s="1302"/>
      <c r="L61" s="1302"/>
      <c r="M61" s="1302"/>
      <c r="N61" s="1302"/>
      <c r="O61" s="1302"/>
      <c r="P61" s="1302"/>
      <c r="R61" s="371"/>
      <c r="S61" s="371"/>
      <c r="T61" s="1337">
        <f t="shared" si="9"/>
        <v>43</v>
      </c>
      <c r="U61" s="1336">
        <f t="shared" si="5"/>
        <v>5.5E-2</v>
      </c>
      <c r="V61" s="1335">
        <f t="shared" si="6"/>
        <v>0.10274731118733697</v>
      </c>
      <c r="W61" s="1335">
        <f t="shared" si="7"/>
        <v>0.10233425234317794</v>
      </c>
      <c r="X61" s="1334">
        <f t="shared" si="8"/>
        <v>0.10316207668120755</v>
      </c>
      <c r="Y61" s="1329"/>
      <c r="Z61" s="371"/>
      <c r="AA61" s="371"/>
      <c r="AB61" s="371"/>
      <c r="AC61" s="371"/>
      <c r="AD61" s="371"/>
      <c r="AE61" s="371"/>
      <c r="AF61" s="371"/>
      <c r="AG61" s="371"/>
      <c r="AH61" s="371"/>
    </row>
    <row r="62" spans="1:34" ht="15.6">
      <c r="A62" s="1302"/>
      <c r="B62" s="1305"/>
      <c r="C62" s="1302"/>
      <c r="D62" s="1305"/>
      <c r="E62" s="1302"/>
      <c r="F62" s="1315">
        <v>43</v>
      </c>
      <c r="G62" s="1314">
        <v>517000</v>
      </c>
      <c r="H62" s="1314">
        <v>775000</v>
      </c>
      <c r="I62" s="1314">
        <v>5000</v>
      </c>
      <c r="J62" s="1314">
        <v>1297000</v>
      </c>
      <c r="K62" s="1302"/>
      <c r="L62" s="1302"/>
      <c r="M62" s="1302"/>
      <c r="N62" s="1302"/>
      <c r="O62" s="1302"/>
      <c r="P62" s="1302"/>
      <c r="R62" s="371"/>
      <c r="S62" s="371"/>
      <c r="T62" s="1337">
        <f t="shared" si="9"/>
        <v>44</v>
      </c>
      <c r="U62" s="1336">
        <f t="shared" si="5"/>
        <v>5.5E-2</v>
      </c>
      <c r="V62" s="1335">
        <f t="shared" si="6"/>
        <v>9.7390816291314658E-2</v>
      </c>
      <c r="W62" s="1335">
        <f t="shared" si="7"/>
        <v>9.6990097946334883E-2</v>
      </c>
      <c r="X62" s="1334">
        <f t="shared" si="8"/>
        <v>9.7793228439859284E-2</v>
      </c>
      <c r="Y62" s="1329"/>
      <c r="Z62" s="371"/>
      <c r="AA62" s="371"/>
      <c r="AB62" s="371"/>
      <c r="AC62" s="371"/>
      <c r="AD62" s="371"/>
      <c r="AE62" s="371"/>
      <c r="AF62" s="371"/>
      <c r="AG62" s="371"/>
      <c r="AH62" s="371"/>
    </row>
    <row r="63" spans="1:34" ht="15.6">
      <c r="A63" s="1302"/>
      <c r="B63" s="1305"/>
      <c r="C63" s="1302"/>
      <c r="D63" s="1305"/>
      <c r="E63" s="1302"/>
      <c r="F63" s="1315">
        <v>44</v>
      </c>
      <c r="G63" s="1314">
        <v>461000</v>
      </c>
      <c r="H63" s="1314">
        <v>692000</v>
      </c>
      <c r="I63" s="1314">
        <v>3000</v>
      </c>
      <c r="J63" s="1314">
        <v>1156000</v>
      </c>
      <c r="K63" s="1302"/>
      <c r="L63" s="1302"/>
      <c r="M63" s="1302"/>
      <c r="N63" s="1302"/>
      <c r="O63" s="1302"/>
      <c r="P63" s="1302"/>
      <c r="R63" s="371"/>
      <c r="S63" s="371"/>
      <c r="T63" s="1337">
        <f t="shared" si="9"/>
        <v>45</v>
      </c>
      <c r="U63" s="1336">
        <f t="shared" si="5"/>
        <v>5.5E-2</v>
      </c>
      <c r="V63" s="1335">
        <f t="shared" si="6"/>
        <v>9.2313569944374119E-2</v>
      </c>
      <c r="W63" s="1335">
        <f t="shared" si="7"/>
        <v>9.1925028856350038E-2</v>
      </c>
      <c r="X63" s="1334">
        <f t="shared" si="8"/>
        <v>9.2703790349662807E-2</v>
      </c>
      <c r="Y63" s="1329"/>
      <c r="Z63" s="371"/>
      <c r="AA63" s="371"/>
      <c r="AB63" s="371"/>
      <c r="AC63" s="371"/>
      <c r="AD63" s="371"/>
      <c r="AE63" s="371"/>
      <c r="AF63" s="371"/>
      <c r="AG63" s="371"/>
      <c r="AH63" s="371"/>
    </row>
    <row r="64" spans="1:34" ht="15.6">
      <c r="A64" s="1302"/>
      <c r="B64" s="1305"/>
      <c r="C64" s="1302"/>
      <c r="D64" s="1305"/>
      <c r="E64" s="1302"/>
      <c r="F64" s="1315">
        <v>45</v>
      </c>
      <c r="G64" s="1314">
        <v>410000</v>
      </c>
      <c r="H64" s="1314">
        <v>615000</v>
      </c>
      <c r="I64" s="1314">
        <v>2000</v>
      </c>
      <c r="J64" s="1314">
        <v>1027000</v>
      </c>
      <c r="K64" s="1302"/>
      <c r="L64" s="1302"/>
      <c r="M64" s="1302"/>
      <c r="N64" s="1302"/>
      <c r="O64" s="1302"/>
      <c r="P64" s="1302"/>
      <c r="R64" s="371"/>
      <c r="S64" s="371"/>
      <c r="T64" s="1337">
        <f t="shared" si="9"/>
        <v>46</v>
      </c>
      <c r="U64" s="1336">
        <f t="shared" si="5"/>
        <v>5.5E-2</v>
      </c>
      <c r="V64" s="1335">
        <f t="shared" si="6"/>
        <v>8.7501014165283525E-2</v>
      </c>
      <c r="W64" s="1335">
        <f t="shared" si="7"/>
        <v>8.7124470530139345E-2</v>
      </c>
      <c r="X64" s="1334">
        <f t="shared" si="8"/>
        <v>8.7879221110686134E-2</v>
      </c>
      <c r="Y64" s="1329"/>
      <c r="Z64" s="371"/>
      <c r="AA64" s="371"/>
      <c r="AB64" s="371"/>
      <c r="AC64" s="371"/>
      <c r="AD64" s="371"/>
      <c r="AE64" s="371"/>
      <c r="AF64" s="371"/>
      <c r="AG64" s="371"/>
      <c r="AH64" s="371"/>
    </row>
    <row r="65" spans="1:34" ht="15.6">
      <c r="A65" s="1302"/>
      <c r="B65" s="1305"/>
      <c r="C65" s="1302"/>
      <c r="D65" s="1305"/>
      <c r="E65" s="1302"/>
      <c r="F65" s="1315">
        <v>46</v>
      </c>
      <c r="G65" s="1314">
        <v>363000</v>
      </c>
      <c r="H65" s="1314">
        <v>545000</v>
      </c>
      <c r="I65" s="1314">
        <v>1000</v>
      </c>
      <c r="J65" s="1314">
        <v>909000</v>
      </c>
      <c r="K65" s="1302"/>
      <c r="L65" s="1302"/>
      <c r="M65" s="1302"/>
      <c r="N65" s="1302"/>
      <c r="O65" s="1302"/>
      <c r="P65" s="1302"/>
      <c r="R65" s="371"/>
      <c r="S65" s="371"/>
      <c r="T65" s="1337">
        <f t="shared" si="9"/>
        <v>47</v>
      </c>
      <c r="U65" s="1336">
        <f t="shared" si="5"/>
        <v>5.5E-2</v>
      </c>
      <c r="V65" s="1335">
        <f t="shared" si="6"/>
        <v>8.293934991970002E-2</v>
      </c>
      <c r="W65" s="1335">
        <f t="shared" si="7"/>
        <v>8.2574609544251137E-2</v>
      </c>
      <c r="X65" s="1334">
        <f t="shared" si="8"/>
        <v>8.33057361936545E-2</v>
      </c>
      <c r="Y65" s="1329"/>
      <c r="Z65" s="371"/>
      <c r="AA65" s="371"/>
      <c r="AB65" s="371"/>
      <c r="AC65" s="371"/>
      <c r="AD65" s="371"/>
      <c r="AE65" s="371"/>
      <c r="AF65" s="371"/>
      <c r="AG65" s="371"/>
      <c r="AH65" s="371"/>
    </row>
    <row r="66" spans="1:34" ht="15.6">
      <c r="A66" s="1302"/>
      <c r="B66" s="1305"/>
      <c r="C66" s="1302"/>
      <c r="D66" s="1305"/>
      <c r="E66" s="1302"/>
      <c r="F66" s="1315">
        <v>47</v>
      </c>
      <c r="G66" s="1314">
        <v>320000</v>
      </c>
      <c r="H66" s="1314">
        <v>480000</v>
      </c>
      <c r="I66" s="1314">
        <v>0</v>
      </c>
      <c r="J66" s="1314">
        <v>800000</v>
      </c>
      <c r="K66" s="1302"/>
      <c r="L66" s="1302"/>
      <c r="M66" s="1302"/>
      <c r="N66" s="1302"/>
      <c r="O66" s="1302"/>
      <c r="P66" s="1302"/>
      <c r="R66" s="371"/>
      <c r="S66" s="371"/>
      <c r="T66" s="1337">
        <f t="shared" si="9"/>
        <v>48</v>
      </c>
      <c r="U66" s="1336">
        <f t="shared" si="5"/>
        <v>5.5E-2</v>
      </c>
      <c r="V66" s="1335">
        <f t="shared" si="6"/>
        <v>7.8615497554218053E-2</v>
      </c>
      <c r="W66" s="1335">
        <f t="shared" si="7"/>
        <v>7.8262353847266736E-2</v>
      </c>
      <c r="X66" s="1334">
        <f t="shared" si="8"/>
        <v>7.8970268455450271E-2</v>
      </c>
      <c r="Y66" s="1329"/>
      <c r="Z66" s="371"/>
      <c r="AA66" s="371"/>
      <c r="AB66" s="371"/>
      <c r="AC66" s="371"/>
      <c r="AD66" s="371"/>
      <c r="AE66" s="371"/>
      <c r="AF66" s="371"/>
      <c r="AG66" s="371"/>
      <c r="AH66" s="371"/>
    </row>
    <row r="67" spans="1:34" ht="15.6">
      <c r="A67" s="1302"/>
      <c r="B67" s="1305"/>
      <c r="C67" s="1302"/>
      <c r="D67" s="1305"/>
      <c r="E67" s="1302"/>
      <c r="F67" s="1315">
        <v>48</v>
      </c>
      <c r="G67" s="1314">
        <v>281000</v>
      </c>
      <c r="H67" s="1314">
        <v>421000</v>
      </c>
      <c r="I67" s="1314">
        <v>0</v>
      </c>
      <c r="J67" s="1314">
        <v>702000</v>
      </c>
      <c r="K67" s="1302"/>
      <c r="L67" s="1302"/>
      <c r="M67" s="1302"/>
      <c r="N67" s="1302"/>
      <c r="O67" s="1302"/>
      <c r="P67" s="1302"/>
      <c r="R67" s="371"/>
      <c r="S67" s="371"/>
      <c r="T67" s="1337">
        <f t="shared" si="9"/>
        <v>49</v>
      </c>
      <c r="U67" s="1336">
        <f t="shared" si="5"/>
        <v>5.5E-2</v>
      </c>
      <c r="V67" s="1335">
        <f t="shared" si="6"/>
        <v>7.4517059293097668E-2</v>
      </c>
      <c r="W67" s="1335">
        <f t="shared" si="7"/>
        <v>7.4175295087922213E-2</v>
      </c>
      <c r="X67" s="1334">
        <f t="shared" si="8"/>
        <v>7.4860430804294539E-2</v>
      </c>
      <c r="Y67" s="1329"/>
      <c r="Z67" s="371"/>
      <c r="AA67" s="371"/>
      <c r="AB67" s="371"/>
      <c r="AC67" s="371"/>
      <c r="AD67" s="371"/>
      <c r="AE67" s="371"/>
      <c r="AF67" s="371"/>
      <c r="AG67" s="371"/>
      <c r="AH67" s="371"/>
    </row>
    <row r="68" spans="1:34" ht="15.6">
      <c r="A68" s="1302"/>
      <c r="B68" s="1305"/>
      <c r="C68" s="1302"/>
      <c r="D68" s="1305"/>
      <c r="E68" s="1302"/>
      <c r="F68" s="1315">
        <v>49</v>
      </c>
      <c r="G68" s="1314">
        <v>246000</v>
      </c>
      <c r="H68" s="1314">
        <v>368000</v>
      </c>
      <c r="I68" s="1314">
        <v>0</v>
      </c>
      <c r="J68" s="1314">
        <v>614000</v>
      </c>
      <c r="K68" s="1302"/>
      <c r="L68" s="1302"/>
      <c r="M68" s="1302"/>
      <c r="N68" s="1302"/>
      <c r="O68" s="1302"/>
      <c r="P68" s="1302"/>
      <c r="R68" s="371"/>
      <c r="S68" s="371"/>
      <c r="T68" s="1337">
        <f t="shared" si="9"/>
        <v>50</v>
      </c>
      <c r="U68" s="1336">
        <f t="shared" si="5"/>
        <v>5.5E-2</v>
      </c>
      <c r="V68" s="1335">
        <f t="shared" si="6"/>
        <v>7.0632283690139963E-2</v>
      </c>
      <c r="W68" s="1335">
        <f t="shared" si="7"/>
        <v>7.030167291055088E-2</v>
      </c>
      <c r="X68" s="1334">
        <f t="shared" si="8"/>
        <v>7.0964480807938699E-2</v>
      </c>
      <c r="Y68" s="1329"/>
      <c r="Z68" s="371"/>
      <c r="AA68" s="371"/>
      <c r="AB68" s="371"/>
      <c r="AC68" s="371"/>
      <c r="AD68" s="371"/>
      <c r="AE68" s="371"/>
      <c r="AF68" s="371"/>
      <c r="AG68" s="371"/>
      <c r="AH68" s="371"/>
    </row>
    <row r="69" spans="1:34" ht="15.6">
      <c r="A69" s="1302"/>
      <c r="B69" s="1305"/>
      <c r="C69" s="1302"/>
      <c r="D69" s="1305"/>
      <c r="E69" s="1302"/>
      <c r="F69" s="1315">
        <v>50</v>
      </c>
      <c r="G69" s="1314">
        <v>214000</v>
      </c>
      <c r="H69" s="1314">
        <v>321000</v>
      </c>
      <c r="I69" s="1314">
        <v>0</v>
      </c>
      <c r="J69" s="1314">
        <v>535000</v>
      </c>
      <c r="K69" s="1302"/>
      <c r="L69" s="1302"/>
      <c r="M69" s="1302"/>
      <c r="N69" s="1302"/>
      <c r="O69" s="1302"/>
      <c r="P69" s="1302"/>
      <c r="R69" s="371"/>
      <c r="S69" s="371"/>
      <c r="T69" s="1337">
        <f t="shared" si="9"/>
        <v>51</v>
      </c>
      <c r="U69" s="1336">
        <f t="shared" si="5"/>
        <v>5.5E-2</v>
      </c>
      <c r="V69" s="1335">
        <f t="shared" si="6"/>
        <v>6.6950031933781962E-2</v>
      </c>
      <c r="W69" s="1335">
        <f t="shared" si="7"/>
        <v>6.6630341115108405E-2</v>
      </c>
      <c r="X69" s="1334">
        <f t="shared" si="8"/>
        <v>6.7271287143746999E-2</v>
      </c>
      <c r="Y69" s="1329"/>
      <c r="Z69" s="371"/>
      <c r="AA69" s="371"/>
      <c r="AB69" s="371"/>
      <c r="AC69" s="371"/>
      <c r="AD69" s="371"/>
      <c r="AE69" s="371"/>
      <c r="AF69" s="371"/>
      <c r="AG69" s="371"/>
      <c r="AH69" s="371"/>
    </row>
    <row r="70" spans="1:34" ht="15.6">
      <c r="A70" s="1302"/>
      <c r="B70" s="1305"/>
      <c r="C70" s="1302"/>
      <c r="D70" s="1305"/>
      <c r="E70" s="1302"/>
      <c r="F70" s="1315">
        <v>51</v>
      </c>
      <c r="G70" s="1314">
        <v>185000</v>
      </c>
      <c r="H70" s="1314">
        <v>278000</v>
      </c>
      <c r="I70" s="1314">
        <v>0</v>
      </c>
      <c r="J70" s="1314">
        <v>463000</v>
      </c>
      <c r="K70" s="1302"/>
      <c r="L70" s="1302"/>
      <c r="M70" s="1302"/>
      <c r="N70" s="1302"/>
      <c r="O70" s="1302"/>
      <c r="P70" s="1302"/>
      <c r="R70" s="371"/>
      <c r="S70" s="371"/>
      <c r="T70" s="1337">
        <f t="shared" si="9"/>
        <v>52</v>
      </c>
      <c r="U70" s="1336">
        <f t="shared" si="5"/>
        <v>5.5E-2</v>
      </c>
      <c r="V70" s="1335">
        <f t="shared" si="6"/>
        <v>6.3459745908798076E-2</v>
      </c>
      <c r="W70" s="1335">
        <f t="shared" si="7"/>
        <v>6.3150735584407564E-2</v>
      </c>
      <c r="X70" s="1334">
        <f t="shared" si="8"/>
        <v>6.3770297794811831E-2</v>
      </c>
      <c r="Y70" s="1329"/>
      <c r="Z70" s="371"/>
      <c r="AA70" s="371"/>
      <c r="AB70" s="371"/>
      <c r="AC70" s="371"/>
      <c r="AD70" s="371"/>
      <c r="AE70" s="371"/>
      <c r="AF70" s="371"/>
      <c r="AG70" s="371"/>
      <c r="AH70" s="371"/>
    </row>
    <row r="71" spans="1:34" ht="15.6">
      <c r="A71" s="1302"/>
      <c r="B71" s="1305"/>
      <c r="C71" s="1302"/>
      <c r="D71" s="1305"/>
      <c r="E71" s="1302"/>
      <c r="F71" s="1315">
        <v>52</v>
      </c>
      <c r="G71" s="1314">
        <v>160000</v>
      </c>
      <c r="H71" s="1314">
        <v>240000</v>
      </c>
      <c r="I71" s="1314">
        <v>0</v>
      </c>
      <c r="J71" s="1314">
        <v>400000</v>
      </c>
      <c r="K71" s="1302"/>
      <c r="L71" s="1302"/>
      <c r="M71" s="1302"/>
      <c r="N71" s="1302"/>
      <c r="O71" s="1302"/>
      <c r="P71" s="1302"/>
      <c r="R71" s="371"/>
      <c r="S71" s="371"/>
      <c r="T71" s="1337">
        <f t="shared" si="9"/>
        <v>53</v>
      </c>
      <c r="U71" s="1336">
        <f t="shared" si="5"/>
        <v>5.5E-2</v>
      </c>
      <c r="V71" s="1335">
        <f t="shared" si="6"/>
        <v>6.0151417923031358E-2</v>
      </c>
      <c r="W71" s="1335">
        <f t="shared" si="7"/>
        <v>5.985284388627387E-2</v>
      </c>
      <c r="X71" s="1334">
        <f t="shared" si="8"/>
        <v>6.0451509901234074E-2</v>
      </c>
      <c r="Y71" s="1329"/>
      <c r="Z71" s="371"/>
      <c r="AA71" s="371"/>
      <c r="AB71" s="371"/>
      <c r="AC71" s="371"/>
      <c r="AD71" s="371"/>
      <c r="AE71" s="371"/>
      <c r="AF71" s="371"/>
      <c r="AG71" s="371"/>
      <c r="AH71" s="371"/>
    </row>
    <row r="72" spans="1:34" ht="15.6">
      <c r="A72" s="1302"/>
      <c r="B72" s="1305"/>
      <c r="C72" s="1302"/>
      <c r="D72" s="1305"/>
      <c r="E72" s="1302"/>
      <c r="F72" s="1315">
        <v>53</v>
      </c>
      <c r="G72" s="1314">
        <v>137000</v>
      </c>
      <c r="H72" s="1314">
        <v>206000</v>
      </c>
      <c r="I72" s="1314">
        <v>0</v>
      </c>
      <c r="J72" s="1314">
        <v>343000</v>
      </c>
      <c r="K72" s="1302"/>
      <c r="L72" s="1302"/>
      <c r="M72" s="1302"/>
      <c r="N72" s="1302"/>
      <c r="O72" s="1302"/>
      <c r="P72" s="1302"/>
      <c r="R72" s="371"/>
      <c r="S72" s="371"/>
      <c r="T72" s="1337">
        <f t="shared" si="9"/>
        <v>54</v>
      </c>
      <c r="U72" s="1336">
        <f t="shared" si="5"/>
        <v>5.5E-2</v>
      </c>
      <c r="V72" s="1335">
        <f t="shared" si="6"/>
        <v>5.7015562012351993E-2</v>
      </c>
      <c r="W72" s="1335">
        <f t="shared" si="7"/>
        <v>5.6727176463154082E-2</v>
      </c>
      <c r="X72" s="1334">
        <f t="shared" si="8"/>
        <v>5.7305441180428546E-2</v>
      </c>
      <c r="Y72" s="1329"/>
      <c r="Z72" s="371"/>
      <c r="AA72" s="371"/>
      <c r="AB72" s="371"/>
      <c r="AC72" s="371"/>
      <c r="AD72" s="371"/>
      <c r="AE72" s="371"/>
      <c r="AF72" s="371"/>
      <c r="AG72" s="371"/>
      <c r="AH72" s="371"/>
    </row>
    <row r="73" spans="1:34" ht="15.6">
      <c r="A73" s="1302"/>
      <c r="B73" s="1305"/>
      <c r="C73" s="1302"/>
      <c r="D73" s="1305"/>
      <c r="E73" s="1302"/>
      <c r="F73" s="1315">
        <v>54</v>
      </c>
      <c r="G73" s="1314">
        <v>118000</v>
      </c>
      <c r="H73" s="1314">
        <v>176000</v>
      </c>
      <c r="I73" s="1314">
        <v>0</v>
      </c>
      <c r="J73" s="1314">
        <v>294000</v>
      </c>
      <c r="K73" s="1302"/>
      <c r="L73" s="1302"/>
      <c r="M73" s="1302"/>
      <c r="N73" s="1302"/>
      <c r="O73" s="1302"/>
      <c r="P73" s="1302"/>
      <c r="R73" s="371"/>
      <c r="S73" s="371"/>
      <c r="T73" s="1337">
        <f t="shared" si="9"/>
        <v>55</v>
      </c>
      <c r="U73" s="1336">
        <f t="shared" si="5"/>
        <v>5.5E-2</v>
      </c>
      <c r="V73" s="1335">
        <f t="shared" si="6"/>
        <v>5.4043186741565892E-2</v>
      </c>
      <c r="W73" s="1335">
        <f t="shared" si="7"/>
        <v>5.3764739326276269E-2</v>
      </c>
      <c r="X73" s="1334">
        <f t="shared" si="8"/>
        <v>5.4323102834798125E-2</v>
      </c>
      <c r="Y73" s="1329"/>
      <c r="Z73" s="371"/>
      <c r="AA73" s="371"/>
      <c r="AB73" s="371"/>
      <c r="AC73" s="371"/>
      <c r="AD73" s="371"/>
      <c r="AE73" s="371"/>
      <c r="AF73" s="371"/>
      <c r="AG73" s="371"/>
      <c r="AH73" s="371"/>
    </row>
    <row r="74" spans="1:34" ht="15.6">
      <c r="A74" s="1302"/>
      <c r="B74" s="1305"/>
      <c r="C74" s="1302"/>
      <c r="D74" s="1305"/>
      <c r="E74" s="1302"/>
      <c r="F74" s="1315">
        <v>55</v>
      </c>
      <c r="G74" s="1314">
        <v>100000</v>
      </c>
      <c r="H74" s="1314">
        <v>150000</v>
      </c>
      <c r="I74" s="1314">
        <v>0</v>
      </c>
      <c r="J74" s="1314">
        <v>250000</v>
      </c>
      <c r="K74" s="1302"/>
      <c r="L74" s="1302"/>
      <c r="M74" s="1302"/>
      <c r="N74" s="1302"/>
      <c r="O74" s="1302"/>
      <c r="P74" s="1302"/>
      <c r="R74" s="371"/>
      <c r="S74" s="371"/>
      <c r="T74" s="1337">
        <f t="shared" si="9"/>
        <v>56</v>
      </c>
      <c r="U74" s="1336">
        <f t="shared" si="5"/>
        <v>5.5E-2</v>
      </c>
      <c r="V74" s="1335">
        <f t="shared" si="6"/>
        <v>5.1225769423285203E-2</v>
      </c>
      <c r="W74" s="1335">
        <f t="shared" si="7"/>
        <v>5.0957008175790221E-2</v>
      </c>
      <c r="X74" s="1334">
        <f t="shared" si="8"/>
        <v>5.1495973869369736E-2</v>
      </c>
      <c r="Y74" s="1329"/>
      <c r="Z74" s="371"/>
      <c r="AA74" s="371"/>
      <c r="AB74" s="371"/>
      <c r="AC74" s="371"/>
      <c r="AD74" s="371"/>
      <c r="AE74" s="371"/>
      <c r="AF74" s="371"/>
      <c r="AG74" s="371"/>
      <c r="AH74" s="371"/>
    </row>
    <row r="75" spans="1:34" ht="15.6">
      <c r="A75" s="1302"/>
      <c r="B75" s="1305"/>
      <c r="C75" s="1302"/>
      <c r="D75" s="1305"/>
      <c r="E75" s="1302"/>
      <c r="F75" s="1315">
        <v>56</v>
      </c>
      <c r="G75" s="1314">
        <v>85000</v>
      </c>
      <c r="H75" s="1314">
        <v>128000</v>
      </c>
      <c r="I75" s="1314">
        <v>0</v>
      </c>
      <c r="J75" s="1314">
        <v>213000</v>
      </c>
      <c r="K75" s="1302"/>
      <c r="L75" s="1302"/>
      <c r="M75" s="1302"/>
      <c r="N75" s="1302"/>
      <c r="O75" s="1302"/>
      <c r="P75" s="1302"/>
      <c r="R75" s="371"/>
      <c r="S75" s="371"/>
      <c r="T75" s="1337">
        <f t="shared" si="9"/>
        <v>57</v>
      </c>
      <c r="U75" s="1336">
        <f t="shared" si="5"/>
        <v>5.5E-2</v>
      </c>
      <c r="V75" s="1335">
        <f t="shared" si="6"/>
        <v>4.8555231680839049E-2</v>
      </c>
      <c r="W75" s="1335">
        <f t="shared" si="7"/>
        <v>4.8295903872419908E-2</v>
      </c>
      <c r="X75" s="1334">
        <f t="shared" si="8"/>
        <v>4.8815976746013602E-2</v>
      </c>
      <c r="Y75" s="1329"/>
      <c r="Z75" s="371"/>
      <c r="AA75" s="371"/>
      <c r="AB75" s="371"/>
      <c r="AC75" s="371"/>
      <c r="AD75" s="371"/>
      <c r="AE75" s="371"/>
      <c r="AF75" s="371"/>
      <c r="AG75" s="371"/>
      <c r="AH75" s="371"/>
    </row>
    <row r="76" spans="1:34" ht="15.6">
      <c r="A76" s="1302"/>
      <c r="B76" s="1305"/>
      <c r="C76" s="1302"/>
      <c r="D76" s="1305"/>
      <c r="E76" s="1302"/>
      <c r="F76" s="1315">
        <v>57</v>
      </c>
      <c r="G76" s="1314">
        <v>72000</v>
      </c>
      <c r="H76" s="1314">
        <v>108000</v>
      </c>
      <c r="I76" s="1314">
        <v>0</v>
      </c>
      <c r="J76" s="1314">
        <v>180000</v>
      </c>
      <c r="K76" s="1302"/>
      <c r="L76" s="1302"/>
      <c r="M76" s="1302"/>
      <c r="N76" s="1302"/>
      <c r="O76" s="1302"/>
      <c r="P76" s="1302"/>
      <c r="R76" s="371"/>
      <c r="S76" s="371"/>
      <c r="T76" s="1337">
        <f t="shared" si="9"/>
        <v>58</v>
      </c>
      <c r="U76" s="1336">
        <f t="shared" si="5"/>
        <v>5.5E-2</v>
      </c>
      <c r="V76" s="1335">
        <f t="shared" si="6"/>
        <v>4.6023916285155508E-2</v>
      </c>
      <c r="W76" s="1335">
        <f t="shared" si="7"/>
        <v>4.5773769190048247E-2</v>
      </c>
      <c r="X76" s="1334">
        <f t="shared" si="8"/>
        <v>4.6275454304686325E-2</v>
      </c>
      <c r="Y76" s="1329"/>
      <c r="Z76" s="371"/>
      <c r="AA76" s="371"/>
      <c r="AB76" s="371"/>
      <c r="AC76" s="371"/>
      <c r="AD76" s="371"/>
      <c r="AE76" s="371"/>
      <c r="AF76" s="371"/>
      <c r="AG76" s="371"/>
      <c r="AH76" s="371"/>
    </row>
    <row r="77" spans="1:34" ht="15.6">
      <c r="A77" s="1302"/>
      <c r="B77" s="1305"/>
      <c r="C77" s="1302"/>
      <c r="D77" s="1305"/>
      <c r="E77" s="1302"/>
      <c r="F77" s="1315">
        <v>58</v>
      </c>
      <c r="G77" s="1314">
        <v>60000</v>
      </c>
      <c r="H77" s="1314">
        <v>91000</v>
      </c>
      <c r="I77" s="1314">
        <v>0</v>
      </c>
      <c r="J77" s="1314">
        <v>151000</v>
      </c>
      <c r="K77" s="1302"/>
      <c r="L77" s="1302"/>
      <c r="M77" s="1302"/>
      <c r="N77" s="1302"/>
      <c r="O77" s="1302"/>
      <c r="P77" s="1302"/>
      <c r="R77" s="371"/>
      <c r="S77" s="371"/>
      <c r="T77" s="1337">
        <f t="shared" si="9"/>
        <v>59</v>
      </c>
      <c r="U77" s="1336">
        <f t="shared" si="5"/>
        <v>5.5E-2</v>
      </c>
      <c r="V77" s="1335">
        <f t="shared" si="6"/>
        <v>4.3624565199199536E-2</v>
      </c>
      <c r="W77" s="1335">
        <f t="shared" si="7"/>
        <v>4.3383346782341237E-2</v>
      </c>
      <c r="X77" s="1334">
        <f t="shared" si="8"/>
        <v>4.3867147885758198E-2</v>
      </c>
      <c r="Y77" s="1329"/>
      <c r="Z77" s="371"/>
      <c r="AA77" s="371"/>
      <c r="AB77" s="371"/>
      <c r="AC77" s="371"/>
      <c r="AD77" s="371"/>
      <c r="AE77" s="371"/>
      <c r="AF77" s="371"/>
      <c r="AG77" s="371"/>
      <c r="AH77" s="371"/>
    </row>
    <row r="78" spans="1:34" ht="15.6">
      <c r="A78" s="1302"/>
      <c r="B78" s="1305"/>
      <c r="C78" s="1302"/>
      <c r="D78" s="1305"/>
      <c r="E78" s="1302"/>
      <c r="F78" s="1315">
        <v>59</v>
      </c>
      <c r="G78" s="1314">
        <v>51000</v>
      </c>
      <c r="H78" s="1314">
        <v>76000</v>
      </c>
      <c r="I78" s="1314">
        <v>0</v>
      </c>
      <c r="J78" s="1314">
        <v>127000</v>
      </c>
      <c r="K78" s="1302"/>
      <c r="L78" s="1302"/>
      <c r="M78" s="1302"/>
      <c r="N78" s="1302"/>
      <c r="O78" s="1302"/>
      <c r="P78" s="1302"/>
      <c r="R78" s="371"/>
      <c r="S78" s="371"/>
      <c r="T78" s="1337">
        <f t="shared" si="9"/>
        <v>60</v>
      </c>
      <c r="U78" s="1336">
        <f t="shared" si="5"/>
        <v>5.5E-2</v>
      </c>
      <c r="V78" s="1335">
        <f t="shared" si="6"/>
        <v>4.1350298767013773E-2</v>
      </c>
      <c r="W78" s="1335">
        <f t="shared" si="7"/>
        <v>4.1117758300010666E-2</v>
      </c>
      <c r="X78" s="1334">
        <f t="shared" si="8"/>
        <v>4.1584176590916865E-2</v>
      </c>
      <c r="Y78" s="1329"/>
      <c r="Z78" s="371"/>
      <c r="AA78" s="371"/>
      <c r="AB78" s="371"/>
      <c r="AC78" s="371"/>
      <c r="AD78" s="371"/>
      <c r="AE78" s="371"/>
      <c r="AF78" s="371"/>
      <c r="AG78" s="371"/>
      <c r="AH78" s="371"/>
    </row>
    <row r="79" spans="1:34" ht="15.6">
      <c r="A79" s="1302"/>
      <c r="B79" s="1305"/>
      <c r="C79" s="1302"/>
      <c r="D79" s="1305"/>
      <c r="E79" s="1302"/>
      <c r="F79" s="1315">
        <v>60</v>
      </c>
      <c r="G79" s="1314">
        <v>42000</v>
      </c>
      <c r="H79" s="1314">
        <v>63000</v>
      </c>
      <c r="I79" s="1314">
        <v>0</v>
      </c>
      <c r="J79" s="1314">
        <v>105000</v>
      </c>
      <c r="K79" s="1302"/>
      <c r="L79" s="1302"/>
      <c r="M79" s="1302"/>
      <c r="N79" s="1302"/>
      <c r="O79" s="1302"/>
      <c r="P79" s="1302"/>
      <c r="R79" s="371"/>
      <c r="S79" s="371"/>
      <c r="T79" s="1337">
        <f t="shared" si="9"/>
        <v>61</v>
      </c>
      <c r="U79" s="1336">
        <f t="shared" si="5"/>
        <v>5.5E-2</v>
      </c>
      <c r="V79" s="1335">
        <f t="shared" si="6"/>
        <v>3.9194595987690775E-2</v>
      </c>
      <c r="W79" s="1335">
        <f t="shared" si="7"/>
        <v>3.897048459862635E-2</v>
      </c>
      <c r="X79" s="1334">
        <f t="shared" si="8"/>
        <v>3.942001762339261E-2</v>
      </c>
      <c r="Y79" s="1329"/>
      <c r="Z79" s="371"/>
      <c r="AA79" s="371"/>
      <c r="AB79" s="371"/>
      <c r="AC79" s="371"/>
      <c r="AD79" s="371"/>
      <c r="AE79" s="371"/>
      <c r="AF79" s="371"/>
      <c r="AG79" s="371"/>
      <c r="AH79" s="371"/>
    </row>
    <row r="80" spans="1:34" ht="15.6">
      <c r="A80" s="1302"/>
      <c r="B80" s="1305"/>
      <c r="C80" s="1302"/>
      <c r="D80" s="1305"/>
      <c r="E80" s="1302"/>
      <c r="F80" s="1315">
        <v>61</v>
      </c>
      <c r="G80" s="1314">
        <v>35000</v>
      </c>
      <c r="H80" s="1314">
        <v>53000</v>
      </c>
      <c r="I80" s="1314">
        <v>0</v>
      </c>
      <c r="J80" s="1314">
        <v>88000</v>
      </c>
      <c r="K80" s="1302"/>
      <c r="L80" s="1302"/>
      <c r="M80" s="1302"/>
      <c r="N80" s="1302"/>
      <c r="O80" s="1302"/>
      <c r="P80" s="1302"/>
      <c r="R80" s="371"/>
      <c r="S80" s="371"/>
      <c r="T80" s="1337">
        <f t="shared" si="9"/>
        <v>62</v>
      </c>
      <c r="U80" s="1336">
        <f t="shared" si="5"/>
        <v>5.5E-2</v>
      </c>
      <c r="V80" s="1335">
        <f t="shared" si="6"/>
        <v>3.7151275817716392E-2</v>
      </c>
      <c r="W80" s="1335">
        <f t="shared" si="7"/>
        <v>3.693534698002688E-2</v>
      </c>
      <c r="X80" s="1334">
        <f t="shared" si="8"/>
        <v>3.7368487651334353E-2</v>
      </c>
      <c r="Y80" s="1329"/>
      <c r="Z80" s="371"/>
      <c r="AA80" s="371"/>
      <c r="AB80" s="371"/>
      <c r="AC80" s="371"/>
      <c r="AD80" s="371"/>
      <c r="AE80" s="371"/>
      <c r="AF80" s="371"/>
      <c r="AG80" s="371"/>
      <c r="AH80" s="371"/>
    </row>
    <row r="81" spans="1:34" ht="15.6">
      <c r="A81" s="1302"/>
      <c r="B81" s="1305"/>
      <c r="C81" s="1302"/>
      <c r="D81" s="1305"/>
      <c r="E81" s="1302"/>
      <c r="F81" s="1315">
        <v>62</v>
      </c>
      <c r="G81" s="1314">
        <v>29000</v>
      </c>
      <c r="H81" s="1314">
        <v>44000</v>
      </c>
      <c r="I81" s="1314">
        <v>0</v>
      </c>
      <c r="J81" s="1314">
        <v>73000</v>
      </c>
      <c r="K81" s="1302"/>
      <c r="L81" s="1302"/>
      <c r="M81" s="1302"/>
      <c r="N81" s="1302"/>
      <c r="O81" s="1302"/>
      <c r="P81" s="1302"/>
      <c r="R81" s="371"/>
      <c r="S81" s="371"/>
      <c r="T81" s="1337">
        <f t="shared" si="9"/>
        <v>63</v>
      </c>
      <c r="U81" s="1336">
        <f t="shared" ref="U81:U98" si="10">U80</f>
        <v>5.5E-2</v>
      </c>
      <c r="V81" s="1335">
        <f t="shared" si="6"/>
        <v>3.5214479448072405E-2</v>
      </c>
      <c r="W81" s="1335">
        <f t="shared" si="7"/>
        <v>3.5006489413351223E-2</v>
      </c>
      <c r="X81" s="1334">
        <f t="shared" si="8"/>
        <v>3.5423725141088588E-2</v>
      </c>
      <c r="Y81" s="1329"/>
      <c r="Z81" s="371"/>
      <c r="AA81" s="371"/>
      <c r="AB81" s="371"/>
      <c r="AC81" s="371"/>
      <c r="AD81" s="371"/>
      <c r="AE81" s="371"/>
      <c r="AF81" s="371"/>
      <c r="AG81" s="371"/>
      <c r="AH81" s="371"/>
    </row>
    <row r="82" spans="1:34" ht="15.6">
      <c r="A82" s="1302"/>
      <c r="B82" s="1305"/>
      <c r="C82" s="1302"/>
      <c r="D82" s="1305"/>
      <c r="E82" s="1302"/>
      <c r="F82" s="1315">
        <v>63</v>
      </c>
      <c r="G82" s="1314">
        <v>24000</v>
      </c>
      <c r="H82" s="1314">
        <v>36000</v>
      </c>
      <c r="I82" s="1314">
        <v>0</v>
      </c>
      <c r="J82" s="1314">
        <v>60000</v>
      </c>
      <c r="K82" s="1302"/>
      <c r="L82" s="1302"/>
      <c r="M82" s="1302"/>
      <c r="N82" s="1302"/>
      <c r="O82" s="1302"/>
      <c r="P82" s="1302"/>
      <c r="R82" s="371"/>
      <c r="S82" s="371"/>
      <c r="T82" s="1337">
        <f t="shared" si="9"/>
        <v>64</v>
      </c>
      <c r="U82" s="1336">
        <f t="shared" si="10"/>
        <v>5.5E-2</v>
      </c>
      <c r="V82" s="1335">
        <f t="shared" si="6"/>
        <v>3.3378653505281901E-2</v>
      </c>
      <c r="W82" s="1335">
        <f t="shared" si="7"/>
        <v>3.3178361684533426E-2</v>
      </c>
      <c r="X82" s="1334">
        <f t="shared" si="8"/>
        <v>3.3580173609904812E-2</v>
      </c>
      <c r="Y82" s="1329"/>
      <c r="Z82" s="371"/>
      <c r="AA82" s="371"/>
      <c r="AB82" s="371"/>
      <c r="AC82" s="371"/>
      <c r="AD82" s="371"/>
      <c r="AE82" s="371"/>
      <c r="AF82" s="371"/>
      <c r="AG82" s="371"/>
      <c r="AH82" s="371"/>
    </row>
    <row r="83" spans="1:34" ht="15.6">
      <c r="A83" s="1302"/>
      <c r="B83" s="1305"/>
      <c r="C83" s="1302"/>
      <c r="D83" s="1305"/>
      <c r="E83" s="1302"/>
      <c r="F83" s="1315">
        <v>64</v>
      </c>
      <c r="G83" s="1314">
        <v>20000</v>
      </c>
      <c r="H83" s="1314">
        <v>29000</v>
      </c>
      <c r="I83" s="1314">
        <v>0</v>
      </c>
      <c r="J83" s="1314">
        <v>49000</v>
      </c>
      <c r="K83" s="1302"/>
      <c r="L83" s="1302"/>
      <c r="M83" s="1302"/>
      <c r="N83" s="1302"/>
      <c r="O83" s="1302"/>
      <c r="P83" s="1302"/>
      <c r="R83" s="371"/>
      <c r="S83" s="371"/>
      <c r="T83" s="1337">
        <f t="shared" si="9"/>
        <v>65</v>
      </c>
      <c r="U83" s="1336">
        <f t="shared" si="10"/>
        <v>5.5E-2</v>
      </c>
      <c r="V83" s="1335">
        <f t="shared" ref="V83:V98" si="11">(1+$U83)^-($T83-0.5)</f>
        <v>3.1638534128229298E-2</v>
      </c>
      <c r="W83" s="1335">
        <f t="shared" ref="W83:W98" si="12">(1+$U83+0.0001)^-($T83-0.5)</f>
        <v>3.1445703425773332E-2</v>
      </c>
      <c r="X83" s="1334">
        <f t="shared" ref="X83:X98" si="13">(1+$U83-0.0001)^-($T83-0.5)</f>
        <v>3.1832565750217867E-2</v>
      </c>
      <c r="Y83" s="1329"/>
      <c r="Z83" s="371"/>
      <c r="AA83" s="371"/>
      <c r="AB83" s="371"/>
      <c r="AC83" s="371"/>
      <c r="AD83" s="371"/>
      <c r="AE83" s="371"/>
      <c r="AF83" s="371"/>
      <c r="AG83" s="371"/>
      <c r="AH83" s="371"/>
    </row>
    <row r="84" spans="1:34" ht="15.6">
      <c r="A84" s="1302"/>
      <c r="B84" s="1305"/>
      <c r="C84" s="1302"/>
      <c r="D84" s="1305"/>
      <c r="E84" s="1302"/>
      <c r="F84" s="1315">
        <v>65</v>
      </c>
      <c r="G84" s="1314">
        <v>16000</v>
      </c>
      <c r="H84" s="1314">
        <v>24000</v>
      </c>
      <c r="I84" s="1314">
        <v>0</v>
      </c>
      <c r="J84" s="1314">
        <v>40000</v>
      </c>
      <c r="K84" s="1302"/>
      <c r="L84" s="1302"/>
      <c r="M84" s="1302"/>
      <c r="N84" s="1302"/>
      <c r="O84" s="1302"/>
      <c r="P84" s="1302"/>
      <c r="R84" s="371"/>
      <c r="S84" s="371"/>
      <c r="T84" s="1337">
        <f t="shared" ref="T84:T98" si="14">T83+1</f>
        <v>66</v>
      </c>
      <c r="U84" s="1336">
        <f t="shared" si="10"/>
        <v>5.5E-2</v>
      </c>
      <c r="V84" s="1335">
        <f t="shared" si="11"/>
        <v>2.9989131875098857E-2</v>
      </c>
      <c r="W84" s="1335">
        <f t="shared" si="12"/>
        <v>2.9803528979028836E-2</v>
      </c>
      <c r="X84" s="1334">
        <f t="shared" si="13"/>
        <v>3.0175908380147758E-2</v>
      </c>
      <c r="Y84" s="1329"/>
      <c r="Z84" s="371"/>
      <c r="AA84" s="371"/>
      <c r="AB84" s="371"/>
      <c r="AC84" s="371"/>
      <c r="AD84" s="371"/>
      <c r="AE84" s="371"/>
      <c r="AF84" s="371"/>
      <c r="AG84" s="371"/>
      <c r="AH84" s="371"/>
    </row>
    <row r="85" spans="1:34" ht="15.6">
      <c r="A85" s="1302"/>
      <c r="B85" s="1305"/>
      <c r="C85" s="1302"/>
      <c r="D85" s="1305"/>
      <c r="E85" s="1302"/>
      <c r="F85" s="1315">
        <v>66</v>
      </c>
      <c r="G85" s="1314">
        <v>13000</v>
      </c>
      <c r="H85" s="1314">
        <v>19000</v>
      </c>
      <c r="I85" s="1314">
        <v>0</v>
      </c>
      <c r="J85" s="1314">
        <v>32000</v>
      </c>
      <c r="K85" s="1302"/>
      <c r="L85" s="1302"/>
      <c r="M85" s="1302"/>
      <c r="N85" s="1302"/>
      <c r="O85" s="1302"/>
      <c r="P85" s="1302"/>
      <c r="R85" s="371"/>
      <c r="S85" s="371"/>
      <c r="T85" s="1337">
        <f t="shared" si="14"/>
        <v>67</v>
      </c>
      <c r="U85" s="1336">
        <f t="shared" si="10"/>
        <v>5.5E-2</v>
      </c>
      <c r="V85" s="1335">
        <f t="shared" si="11"/>
        <v>2.8425717417155317E-2</v>
      </c>
      <c r="W85" s="1335">
        <f t="shared" si="12"/>
        <v>2.8247113049975202E-2</v>
      </c>
      <c r="X85" s="1334">
        <f t="shared" si="13"/>
        <v>2.8605468177218464E-2</v>
      </c>
      <c r="Y85" s="1329"/>
      <c r="Z85" s="371"/>
      <c r="AA85" s="371"/>
      <c r="AB85" s="371"/>
      <c r="AC85" s="371"/>
      <c r="AD85" s="371"/>
      <c r="AE85" s="371"/>
      <c r="AF85" s="371"/>
      <c r="AG85" s="371"/>
      <c r="AH85" s="371"/>
    </row>
    <row r="86" spans="1:34" ht="15.6">
      <c r="A86" s="1302"/>
      <c r="B86" s="1305"/>
      <c r="C86" s="1302"/>
      <c r="D86" s="1305"/>
      <c r="E86" s="1302"/>
      <c r="F86" s="1315">
        <v>67</v>
      </c>
      <c r="G86" s="1314">
        <v>11000</v>
      </c>
      <c r="H86" s="1314">
        <v>16000</v>
      </c>
      <c r="I86" s="1314">
        <v>0</v>
      </c>
      <c r="J86" s="1314">
        <v>27000</v>
      </c>
      <c r="K86" s="1302"/>
      <c r="L86" s="1302"/>
      <c r="M86" s="1302"/>
      <c r="N86" s="1302"/>
      <c r="O86" s="1302"/>
      <c r="P86" s="1302"/>
      <c r="R86" s="371"/>
      <c r="S86" s="371"/>
      <c r="T86" s="1337">
        <f t="shared" si="14"/>
        <v>68</v>
      </c>
      <c r="U86" s="1336">
        <f t="shared" si="10"/>
        <v>5.5E-2</v>
      </c>
      <c r="V86" s="1335">
        <f t="shared" si="11"/>
        <v>2.6943807978346279E-2</v>
      </c>
      <c r="W86" s="1335">
        <f t="shared" si="12"/>
        <v>2.6771977111150799E-2</v>
      </c>
      <c r="X86" s="1334">
        <f t="shared" si="13"/>
        <v>2.7116758154534515E-2</v>
      </c>
      <c r="Y86" s="1329"/>
      <c r="Z86" s="371"/>
      <c r="AA86" s="371"/>
      <c r="AB86" s="371"/>
      <c r="AC86" s="371"/>
      <c r="AD86" s="371"/>
      <c r="AE86" s="371"/>
      <c r="AF86" s="371"/>
      <c r="AG86" s="371"/>
      <c r="AH86" s="371"/>
    </row>
    <row r="87" spans="1:34" ht="15.6">
      <c r="A87" s="1302"/>
      <c r="B87" s="1305"/>
      <c r="C87" s="1302"/>
      <c r="D87" s="1305"/>
      <c r="E87" s="1302"/>
      <c r="F87" s="1315">
        <v>68</v>
      </c>
      <c r="G87" s="1314">
        <v>8000</v>
      </c>
      <c r="H87" s="1314">
        <v>13000</v>
      </c>
      <c r="I87" s="1314">
        <v>0</v>
      </c>
      <c r="J87" s="1314">
        <v>21000</v>
      </c>
      <c r="K87" s="1302"/>
      <c r="L87" s="1302"/>
      <c r="M87" s="1302"/>
      <c r="N87" s="1302"/>
      <c r="O87" s="1302"/>
      <c r="P87" s="1302"/>
      <c r="R87" s="371"/>
      <c r="S87" s="371"/>
      <c r="T87" s="1337">
        <f t="shared" si="14"/>
        <v>69</v>
      </c>
      <c r="U87" s="1336">
        <f t="shared" si="10"/>
        <v>5.5E-2</v>
      </c>
      <c r="V87" s="1335">
        <f t="shared" si="11"/>
        <v>2.5539154481844815E-2</v>
      </c>
      <c r="W87" s="1335">
        <f t="shared" si="12"/>
        <v>2.5373876515165199E-2</v>
      </c>
      <c r="X87" s="1334">
        <f t="shared" si="13"/>
        <v>2.5705524840775918E-2</v>
      </c>
      <c r="Y87" s="1329"/>
      <c r="Z87" s="371"/>
      <c r="AA87" s="371"/>
      <c r="AB87" s="371"/>
      <c r="AC87" s="371"/>
      <c r="AD87" s="371"/>
      <c r="AE87" s="371"/>
      <c r="AF87" s="371"/>
      <c r="AG87" s="371"/>
      <c r="AH87" s="371"/>
    </row>
    <row r="88" spans="1:34" ht="15.6">
      <c r="A88" s="1302"/>
      <c r="B88" s="1305"/>
      <c r="C88" s="1302"/>
      <c r="D88" s="1305"/>
      <c r="E88" s="1302"/>
      <c r="F88" s="1315">
        <v>69</v>
      </c>
      <c r="G88" s="1314">
        <v>7000</v>
      </c>
      <c r="H88" s="1314">
        <v>10000</v>
      </c>
      <c r="I88" s="1314">
        <v>0</v>
      </c>
      <c r="J88" s="1314">
        <v>17000</v>
      </c>
      <c r="K88" s="1302"/>
      <c r="L88" s="1302"/>
      <c r="M88" s="1302"/>
      <c r="N88" s="1302"/>
      <c r="O88" s="1302"/>
      <c r="P88" s="1302"/>
      <c r="R88" s="371"/>
      <c r="S88" s="371"/>
      <c r="T88" s="1337">
        <f t="shared" si="14"/>
        <v>70</v>
      </c>
      <c r="U88" s="1336">
        <f t="shared" si="10"/>
        <v>5.5E-2</v>
      </c>
      <c r="V88" s="1335">
        <f t="shared" si="11"/>
        <v>2.4207729366677547E-2</v>
      </c>
      <c r="W88" s="1335">
        <f t="shared" si="12"/>
        <v>2.4048788280888262E-2</v>
      </c>
      <c r="X88" s="1334">
        <f t="shared" si="13"/>
        <v>2.4367736127382616E-2</v>
      </c>
      <c r="Y88" s="1329"/>
      <c r="Z88" s="371"/>
      <c r="AA88" s="371"/>
      <c r="AB88" s="371"/>
      <c r="AC88" s="371"/>
      <c r="AD88" s="371"/>
      <c r="AE88" s="371"/>
      <c r="AF88" s="371"/>
      <c r="AG88" s="371"/>
      <c r="AH88" s="371"/>
    </row>
    <row r="89" spans="1:34" ht="15.6">
      <c r="A89" s="1302"/>
      <c r="B89" s="1305"/>
      <c r="C89" s="1302"/>
      <c r="D89" s="1305"/>
      <c r="E89" s="1302"/>
      <c r="F89" s="1315">
        <v>70</v>
      </c>
      <c r="G89" s="1314">
        <v>5000</v>
      </c>
      <c r="H89" s="1314">
        <v>8000</v>
      </c>
      <c r="I89" s="1314">
        <v>0</v>
      </c>
      <c r="J89" s="1314">
        <v>13000</v>
      </c>
      <c r="K89" s="1302"/>
      <c r="L89" s="1302"/>
      <c r="M89" s="1302"/>
      <c r="N89" s="1302"/>
      <c r="O89" s="1302"/>
      <c r="P89" s="1302"/>
      <c r="R89" s="371"/>
      <c r="S89" s="371"/>
      <c r="T89" s="1337">
        <f t="shared" si="14"/>
        <v>71</v>
      </c>
      <c r="U89" s="1336">
        <f t="shared" si="10"/>
        <v>5.5E-2</v>
      </c>
      <c r="V89" s="1335">
        <f t="shared" si="11"/>
        <v>2.294571503950478E-2</v>
      </c>
      <c r="W89" s="1335">
        <f t="shared" si="12"/>
        <v>2.2792899517475367E-2</v>
      </c>
      <c r="X89" s="1334">
        <f t="shared" si="13"/>
        <v>2.3099569748206102E-2</v>
      </c>
      <c r="Y89" s="1329"/>
      <c r="Z89" s="371"/>
      <c r="AA89" s="371"/>
      <c r="AB89" s="371"/>
      <c r="AC89" s="371"/>
      <c r="AD89" s="371"/>
      <c r="AE89" s="371"/>
      <c r="AF89" s="371"/>
      <c r="AG89" s="371"/>
      <c r="AH89" s="371"/>
    </row>
    <row r="90" spans="1:34" ht="15.6">
      <c r="A90" s="1302"/>
      <c r="B90" s="1305"/>
      <c r="C90" s="1302"/>
      <c r="D90" s="1305"/>
      <c r="E90" s="1302"/>
      <c r="F90" s="1315">
        <v>71</v>
      </c>
      <c r="G90" s="1314">
        <v>4000</v>
      </c>
      <c r="H90" s="1314">
        <v>6000</v>
      </c>
      <c r="I90" s="1314">
        <v>0</v>
      </c>
      <c r="J90" s="1314">
        <v>10000</v>
      </c>
      <c r="K90" s="1302"/>
      <c r="L90" s="1302"/>
      <c r="M90" s="1302"/>
      <c r="N90" s="1302"/>
      <c r="O90" s="1302"/>
      <c r="P90" s="1302"/>
      <c r="R90" s="371"/>
      <c r="S90" s="371"/>
      <c r="T90" s="1337">
        <f t="shared" si="14"/>
        <v>72</v>
      </c>
      <c r="U90" s="1336">
        <f t="shared" si="10"/>
        <v>5.5E-2</v>
      </c>
      <c r="V90" s="1335">
        <f t="shared" si="11"/>
        <v>2.1749492928440559E-2</v>
      </c>
      <c r="W90" s="1335">
        <f t="shared" si="12"/>
        <v>2.1602596452919499E-2</v>
      </c>
      <c r="X90" s="1334">
        <f t="shared" si="13"/>
        <v>2.1897402358712768E-2</v>
      </c>
      <c r="Y90" s="1329"/>
      <c r="Z90" s="371"/>
      <c r="AA90" s="371"/>
      <c r="AB90" s="371"/>
      <c r="AC90" s="371"/>
      <c r="AD90" s="371"/>
      <c r="AE90" s="371"/>
      <c r="AF90" s="371"/>
      <c r="AG90" s="371"/>
      <c r="AH90" s="371"/>
    </row>
    <row r="91" spans="1:34" ht="15.6">
      <c r="A91" s="1302"/>
      <c r="B91" s="1305"/>
      <c r="C91" s="1302"/>
      <c r="D91" s="1305"/>
      <c r="E91" s="1302"/>
      <c r="F91" s="1315">
        <v>72</v>
      </c>
      <c r="G91" s="1314">
        <v>3000</v>
      </c>
      <c r="H91" s="1314">
        <v>5000</v>
      </c>
      <c r="I91" s="1314">
        <v>0</v>
      </c>
      <c r="J91" s="1314">
        <v>8000</v>
      </c>
      <c r="K91" s="1302"/>
      <c r="L91" s="1302"/>
      <c r="M91" s="1302"/>
      <c r="N91" s="1302"/>
      <c r="O91" s="1302"/>
      <c r="P91" s="1302"/>
      <c r="R91" s="371"/>
      <c r="S91" s="371"/>
      <c r="T91" s="1337">
        <f t="shared" si="14"/>
        <v>73</v>
      </c>
      <c r="U91" s="1336">
        <f t="shared" si="10"/>
        <v>5.5E-2</v>
      </c>
      <c r="V91" s="1335">
        <f t="shared" si="11"/>
        <v>2.0615633107526597E-2</v>
      </c>
      <c r="W91" s="1335">
        <f t="shared" si="12"/>
        <v>2.0474454035560145E-2</v>
      </c>
      <c r="X91" s="1334">
        <f t="shared" si="13"/>
        <v>2.0757799183536617E-2</v>
      </c>
      <c r="Y91" s="1329"/>
      <c r="Z91" s="371"/>
      <c r="AA91" s="371"/>
      <c r="AB91" s="371"/>
      <c r="AC91" s="371"/>
      <c r="AD91" s="371"/>
      <c r="AE91" s="371"/>
      <c r="AF91" s="371"/>
      <c r="AG91" s="371"/>
      <c r="AH91" s="371"/>
    </row>
    <row r="92" spans="1:34" ht="15.6">
      <c r="A92" s="1302"/>
      <c r="B92" s="1305"/>
      <c r="C92" s="1302"/>
      <c r="D92" s="1305"/>
      <c r="E92" s="1302"/>
      <c r="F92" s="1315">
        <v>73</v>
      </c>
      <c r="G92" s="1314">
        <v>3000</v>
      </c>
      <c r="H92" s="1314">
        <v>4000</v>
      </c>
      <c r="I92" s="1314">
        <v>0</v>
      </c>
      <c r="J92" s="1314">
        <v>7000</v>
      </c>
      <c r="K92" s="1302"/>
      <c r="L92" s="1302"/>
      <c r="M92" s="1302"/>
      <c r="N92" s="1302"/>
      <c r="O92" s="1302"/>
      <c r="P92" s="1302"/>
      <c r="R92" s="371"/>
      <c r="S92" s="371"/>
      <c r="T92" s="1337">
        <f t="shared" si="14"/>
        <v>74</v>
      </c>
      <c r="U92" s="1336">
        <f t="shared" si="10"/>
        <v>5.5E-2</v>
      </c>
      <c r="V92" s="1335">
        <f t="shared" si="11"/>
        <v>1.9540884462110514E-2</v>
      </c>
      <c r="W92" s="1335">
        <f t="shared" si="12"/>
        <v>1.9405226078627751E-2</v>
      </c>
      <c r="X92" s="1334">
        <f t="shared" si="13"/>
        <v>1.9677504202802745E-2</v>
      </c>
      <c r="Y92" s="1329"/>
      <c r="Z92" s="371"/>
      <c r="AA92" s="371"/>
      <c r="AB92" s="371"/>
      <c r="AC92" s="371"/>
      <c r="AD92" s="371"/>
      <c r="AE92" s="371"/>
      <c r="AF92" s="371"/>
      <c r="AG92" s="371"/>
      <c r="AH92" s="371"/>
    </row>
    <row r="93" spans="1:34" ht="15.6">
      <c r="A93" s="1302"/>
      <c r="B93" s="1305"/>
      <c r="C93" s="1302"/>
      <c r="D93" s="1305"/>
      <c r="E93" s="1302"/>
      <c r="F93" s="1315">
        <v>74</v>
      </c>
      <c r="G93" s="1314">
        <v>2000</v>
      </c>
      <c r="H93" s="1314">
        <v>3000</v>
      </c>
      <c r="I93" s="1314">
        <v>0</v>
      </c>
      <c r="J93" s="1314">
        <v>5000</v>
      </c>
      <c r="K93" s="1302"/>
      <c r="L93" s="1302"/>
      <c r="M93" s="1302"/>
      <c r="N93" s="1302"/>
      <c r="O93" s="1302"/>
      <c r="P93" s="1302"/>
      <c r="R93" s="371"/>
      <c r="S93" s="371"/>
      <c r="T93" s="1337">
        <f t="shared" si="14"/>
        <v>75</v>
      </c>
      <c r="U93" s="1336">
        <f t="shared" si="10"/>
        <v>5.5E-2</v>
      </c>
      <c r="V93" s="1335">
        <f t="shared" si="11"/>
        <v>1.8522165366929407E-2</v>
      </c>
      <c r="W93" s="1335">
        <f t="shared" si="12"/>
        <v>1.8391835919465225E-2</v>
      </c>
      <c r="X93" s="1334">
        <f t="shared" si="13"/>
        <v>1.8653430849182619E-2</v>
      </c>
      <c r="Y93" s="1329"/>
      <c r="Z93" s="371"/>
      <c r="AA93" s="371"/>
      <c r="AB93" s="371"/>
      <c r="AC93" s="371"/>
      <c r="AD93" s="371"/>
      <c r="AE93" s="371"/>
      <c r="AF93" s="371"/>
      <c r="AG93" s="371"/>
      <c r="AH93" s="371"/>
    </row>
    <row r="94" spans="1:34" ht="15.6">
      <c r="A94" s="1302"/>
      <c r="B94" s="1305"/>
      <c r="C94" s="1302"/>
      <c r="D94" s="1305"/>
      <c r="E94" s="1302"/>
      <c r="F94" s="1315">
        <v>75</v>
      </c>
      <c r="G94" s="1314">
        <v>2000</v>
      </c>
      <c r="H94" s="1314">
        <v>2000</v>
      </c>
      <c r="I94" s="1314">
        <v>0</v>
      </c>
      <c r="J94" s="1314">
        <v>4000</v>
      </c>
      <c r="K94" s="1302"/>
      <c r="L94" s="1302"/>
      <c r="M94" s="1302"/>
      <c r="N94" s="1302"/>
      <c r="O94" s="1302"/>
      <c r="P94" s="1302"/>
      <c r="R94" s="371"/>
      <c r="S94" s="371"/>
      <c r="T94" s="1337">
        <f t="shared" si="14"/>
        <v>76</v>
      </c>
      <c r="U94" s="1336">
        <f t="shared" si="10"/>
        <v>5.5E-2</v>
      </c>
      <c r="V94" s="1335">
        <f t="shared" si="11"/>
        <v>1.7556554850170051E-2</v>
      </c>
      <c r="W94" s="1335">
        <f t="shared" si="12"/>
        <v>1.7431367566548405E-2</v>
      </c>
      <c r="X94" s="1334">
        <f t="shared" si="13"/>
        <v>1.7682653189100967E-2</v>
      </c>
      <c r="Y94" s="1329"/>
      <c r="Z94" s="371"/>
      <c r="AA94" s="371"/>
      <c r="AB94" s="371"/>
      <c r="AC94" s="371"/>
      <c r="AD94" s="371"/>
      <c r="AE94" s="371"/>
      <c r="AF94" s="371"/>
      <c r="AG94" s="371"/>
      <c r="AH94" s="371"/>
    </row>
    <row r="95" spans="1:34" ht="15.6">
      <c r="A95" s="1302"/>
      <c r="B95" s="1305"/>
      <c r="C95" s="1302"/>
      <c r="D95" s="1305"/>
      <c r="E95" s="1302"/>
      <c r="F95" s="1315">
        <v>76</v>
      </c>
      <c r="G95" s="1314">
        <v>1000</v>
      </c>
      <c r="H95" s="1314">
        <v>2000</v>
      </c>
      <c r="I95" s="1314">
        <v>0</v>
      </c>
      <c r="J95" s="1314">
        <v>3000</v>
      </c>
      <c r="K95" s="1302"/>
      <c r="L95" s="1302"/>
      <c r="M95" s="1302"/>
      <c r="N95" s="1302"/>
      <c r="O95" s="1302"/>
      <c r="P95" s="1302"/>
      <c r="R95" s="371"/>
      <c r="S95" s="371"/>
      <c r="T95" s="1337">
        <f t="shared" si="14"/>
        <v>77</v>
      </c>
      <c r="U95" s="1336">
        <f t="shared" si="10"/>
        <v>5.5E-2</v>
      </c>
      <c r="V95" s="1335">
        <f t="shared" si="11"/>
        <v>1.6641284218170672E-2</v>
      </c>
      <c r="W95" s="1335">
        <f t="shared" si="12"/>
        <v>1.6521057308831778E-2</v>
      </c>
      <c r="X95" s="1334">
        <f t="shared" si="13"/>
        <v>1.6762397562897883E-2</v>
      </c>
      <c r="Y95" s="1329"/>
      <c r="Z95" s="371"/>
      <c r="AA95" s="371"/>
      <c r="AB95" s="371"/>
      <c r="AC95" s="371"/>
      <c r="AD95" s="371"/>
      <c r="AE95" s="371"/>
      <c r="AF95" s="371"/>
      <c r="AG95" s="371"/>
      <c r="AH95" s="371"/>
    </row>
    <row r="96" spans="1:34" ht="15.6">
      <c r="A96" s="1302"/>
      <c r="B96" s="1305"/>
      <c r="C96" s="1302"/>
      <c r="D96" s="1305"/>
      <c r="E96" s="1302"/>
      <c r="F96" s="1315">
        <v>77</v>
      </c>
      <c r="G96" s="1314">
        <v>1000</v>
      </c>
      <c r="H96" s="1314">
        <v>1000</v>
      </c>
      <c r="I96" s="1314">
        <v>0</v>
      </c>
      <c r="J96" s="1314">
        <v>2000</v>
      </c>
      <c r="K96" s="1302"/>
      <c r="L96" s="1302"/>
      <c r="M96" s="1302"/>
      <c r="N96" s="1302"/>
      <c r="O96" s="1302"/>
      <c r="P96" s="1302"/>
      <c r="R96" s="371"/>
      <c r="S96" s="371"/>
      <c r="T96" s="1337">
        <f t="shared" si="14"/>
        <v>78</v>
      </c>
      <c r="U96" s="1336">
        <f t="shared" si="10"/>
        <v>5.5E-2</v>
      </c>
      <c r="V96" s="1335">
        <f t="shared" si="11"/>
        <v>1.5773729116749444E-2</v>
      </c>
      <c r="W96" s="1335">
        <f t="shared" si="12"/>
        <v>1.5658285763275302E-2</v>
      </c>
      <c r="X96" s="1334">
        <f t="shared" si="13"/>
        <v>1.5890034660060566E-2</v>
      </c>
      <c r="Y96" s="1329"/>
      <c r="Z96" s="371"/>
      <c r="AA96" s="371"/>
      <c r="AB96" s="371"/>
      <c r="AC96" s="371"/>
      <c r="AD96" s="371"/>
      <c r="AE96" s="371"/>
      <c r="AF96" s="371"/>
      <c r="AG96" s="371"/>
      <c r="AH96" s="371"/>
    </row>
    <row r="97" spans="1:34" ht="15.6">
      <c r="A97" s="1302"/>
      <c r="B97" s="1305"/>
      <c r="C97" s="1302"/>
      <c r="D97" s="1305"/>
      <c r="E97" s="1302"/>
      <c r="F97" s="1315">
        <v>78</v>
      </c>
      <c r="G97" s="1314">
        <v>1000</v>
      </c>
      <c r="H97" s="1314">
        <v>0</v>
      </c>
      <c r="I97" s="1314">
        <v>0</v>
      </c>
      <c r="J97" s="1314">
        <v>1000</v>
      </c>
      <c r="K97" s="1302"/>
      <c r="L97" s="1302"/>
      <c r="M97" s="1302"/>
      <c r="N97" s="1302"/>
      <c r="O97" s="1302"/>
      <c r="P97" s="1302"/>
      <c r="R97" s="371"/>
      <c r="S97" s="371"/>
      <c r="T97" s="1337">
        <f t="shared" si="14"/>
        <v>79</v>
      </c>
      <c r="U97" s="1336">
        <f t="shared" si="10"/>
        <v>5.5E-2</v>
      </c>
      <c r="V97" s="1335">
        <f t="shared" si="11"/>
        <v>1.4951402006397581E-2</v>
      </c>
      <c r="W97" s="1335">
        <f t="shared" si="12"/>
        <v>1.4840570337669709E-2</v>
      </c>
      <c r="X97" s="1334">
        <f t="shared" si="13"/>
        <v>1.5063072006882698E-2</v>
      </c>
      <c r="Y97" s="1329"/>
      <c r="Z97" s="371"/>
      <c r="AA97" s="371"/>
      <c r="AB97" s="371"/>
      <c r="AC97" s="371"/>
      <c r="AD97" s="371"/>
      <c r="AE97" s="371"/>
      <c r="AF97" s="371"/>
      <c r="AG97" s="371"/>
      <c r="AH97" s="371"/>
    </row>
    <row r="98" spans="1:34" ht="16.2" thickBot="1">
      <c r="A98" s="1302"/>
      <c r="B98" s="1305"/>
      <c r="C98" s="1302"/>
      <c r="D98" s="1305"/>
      <c r="E98" s="1302"/>
      <c r="F98" s="1315">
        <v>79</v>
      </c>
      <c r="G98" s="1314">
        <v>1000</v>
      </c>
      <c r="H98" s="1314">
        <v>0</v>
      </c>
      <c r="I98" s="1314">
        <v>0</v>
      </c>
      <c r="J98" s="1314">
        <v>1000</v>
      </c>
      <c r="K98" s="1302"/>
      <c r="L98" s="1302"/>
      <c r="M98" s="1302"/>
      <c r="N98" s="1302"/>
      <c r="O98" s="1302"/>
      <c r="P98" s="1302"/>
      <c r="R98" s="371"/>
      <c r="S98" s="371"/>
      <c r="T98" s="1333">
        <f t="shared" si="14"/>
        <v>80</v>
      </c>
      <c r="U98" s="1332">
        <f t="shared" si="10"/>
        <v>5.5E-2</v>
      </c>
      <c r="V98" s="1331">
        <f t="shared" si="11"/>
        <v>1.4171945029760746E-2</v>
      </c>
      <c r="W98" s="1331">
        <f t="shared" si="12"/>
        <v>1.4065558087072041E-2</v>
      </c>
      <c r="X98" s="1330">
        <f t="shared" si="13"/>
        <v>1.4279146845087404E-2</v>
      </c>
      <c r="Y98" s="1329"/>
      <c r="Z98" s="371"/>
      <c r="AA98" s="371"/>
      <c r="AB98" s="371"/>
      <c r="AC98" s="371"/>
      <c r="AD98" s="371"/>
      <c r="AE98" s="371"/>
      <c r="AF98" s="371"/>
      <c r="AG98" s="371"/>
      <c r="AH98" s="371"/>
    </row>
    <row r="99" spans="1:34" ht="15.6">
      <c r="A99" s="1302"/>
      <c r="B99" s="1305"/>
      <c r="C99" s="1302"/>
      <c r="D99" s="1305"/>
      <c r="E99" s="1302"/>
      <c r="F99" s="1302"/>
      <c r="G99" s="1302"/>
      <c r="H99" s="1302"/>
      <c r="I99" s="1302"/>
      <c r="J99" s="1302"/>
      <c r="K99" s="1302"/>
      <c r="L99" s="1302"/>
      <c r="M99" s="1302"/>
      <c r="N99" s="1302"/>
      <c r="O99" s="1302"/>
      <c r="P99" s="1302"/>
      <c r="R99" s="371"/>
      <c r="S99" s="371"/>
      <c r="T99" s="371"/>
      <c r="U99" s="371"/>
      <c r="V99" s="1329"/>
      <c r="W99" s="1329"/>
      <c r="X99" s="1329"/>
      <c r="Y99" s="1329"/>
      <c r="Z99" s="371"/>
      <c r="AA99" s="371"/>
      <c r="AB99" s="371"/>
      <c r="AC99" s="371"/>
      <c r="AD99" s="371"/>
      <c r="AE99" s="371"/>
      <c r="AF99" s="371"/>
      <c r="AG99" s="371"/>
      <c r="AH99" s="371"/>
    </row>
    <row r="100" spans="1:34" ht="15.6">
      <c r="A100" s="1302"/>
      <c r="B100" s="1305"/>
      <c r="C100" s="1302"/>
      <c r="D100" s="1302"/>
      <c r="E100" s="1302"/>
      <c r="F100" s="1302"/>
      <c r="G100" s="1302"/>
      <c r="H100" s="1302"/>
      <c r="I100" s="1302"/>
      <c r="J100" s="1302"/>
      <c r="K100" s="1302"/>
      <c r="L100" s="1302"/>
      <c r="M100" s="1302"/>
      <c r="N100" s="1302"/>
      <c r="O100" s="1302"/>
      <c r="P100" s="1302"/>
      <c r="R100" s="371"/>
      <c r="S100" s="371"/>
      <c r="T100" s="371"/>
      <c r="U100" s="371"/>
      <c r="V100" s="1329"/>
      <c r="W100" s="1329"/>
      <c r="X100" s="1329"/>
      <c r="Y100" s="1329"/>
      <c r="Z100" s="371"/>
      <c r="AA100" s="371"/>
      <c r="AB100" s="371"/>
      <c r="AC100" s="371"/>
      <c r="AD100" s="371"/>
      <c r="AE100" s="371"/>
      <c r="AF100" s="371"/>
      <c r="AG100" s="371"/>
      <c r="AH100" s="371"/>
    </row>
    <row r="101" spans="1:34" ht="15.6">
      <c r="A101" s="1302"/>
      <c r="B101" s="1305" t="s">
        <v>6</v>
      </c>
      <c r="C101" s="1305" t="s">
        <v>247</v>
      </c>
      <c r="D101" s="1312" t="s">
        <v>1849</v>
      </c>
      <c r="E101" s="1302"/>
      <c r="F101" s="1302"/>
      <c r="G101" s="1302"/>
      <c r="H101" s="1302"/>
      <c r="I101" s="1302"/>
      <c r="J101" s="1302"/>
      <c r="K101" s="1302"/>
      <c r="L101" s="1302"/>
      <c r="M101" s="1302"/>
      <c r="N101" s="1302"/>
      <c r="O101" s="1302"/>
      <c r="P101" s="1302"/>
      <c r="R101" s="371"/>
      <c r="S101" s="371"/>
      <c r="T101" s="371"/>
      <c r="U101" s="371"/>
      <c r="V101" s="1329"/>
      <c r="W101" s="1329"/>
      <c r="X101" s="1329"/>
      <c r="Y101" s="1329"/>
      <c r="Z101" s="371"/>
      <c r="AA101" s="371"/>
      <c r="AB101" s="371"/>
      <c r="AC101" s="371"/>
      <c r="AD101" s="371"/>
      <c r="AE101" s="371"/>
      <c r="AF101" s="371"/>
      <c r="AG101" s="371"/>
      <c r="AH101" s="371"/>
    </row>
    <row r="102" spans="1:34" ht="15.6">
      <c r="A102" s="1302"/>
      <c r="B102" s="1305"/>
      <c r="C102" s="1313" t="s">
        <v>26</v>
      </c>
      <c r="D102" s="1312" t="s">
        <v>1846</v>
      </c>
      <c r="E102" s="1302"/>
      <c r="F102" s="1302"/>
      <c r="G102" s="1302"/>
      <c r="H102" s="1302"/>
      <c r="I102" s="1302"/>
      <c r="J102" s="1302"/>
      <c r="K102" s="1302"/>
      <c r="L102" s="1302"/>
      <c r="M102" s="1302"/>
      <c r="N102" s="1302"/>
      <c r="O102" s="1302"/>
      <c r="P102" s="1302"/>
      <c r="R102" s="371"/>
      <c r="S102" s="371"/>
      <c r="T102" s="371"/>
      <c r="U102" s="371"/>
      <c r="V102" s="1329"/>
      <c r="W102" s="1329"/>
      <c r="X102" s="1329"/>
      <c r="Y102" s="1329"/>
      <c r="Z102" s="371"/>
      <c r="AA102" s="371"/>
      <c r="AB102" s="371"/>
      <c r="AC102" s="371"/>
      <c r="AD102" s="371"/>
      <c r="AE102" s="371"/>
      <c r="AF102" s="371"/>
      <c r="AG102" s="371"/>
      <c r="AH102" s="371"/>
    </row>
    <row r="103" spans="1:34" ht="15.6">
      <c r="A103" s="1302"/>
      <c r="B103" s="1305"/>
      <c r="C103" s="1313" t="s">
        <v>27</v>
      </c>
      <c r="D103" s="1312" t="s">
        <v>1845</v>
      </c>
      <c r="E103" s="1302"/>
      <c r="F103" s="1302"/>
      <c r="G103" s="1302"/>
      <c r="H103" s="1302"/>
      <c r="I103" s="1302"/>
      <c r="J103" s="1302"/>
      <c r="K103" s="1302"/>
      <c r="L103" s="1302"/>
      <c r="M103" s="1302"/>
      <c r="N103" s="1302"/>
      <c r="O103" s="1302"/>
      <c r="P103" s="1302"/>
      <c r="R103" s="371"/>
      <c r="S103" s="371"/>
      <c r="T103" s="371"/>
      <c r="U103" s="371"/>
      <c r="V103" s="1329"/>
      <c r="W103" s="1329"/>
      <c r="X103" s="1329"/>
      <c r="Y103" s="1329"/>
      <c r="Z103" s="371"/>
      <c r="AA103" s="371"/>
      <c r="AB103" s="371"/>
      <c r="AC103" s="371"/>
      <c r="AD103" s="371"/>
      <c r="AE103" s="371"/>
      <c r="AF103" s="371"/>
      <c r="AG103" s="371"/>
      <c r="AH103" s="371"/>
    </row>
    <row r="104" spans="1:34" ht="15.6">
      <c r="A104" s="1302"/>
      <c r="B104" s="1305"/>
      <c r="C104" s="1302"/>
      <c r="D104" s="1302"/>
      <c r="E104" s="1302"/>
      <c r="F104" s="1302"/>
      <c r="G104" s="1302"/>
      <c r="H104" s="1302"/>
      <c r="I104" s="1302"/>
      <c r="J104" s="1302"/>
      <c r="K104" s="1302"/>
      <c r="L104" s="1302"/>
      <c r="M104" s="1302"/>
      <c r="N104" s="1302"/>
      <c r="O104" s="1302"/>
      <c r="P104" s="1302"/>
      <c r="R104" s="371"/>
      <c r="S104" s="371"/>
      <c r="T104" s="371"/>
      <c r="U104" s="371"/>
      <c r="V104" s="1329"/>
      <c r="W104" s="1329"/>
      <c r="X104" s="1329"/>
      <c r="Y104" s="1329"/>
      <c r="Z104" s="371"/>
      <c r="AA104" s="371"/>
      <c r="AB104" s="371"/>
      <c r="AC104" s="371"/>
      <c r="AD104" s="371"/>
      <c r="AE104" s="371"/>
      <c r="AF104" s="371"/>
      <c r="AG104" s="371"/>
      <c r="AH104" s="371"/>
    </row>
    <row r="105" spans="1:34" ht="15.6">
      <c r="A105" s="1302"/>
      <c r="B105" s="1305"/>
      <c r="C105" s="1302"/>
      <c r="D105" s="1311"/>
      <c r="E105" s="1310"/>
      <c r="F105" s="1310"/>
      <c r="G105" s="1310"/>
      <c r="H105" s="1310"/>
      <c r="I105" s="1310"/>
      <c r="J105" s="1310"/>
      <c r="K105" s="1310"/>
      <c r="L105" s="1310"/>
      <c r="M105" s="1310"/>
      <c r="N105" s="1310"/>
      <c r="O105" s="1309"/>
      <c r="P105" s="1302"/>
      <c r="R105" s="371"/>
      <c r="S105" s="371"/>
      <c r="T105" s="371"/>
      <c r="U105" s="371"/>
      <c r="V105" s="1329"/>
      <c r="W105" s="1329"/>
      <c r="X105" s="1329"/>
      <c r="Y105" s="1329"/>
      <c r="Z105" s="371"/>
      <c r="AA105" s="371"/>
      <c r="AB105" s="371"/>
      <c r="AC105" s="371"/>
      <c r="AD105" s="371"/>
      <c r="AE105" s="371"/>
      <c r="AF105" s="371"/>
      <c r="AG105" s="371"/>
      <c r="AH105" s="371"/>
    </row>
    <row r="106" spans="1:34" ht="15.6">
      <c r="A106" s="1302"/>
      <c r="B106" s="1305"/>
      <c r="C106" s="1302"/>
      <c r="D106" s="1308" t="s">
        <v>1770</v>
      </c>
      <c r="E106" s="1307"/>
      <c r="F106" s="1307"/>
      <c r="G106" s="1307"/>
      <c r="H106" s="1307"/>
      <c r="I106" s="1307"/>
      <c r="J106" s="1307"/>
      <c r="K106" s="1307"/>
      <c r="L106" s="1307"/>
      <c r="M106" s="1307"/>
      <c r="N106" s="1307"/>
      <c r="O106" s="1306"/>
      <c r="P106" s="1302"/>
      <c r="R106" s="371"/>
      <c r="S106" s="371"/>
      <c r="T106" s="371"/>
      <c r="U106" s="371"/>
      <c r="V106" s="1329"/>
      <c r="W106" s="1329"/>
      <c r="X106" s="1329"/>
      <c r="Y106" s="1329"/>
      <c r="Z106" s="371"/>
      <c r="AA106" s="371"/>
      <c r="AB106" s="371"/>
      <c r="AC106" s="371"/>
      <c r="AD106" s="371"/>
      <c r="AE106" s="371"/>
      <c r="AF106" s="371"/>
      <c r="AG106" s="371"/>
      <c r="AH106" s="371"/>
    </row>
    <row r="107" spans="1:34" ht="15.6">
      <c r="A107" s="1302"/>
      <c r="B107" s="1305"/>
      <c r="C107" s="1302"/>
      <c r="D107" s="1305"/>
      <c r="E107" s="1302"/>
      <c r="F107" s="1302"/>
      <c r="G107" s="1302"/>
      <c r="H107" s="1302"/>
      <c r="I107" s="1302"/>
      <c r="J107" s="1302"/>
      <c r="K107" s="1302"/>
      <c r="L107" s="1302"/>
      <c r="M107" s="1302"/>
      <c r="N107" s="1302"/>
      <c r="O107" s="1302"/>
      <c r="P107" s="1302"/>
      <c r="R107" s="371"/>
      <c r="S107" s="371"/>
      <c r="T107" s="371"/>
      <c r="U107" s="371"/>
      <c r="V107" s="1329"/>
      <c r="W107" s="1329"/>
      <c r="X107" s="1329"/>
      <c r="Y107" s="1329"/>
      <c r="Z107" s="371"/>
      <c r="AA107" s="371"/>
      <c r="AB107" s="371"/>
      <c r="AC107" s="371"/>
      <c r="AD107" s="371"/>
      <c r="AE107" s="371"/>
      <c r="AF107" s="371"/>
      <c r="AG107" s="371"/>
      <c r="AH107" s="371"/>
    </row>
    <row r="108" spans="1:34" ht="15.6">
      <c r="A108" s="1302"/>
      <c r="B108" s="1302" t="s">
        <v>1848</v>
      </c>
      <c r="C108" s="1302"/>
      <c r="D108" s="1302"/>
      <c r="E108" s="1302"/>
      <c r="F108" s="1302"/>
      <c r="G108" s="1302"/>
      <c r="H108" s="1302"/>
      <c r="I108" s="1302"/>
      <c r="J108" s="1302"/>
      <c r="K108" s="1302"/>
      <c r="L108" s="1302"/>
      <c r="M108" s="1302"/>
      <c r="N108" s="1302"/>
      <c r="O108" s="1302"/>
      <c r="P108" s="1302"/>
      <c r="R108" s="371"/>
      <c r="S108" s="371"/>
      <c r="T108" s="371"/>
      <c r="U108" s="371"/>
      <c r="V108" s="1329"/>
      <c r="W108" s="1329"/>
      <c r="X108" s="1329"/>
      <c r="Y108" s="1329"/>
      <c r="Z108" s="371"/>
      <c r="AA108" s="371"/>
      <c r="AB108" s="371"/>
      <c r="AC108" s="371"/>
      <c r="AD108" s="371"/>
      <c r="AE108" s="371"/>
      <c r="AF108" s="371"/>
      <c r="AG108" s="371"/>
      <c r="AH108" s="371"/>
    </row>
    <row r="109" spans="1:34" ht="15.6">
      <c r="A109" s="1302"/>
      <c r="B109" s="1305"/>
      <c r="C109" s="1302"/>
      <c r="D109" s="1302"/>
      <c r="E109" s="1302"/>
      <c r="F109" s="1302"/>
      <c r="G109" s="1302"/>
      <c r="H109" s="1302"/>
      <c r="I109" s="1302"/>
      <c r="J109" s="1302"/>
      <c r="K109" s="1302"/>
      <c r="L109" s="1302"/>
      <c r="M109" s="1302"/>
      <c r="N109" s="1302"/>
      <c r="O109" s="1302"/>
      <c r="P109" s="1302"/>
      <c r="R109" s="371"/>
      <c r="S109" s="371"/>
      <c r="T109" s="371"/>
      <c r="U109" s="371"/>
      <c r="V109" s="1329"/>
      <c r="W109" s="1329"/>
      <c r="X109" s="1329"/>
      <c r="Y109" s="1329"/>
      <c r="Z109" s="371"/>
      <c r="AA109" s="371"/>
      <c r="AB109" s="371"/>
      <c r="AC109" s="371"/>
      <c r="AD109" s="371"/>
      <c r="AE109" s="371"/>
      <c r="AF109" s="371"/>
      <c r="AG109" s="371"/>
      <c r="AH109" s="371"/>
    </row>
    <row r="110" spans="1:34" ht="15.6">
      <c r="A110" s="1302"/>
      <c r="B110" s="1305" t="s">
        <v>256</v>
      </c>
      <c r="C110" s="1305" t="s">
        <v>247</v>
      </c>
      <c r="D110" s="1312" t="s">
        <v>1847</v>
      </c>
      <c r="E110" s="1302"/>
      <c r="F110" s="1302"/>
      <c r="G110" s="1302"/>
      <c r="H110" s="1302"/>
      <c r="I110" s="1302"/>
      <c r="J110" s="1302"/>
      <c r="K110" s="1302"/>
      <c r="L110" s="1302"/>
      <c r="M110" s="1302"/>
      <c r="N110" s="1302"/>
      <c r="O110" s="1302"/>
      <c r="P110" s="1302"/>
      <c r="R110" s="371"/>
      <c r="S110" s="371"/>
      <c r="T110" s="371"/>
      <c r="U110" s="371"/>
      <c r="V110" s="1329"/>
      <c r="W110" s="1329"/>
      <c r="X110" s="1329"/>
      <c r="Y110" s="1329"/>
      <c r="Z110" s="371"/>
      <c r="AA110" s="371"/>
      <c r="AB110" s="371"/>
      <c r="AC110" s="371"/>
      <c r="AD110" s="371"/>
      <c r="AE110" s="371"/>
      <c r="AF110" s="371"/>
      <c r="AG110" s="371"/>
      <c r="AH110" s="371"/>
    </row>
    <row r="111" spans="1:34" ht="15.6">
      <c r="A111" s="1302"/>
      <c r="B111" s="1305"/>
      <c r="C111" s="1313" t="s">
        <v>26</v>
      </c>
      <c r="D111" s="1312" t="s">
        <v>1846</v>
      </c>
      <c r="E111" s="1302"/>
      <c r="F111" s="1302"/>
      <c r="G111" s="1302"/>
      <c r="H111" s="1302"/>
      <c r="I111" s="1302"/>
      <c r="J111" s="1302"/>
      <c r="K111" s="1302"/>
      <c r="L111" s="1302"/>
      <c r="M111" s="1302"/>
      <c r="N111" s="1302"/>
      <c r="O111" s="1302"/>
      <c r="P111" s="1302"/>
      <c r="R111" s="371"/>
      <c r="S111" s="371"/>
      <c r="T111" s="371"/>
      <c r="U111" s="371"/>
      <c r="V111" s="1329"/>
      <c r="W111" s="1329"/>
      <c r="X111" s="1329"/>
      <c r="Y111" s="1329"/>
      <c r="Z111" s="371"/>
      <c r="AA111" s="371"/>
      <c r="AB111" s="371"/>
      <c r="AC111" s="371"/>
      <c r="AD111" s="371"/>
      <c r="AE111" s="371"/>
      <c r="AF111" s="371"/>
      <c r="AG111" s="371"/>
      <c r="AH111" s="371"/>
    </row>
    <row r="112" spans="1:34" ht="15.6">
      <c r="A112" s="1302"/>
      <c r="B112" s="1305"/>
      <c r="C112" s="1313" t="s">
        <v>27</v>
      </c>
      <c r="D112" s="1312" t="s">
        <v>1845</v>
      </c>
      <c r="E112" s="1302"/>
      <c r="F112" s="1302"/>
      <c r="G112" s="1302"/>
      <c r="H112" s="1302"/>
      <c r="I112" s="1302"/>
      <c r="J112" s="1302"/>
      <c r="K112" s="1302"/>
      <c r="L112" s="1302"/>
      <c r="M112" s="1302"/>
      <c r="N112" s="1302"/>
      <c r="O112" s="1302"/>
      <c r="P112" s="1302"/>
      <c r="R112" s="371"/>
      <c r="S112" s="371"/>
      <c r="T112" s="371"/>
      <c r="U112" s="371"/>
      <c r="V112" s="1329"/>
      <c r="W112" s="1329"/>
      <c r="X112" s="1329"/>
      <c r="Y112" s="1329"/>
      <c r="Z112" s="371"/>
      <c r="AA112" s="371"/>
      <c r="AB112" s="371"/>
      <c r="AC112" s="371"/>
      <c r="AD112" s="371"/>
      <c r="AE112" s="371"/>
      <c r="AF112" s="371"/>
      <c r="AG112" s="371"/>
      <c r="AH112" s="371"/>
    </row>
    <row r="113" spans="1:34" ht="15.6">
      <c r="A113" s="1302"/>
      <c r="B113" s="1305"/>
      <c r="C113" s="1302"/>
      <c r="D113" s="1302"/>
      <c r="E113" s="1302"/>
      <c r="F113" s="1302"/>
      <c r="G113" s="1302"/>
      <c r="H113" s="1302"/>
      <c r="I113" s="1302"/>
      <c r="J113" s="1302"/>
      <c r="K113" s="1302"/>
      <c r="L113" s="1302"/>
      <c r="M113" s="1302"/>
      <c r="N113" s="1302"/>
      <c r="O113" s="1302"/>
      <c r="P113" s="1302"/>
      <c r="R113" s="371"/>
      <c r="S113" s="371"/>
      <c r="T113" s="371"/>
      <c r="U113" s="371"/>
      <c r="V113" s="1329"/>
      <c r="W113" s="1329"/>
      <c r="X113" s="1329"/>
      <c r="Y113" s="1329"/>
      <c r="Z113" s="371"/>
      <c r="AA113" s="371"/>
      <c r="AB113" s="371"/>
      <c r="AC113" s="371"/>
      <c r="AD113" s="371"/>
      <c r="AE113" s="371"/>
      <c r="AF113" s="371"/>
      <c r="AG113" s="371"/>
      <c r="AH113" s="371"/>
    </row>
    <row r="114" spans="1:34" ht="15.6">
      <c r="A114" s="1302"/>
      <c r="B114" s="1305"/>
      <c r="C114" s="1302"/>
      <c r="D114" s="1311"/>
      <c r="E114" s="1310"/>
      <c r="F114" s="1310"/>
      <c r="G114" s="1310"/>
      <c r="H114" s="1310"/>
      <c r="I114" s="1310"/>
      <c r="J114" s="1310"/>
      <c r="K114" s="1310"/>
      <c r="L114" s="1310"/>
      <c r="M114" s="1310"/>
      <c r="N114" s="1310"/>
      <c r="O114" s="1309"/>
      <c r="P114" s="1302"/>
      <c r="R114" s="371"/>
      <c r="S114" s="371"/>
      <c r="T114" s="371"/>
      <c r="U114" s="371"/>
      <c r="V114" s="1329"/>
      <c r="W114" s="1329"/>
      <c r="X114" s="1329"/>
      <c r="Y114" s="1329"/>
      <c r="Z114" s="371"/>
      <c r="AA114" s="371"/>
      <c r="AB114" s="371"/>
      <c r="AC114" s="371"/>
      <c r="AD114" s="371"/>
      <c r="AE114" s="371"/>
      <c r="AF114" s="371"/>
      <c r="AG114" s="371"/>
      <c r="AH114" s="371"/>
    </row>
    <row r="115" spans="1:34" ht="15.6">
      <c r="A115" s="1302"/>
      <c r="B115" s="1305"/>
      <c r="C115" s="1302"/>
      <c r="D115" s="1308" t="s">
        <v>1770</v>
      </c>
      <c r="E115" s="1307"/>
      <c r="F115" s="1307"/>
      <c r="G115" s="1307"/>
      <c r="H115" s="1307"/>
      <c r="I115" s="1307"/>
      <c r="J115" s="1307"/>
      <c r="K115" s="1307"/>
      <c r="L115" s="1307"/>
      <c r="M115" s="1307"/>
      <c r="N115" s="1307"/>
      <c r="O115" s="1306"/>
      <c r="P115" s="1302"/>
      <c r="R115" s="371"/>
      <c r="S115" s="371"/>
      <c r="T115" s="371"/>
      <c r="U115" s="371"/>
      <c r="V115" s="1329"/>
      <c r="W115" s="1329"/>
      <c r="X115" s="1329"/>
      <c r="Y115" s="1329"/>
      <c r="Z115" s="371"/>
      <c r="AA115" s="371"/>
      <c r="AB115" s="371"/>
      <c r="AC115" s="371"/>
      <c r="AD115" s="371"/>
      <c r="AE115" s="371"/>
      <c r="AF115" s="371"/>
      <c r="AG115" s="371"/>
      <c r="AH115" s="371"/>
    </row>
    <row r="116" spans="1:34" ht="15.6">
      <c r="A116" s="1302"/>
      <c r="B116" s="1305"/>
      <c r="C116" s="1302"/>
      <c r="D116" s="1302"/>
      <c r="E116" s="1302"/>
      <c r="F116" s="1302"/>
      <c r="G116" s="1302"/>
      <c r="H116" s="1302"/>
      <c r="I116" s="1302"/>
      <c r="J116" s="1302"/>
      <c r="K116" s="1302"/>
      <c r="L116" s="1302"/>
      <c r="M116" s="1302"/>
      <c r="N116" s="1302"/>
      <c r="O116" s="1302"/>
      <c r="P116" s="1302"/>
    </row>
    <row r="117" spans="1:34" ht="15.6">
      <c r="A117" s="1302"/>
      <c r="B117" s="1305"/>
      <c r="C117" s="1302"/>
      <c r="D117" s="1302"/>
      <c r="E117" s="1302"/>
      <c r="F117" s="1302"/>
      <c r="G117" s="1302"/>
      <c r="H117" s="1302"/>
      <c r="I117" s="1302"/>
      <c r="J117" s="1302"/>
      <c r="K117" s="1302"/>
      <c r="L117" s="1302"/>
      <c r="M117" s="1302"/>
      <c r="N117" s="1302"/>
      <c r="O117" s="1302"/>
      <c r="P117" s="1302"/>
    </row>
    <row r="118" spans="1:34" ht="15.6">
      <c r="A118" s="1302"/>
      <c r="B118" s="1302"/>
      <c r="C118" s="1302"/>
      <c r="D118" s="1302"/>
      <c r="E118" s="1302"/>
      <c r="F118" s="1302"/>
      <c r="G118" s="1302"/>
      <c r="H118" s="1302"/>
      <c r="I118" s="1302"/>
      <c r="J118" s="1302"/>
      <c r="K118" s="1302"/>
      <c r="L118" s="1302"/>
      <c r="M118" s="1302"/>
      <c r="N118" s="1302"/>
      <c r="O118" s="1302"/>
      <c r="P118" s="1302"/>
    </row>
    <row r="119" spans="1:34" ht="15.6">
      <c r="A119" s="1302"/>
      <c r="B119" s="1302"/>
      <c r="C119" s="1303"/>
      <c r="D119" s="1302"/>
      <c r="E119" s="1302"/>
      <c r="F119" s="1302"/>
      <c r="G119" s="1302"/>
      <c r="H119" s="1302"/>
      <c r="I119" s="1302"/>
      <c r="J119" s="1302"/>
      <c r="K119" s="1302"/>
      <c r="L119" s="1302"/>
      <c r="M119" s="1302"/>
      <c r="N119" s="1302"/>
      <c r="O119" s="1302"/>
      <c r="P119" s="1302"/>
      <c r="R119" s="1328"/>
    </row>
    <row r="120" spans="1:34">
      <c r="A120" s="1326"/>
      <c r="B120" s="1326"/>
      <c r="C120" s="1327"/>
      <c r="D120" s="1326"/>
      <c r="E120" s="1326"/>
      <c r="F120" s="1326"/>
      <c r="G120" s="1326"/>
      <c r="H120" s="1326"/>
      <c r="I120" s="1326"/>
      <c r="J120" s="1326"/>
      <c r="K120" s="1326"/>
      <c r="L120" s="1326"/>
      <c r="M120" s="1326"/>
      <c r="N120" s="1326"/>
      <c r="O120" s="1326"/>
      <c r="P120" s="1326"/>
      <c r="R120" s="167"/>
      <c r="S120" s="1325"/>
    </row>
    <row r="121" spans="1:34">
      <c r="A121" s="1324"/>
      <c r="B121" s="1324"/>
      <c r="C121" s="1324"/>
      <c r="D121" s="1324"/>
      <c r="E121" s="1324"/>
      <c r="F121" s="1324"/>
      <c r="G121" s="1324"/>
      <c r="H121" s="1324"/>
      <c r="I121" s="1324"/>
      <c r="J121" s="1324"/>
      <c r="K121" s="1324"/>
      <c r="L121" s="1324"/>
      <c r="M121" s="1324"/>
      <c r="N121" s="1324"/>
      <c r="O121" s="1324"/>
      <c r="P121" s="1324"/>
      <c r="R121" s="167"/>
      <c r="S121" s="167"/>
    </row>
    <row r="122" spans="1:34">
      <c r="A122" s="1324"/>
      <c r="B122" s="1324"/>
      <c r="C122" s="1324"/>
      <c r="D122" s="1324"/>
      <c r="E122" s="1324"/>
      <c r="F122" s="1324"/>
      <c r="G122" s="1324"/>
      <c r="H122" s="1324"/>
      <c r="I122" s="1324"/>
      <c r="J122" s="1324"/>
      <c r="K122" s="1324"/>
      <c r="L122" s="1324"/>
      <c r="M122" s="1324"/>
      <c r="N122" s="1324"/>
      <c r="O122" s="1324"/>
      <c r="P122" s="1324"/>
      <c r="R122" s="167"/>
      <c r="S122" s="167"/>
    </row>
    <row r="123" spans="1:34">
      <c r="A123" s="1324"/>
      <c r="B123" s="1324"/>
      <c r="C123" s="1324"/>
      <c r="D123" s="1324"/>
      <c r="E123" s="1324"/>
      <c r="F123" s="1324"/>
      <c r="G123" s="1324"/>
      <c r="H123" s="1324"/>
      <c r="I123" s="1324"/>
      <c r="J123" s="1324"/>
      <c r="K123" s="1324"/>
      <c r="L123" s="1324"/>
      <c r="M123" s="1324"/>
      <c r="N123" s="1324"/>
      <c r="O123" s="1324"/>
      <c r="P123" s="1324"/>
      <c r="R123" s="167"/>
      <c r="S123" s="167"/>
    </row>
    <row r="124" spans="1:34">
      <c r="A124" s="1324"/>
      <c r="B124" s="1324"/>
      <c r="C124" s="1324"/>
      <c r="D124" s="1324"/>
      <c r="E124" s="1324"/>
      <c r="F124" s="1324"/>
      <c r="G124" s="1324"/>
      <c r="H124" s="1324"/>
      <c r="I124" s="1324"/>
      <c r="J124" s="1324"/>
      <c r="K124" s="1324"/>
      <c r="L124" s="1324"/>
      <c r="M124" s="1324"/>
      <c r="N124" s="1324"/>
      <c r="O124" s="1324"/>
      <c r="P124" s="1324"/>
    </row>
    <row r="125" spans="1:34">
      <c r="A125"/>
      <c r="B125"/>
      <c r="C125"/>
      <c r="D125"/>
      <c r="E125"/>
      <c r="F125"/>
      <c r="G125"/>
      <c r="H125"/>
      <c r="I125"/>
      <c r="J125"/>
      <c r="K125"/>
      <c r="L125"/>
      <c r="M125"/>
      <c r="N125"/>
      <c r="O125"/>
      <c r="P125"/>
    </row>
    <row r="126" spans="1:34">
      <c r="A126"/>
      <c r="B126"/>
      <c r="C126"/>
      <c r="D126"/>
      <c r="E126"/>
      <c r="F126"/>
      <c r="G126"/>
      <c r="H126"/>
      <c r="I126"/>
      <c r="J126"/>
      <c r="K126"/>
      <c r="L126"/>
      <c r="M126"/>
      <c r="N126"/>
      <c r="O126"/>
      <c r="P126"/>
    </row>
    <row r="127" spans="1:34">
      <c r="A127"/>
      <c r="B127"/>
      <c r="C127"/>
      <c r="D127"/>
      <c r="E127"/>
      <c r="F127"/>
      <c r="G127"/>
      <c r="H127"/>
      <c r="I127"/>
      <c r="J127"/>
      <c r="K127"/>
      <c r="L127"/>
      <c r="M127"/>
      <c r="N127"/>
      <c r="O127"/>
      <c r="P127"/>
    </row>
    <row r="128" spans="1:34">
      <c r="A128"/>
      <c r="B128"/>
      <c r="C128"/>
      <c r="D128"/>
      <c r="E128"/>
      <c r="F128"/>
      <c r="G128"/>
      <c r="H128"/>
      <c r="I128"/>
      <c r="J128"/>
      <c r="K128"/>
      <c r="L128"/>
      <c r="M128"/>
      <c r="N128"/>
      <c r="O128"/>
      <c r="P128"/>
    </row>
  </sheetData>
  <mergeCells count="15">
    <mergeCell ref="S11:U11"/>
    <mergeCell ref="V11:X11"/>
    <mergeCell ref="AE17:AF17"/>
    <mergeCell ref="S8:U8"/>
    <mergeCell ref="V8:X8"/>
    <mergeCell ref="S9:U9"/>
    <mergeCell ref="V9:X9"/>
    <mergeCell ref="S10:U10"/>
    <mergeCell ref="V10:X10"/>
    <mergeCell ref="S2:X2"/>
    <mergeCell ref="S3:X3"/>
    <mergeCell ref="S4:X4"/>
    <mergeCell ref="S5:X5"/>
    <mergeCell ref="S7:U7"/>
    <mergeCell ref="V7:X7"/>
  </mergeCells>
  <pageMargins left="0.7" right="0.7" top="0.75" bottom="0.75" header="0.3" footer="0.3"/>
  <pageSetup scale="77" orientation="portrait" r:id="rId1"/>
  <headerFooter differentFirst="1">
    <firstFooter>&amp;L </firstFooter>
  </headerFooter>
  <colBreaks count="1" manualBreakCount="1">
    <brk id="7" max="23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B4FAE-38FE-43FA-B189-F8249DABDFE6}">
  <dimension ref="A1:S114"/>
  <sheetViews>
    <sheetView zoomScale="58" zoomScaleNormal="70" workbookViewId="0"/>
  </sheetViews>
  <sheetFormatPr defaultColWidth="8.6640625" defaultRowHeight="15.6"/>
  <cols>
    <col min="1" max="1" width="3.6640625" style="2" customWidth="1"/>
    <col min="2" max="4" width="23.33203125" style="2" customWidth="1"/>
    <col min="5" max="5" width="0.109375" style="2" customWidth="1"/>
    <col min="6" max="6" width="28.33203125" style="2" customWidth="1"/>
    <col min="7" max="7" width="9.44140625" style="2" customWidth="1"/>
    <col min="8" max="8" width="1" style="3" customWidth="1"/>
    <col min="9" max="9" width="5" style="33" customWidth="1"/>
    <col min="10" max="10" width="12" style="33" customWidth="1"/>
    <col min="11" max="11" width="17.33203125" style="33" customWidth="1"/>
    <col min="12" max="12" width="13.44140625" style="33" customWidth="1"/>
    <col min="13" max="13" width="12.5546875" style="33" bestFit="1" customWidth="1"/>
    <col min="14" max="14" width="15" style="33" customWidth="1"/>
    <col min="15" max="15" width="8.6640625" style="33"/>
    <col min="16" max="16" width="11" style="33" customWidth="1"/>
    <col min="17" max="17" width="8.6640625" style="33"/>
    <col min="18" max="18" width="14.6640625" style="33" customWidth="1"/>
    <col min="19" max="19" width="1" style="3" customWidth="1"/>
  </cols>
  <sheetData>
    <row r="1" spans="1:19" s="4" customFormat="1">
      <c r="A1" s="1" t="s">
        <v>0</v>
      </c>
      <c r="B1" s="2"/>
      <c r="C1" s="2"/>
      <c r="D1" s="2"/>
      <c r="E1" s="2"/>
      <c r="F1" s="2"/>
      <c r="G1" s="2"/>
      <c r="H1" s="3"/>
      <c r="I1" s="1" t="str">
        <f>A1</f>
        <v>Exam RETDAU:  Fall 2022</v>
      </c>
      <c r="J1" s="2"/>
      <c r="K1" s="2"/>
      <c r="L1" s="2"/>
      <c r="M1" s="2"/>
      <c r="N1" s="2"/>
      <c r="O1" s="2"/>
      <c r="P1" s="2"/>
      <c r="Q1" s="2"/>
      <c r="R1" s="2"/>
      <c r="S1" s="3"/>
    </row>
    <row r="2" spans="1:19" s="4" customFormat="1">
      <c r="A2" s="1" t="s">
        <v>1</v>
      </c>
      <c r="B2" s="2"/>
      <c r="C2" s="2"/>
      <c r="D2" s="2"/>
      <c r="E2" s="2"/>
      <c r="F2" s="2"/>
      <c r="G2" s="2"/>
      <c r="H2" s="3"/>
      <c r="I2" s="1" t="str">
        <f>A2</f>
        <v>Design and Accounting Exam – U.S.</v>
      </c>
      <c r="J2" s="2"/>
      <c r="K2" s="2"/>
      <c r="L2" s="2"/>
      <c r="M2" s="2"/>
      <c r="N2" s="2"/>
      <c r="O2" s="2"/>
      <c r="P2" s="2"/>
      <c r="Q2" s="2"/>
      <c r="R2" s="2"/>
      <c r="S2" s="3"/>
    </row>
    <row r="3" spans="1:19" s="4" customFormat="1">
      <c r="A3" s="1" t="s">
        <v>2</v>
      </c>
      <c r="B3" s="2"/>
      <c r="C3" s="2"/>
      <c r="D3" s="2"/>
      <c r="E3" s="2"/>
      <c r="F3" s="2"/>
      <c r="G3" s="2"/>
      <c r="H3" s="3"/>
      <c r="I3" s="1" t="str">
        <f>A3</f>
        <v>Question 11</v>
      </c>
      <c r="J3" s="2"/>
      <c r="K3" s="2"/>
      <c r="L3" s="2"/>
      <c r="M3" s="2"/>
      <c r="N3" s="2"/>
      <c r="O3" s="2"/>
      <c r="P3" s="2"/>
      <c r="Q3" s="2"/>
      <c r="R3" s="2"/>
      <c r="S3" s="3"/>
    </row>
    <row r="4" spans="1:19" s="4" customFormat="1">
      <c r="A4" s="2"/>
      <c r="B4" s="2"/>
      <c r="C4" s="2"/>
      <c r="D4" s="2"/>
      <c r="E4" s="2"/>
      <c r="F4" s="2"/>
      <c r="G4" s="2"/>
      <c r="H4" s="3"/>
      <c r="I4" s="2"/>
      <c r="J4" s="2"/>
      <c r="K4" s="2"/>
      <c r="L4" s="2"/>
      <c r="M4" s="2"/>
      <c r="N4" s="2"/>
      <c r="O4" s="2"/>
      <c r="P4" s="2"/>
      <c r="Q4" s="2"/>
      <c r="R4" s="2"/>
      <c r="S4" s="3"/>
    </row>
    <row r="5" spans="1:19" s="4" customFormat="1" ht="16.2" customHeight="1">
      <c r="A5" s="1462" t="s">
        <v>3</v>
      </c>
      <c r="B5" s="1462"/>
      <c r="C5" s="1462"/>
      <c r="D5" s="1462"/>
      <c r="E5" s="1462"/>
      <c r="F5" s="1462"/>
      <c r="G5" s="1462"/>
      <c r="H5" s="3"/>
      <c r="I5" s="6" t="s">
        <v>4</v>
      </c>
      <c r="J5" s="2"/>
      <c r="K5" s="2"/>
      <c r="L5" s="2"/>
      <c r="M5" s="2"/>
      <c r="N5" s="2"/>
      <c r="O5" s="2"/>
      <c r="P5" s="2"/>
      <c r="Q5" s="2"/>
      <c r="R5" s="2"/>
      <c r="S5" s="3"/>
    </row>
    <row r="6" spans="1:19" s="4" customFormat="1" ht="15.6" customHeight="1">
      <c r="A6" s="7"/>
      <c r="B6" s="7"/>
      <c r="C6" s="7"/>
      <c r="D6" s="7"/>
      <c r="E6" s="7"/>
      <c r="F6" s="7"/>
      <c r="G6" s="7"/>
      <c r="H6" s="3"/>
      <c r="I6" s="2"/>
      <c r="J6" s="2"/>
      <c r="K6" s="2"/>
      <c r="L6" s="2"/>
      <c r="M6" s="2"/>
      <c r="N6" s="2"/>
      <c r="O6" s="2"/>
      <c r="P6" s="2"/>
      <c r="Q6" s="2"/>
      <c r="R6" s="2"/>
      <c r="S6" s="3"/>
    </row>
    <row r="7" spans="1:19" s="4" customFormat="1" ht="15.6" customHeight="1">
      <c r="A7" s="7"/>
      <c r="B7" s="1462" t="s">
        <v>5</v>
      </c>
      <c r="C7" s="1462"/>
      <c r="D7" s="1462"/>
      <c r="E7" s="1462"/>
      <c r="F7" s="1462"/>
      <c r="G7" s="7"/>
      <c r="H7" s="3"/>
      <c r="I7" s="2" t="s">
        <v>6</v>
      </c>
      <c r="J7" s="8" t="s">
        <v>7</v>
      </c>
      <c r="K7" s="9"/>
      <c r="L7" s="9"/>
      <c r="M7" s="9"/>
      <c r="N7" s="9"/>
      <c r="O7" s="9"/>
      <c r="P7" s="9"/>
      <c r="Q7" s="9"/>
      <c r="R7" s="9"/>
      <c r="S7" s="3"/>
    </row>
    <row r="8" spans="1:19" s="4" customFormat="1" ht="15.6" customHeight="1">
      <c r="A8" s="7"/>
      <c r="B8" s="1462" t="s">
        <v>8</v>
      </c>
      <c r="C8" s="1462"/>
      <c r="D8" s="1462"/>
      <c r="E8" s="1462"/>
      <c r="F8" s="1462"/>
      <c r="G8" s="7"/>
      <c r="H8" s="3"/>
      <c r="I8" s="2"/>
      <c r="J8" s="8"/>
      <c r="K8" s="9"/>
      <c r="L8" s="9"/>
      <c r="M8" s="9"/>
      <c r="N8" s="9"/>
      <c r="O8" s="9"/>
      <c r="P8" s="9"/>
      <c r="Q8" s="9"/>
      <c r="R8" s="9"/>
      <c r="S8" s="3"/>
    </row>
    <row r="9" spans="1:19" s="4" customFormat="1" ht="15.6" customHeight="1">
      <c r="A9" s="7"/>
      <c r="B9" s="1462" t="s">
        <v>9</v>
      </c>
      <c r="C9" s="1462"/>
      <c r="D9" s="1462"/>
      <c r="E9" s="1462"/>
      <c r="F9" s="1462"/>
      <c r="G9" s="7"/>
      <c r="H9" s="3"/>
      <c r="I9" s="2"/>
      <c r="J9" s="8" t="str">
        <f>B38</f>
        <v xml:space="preserve">(i)    Enhanced money-back guarantee based on a minimum annual rate of 1% </v>
      </c>
      <c r="K9" s="9"/>
      <c r="L9" s="9"/>
      <c r="M9" s="9"/>
      <c r="N9" s="9"/>
      <c r="O9" s="9"/>
      <c r="P9" s="9"/>
      <c r="Q9" s="9"/>
      <c r="R9" s="9"/>
      <c r="S9" s="3"/>
    </row>
    <row r="10" spans="1:19" s="4" customFormat="1" ht="15.6" customHeight="1">
      <c r="A10" s="2"/>
      <c r="B10" s="1462" t="s">
        <v>10</v>
      </c>
      <c r="C10" s="1462"/>
      <c r="D10" s="1462"/>
      <c r="E10" s="1462"/>
      <c r="F10" s="1462"/>
      <c r="G10" s="2"/>
      <c r="H10" s="3"/>
      <c r="I10" s="2"/>
      <c r="J10" s="5"/>
      <c r="K10" s="5"/>
      <c r="L10" s="5"/>
      <c r="M10" s="5"/>
      <c r="N10" s="5"/>
      <c r="O10" s="5"/>
      <c r="P10" s="5"/>
      <c r="Q10" s="5"/>
      <c r="R10" s="5"/>
      <c r="S10" s="3"/>
    </row>
    <row r="11" spans="1:19" s="4" customFormat="1" ht="15.6" customHeight="1">
      <c r="A11" s="2"/>
      <c r="B11" s="1462" t="s">
        <v>11</v>
      </c>
      <c r="C11" s="1462"/>
      <c r="D11" s="1462"/>
      <c r="E11" s="1462"/>
      <c r="F11" s="1462"/>
      <c r="G11" s="2"/>
      <c r="H11" s="3"/>
      <c r="I11" s="10"/>
      <c r="J11" s="8" t="str">
        <f>B40</f>
        <v>(ii)   Enhanced money-back guarantee based on a cumulative floor of 3% per year</v>
      </c>
      <c r="K11" s="10"/>
      <c r="L11" s="10"/>
      <c r="M11" s="10"/>
      <c r="N11" s="10"/>
      <c r="O11" s="10"/>
      <c r="P11" s="10"/>
      <c r="Q11" s="10"/>
      <c r="R11" s="10"/>
      <c r="S11" s="3"/>
    </row>
    <row r="12" spans="1:19" s="4" customFormat="1" ht="15.6" customHeight="1">
      <c r="A12" s="2"/>
      <c r="B12" s="1462"/>
      <c r="C12" s="1462"/>
      <c r="D12" s="1462"/>
      <c r="E12" s="1462"/>
      <c r="F12" s="1462"/>
      <c r="G12" s="2"/>
      <c r="H12" s="3"/>
      <c r="I12" s="10"/>
      <c r="J12" s="8"/>
      <c r="K12" s="10"/>
      <c r="L12" s="10"/>
      <c r="M12" s="10"/>
      <c r="N12" s="10"/>
      <c r="O12" s="10"/>
      <c r="P12" s="10"/>
      <c r="Q12" s="10"/>
      <c r="R12" s="10"/>
      <c r="S12" s="3"/>
    </row>
    <row r="13" spans="1:19" s="4" customFormat="1">
      <c r="A13" s="2"/>
      <c r="B13" s="11"/>
      <c r="C13" s="10"/>
      <c r="D13" s="2"/>
      <c r="E13" s="2"/>
      <c r="F13" s="2"/>
      <c r="G13" s="2"/>
      <c r="H13" s="3"/>
      <c r="I13" s="10"/>
      <c r="J13" s="8" t="str">
        <f>B42</f>
        <v>Show all work and justify your response.</v>
      </c>
      <c r="K13" s="10"/>
      <c r="L13" s="10"/>
      <c r="M13" s="10"/>
      <c r="N13" s="10"/>
      <c r="O13" s="10"/>
      <c r="P13" s="10"/>
      <c r="Q13" s="10"/>
      <c r="R13" s="10"/>
      <c r="S13" s="3"/>
    </row>
    <row r="14" spans="1:19" s="4" customFormat="1">
      <c r="A14" s="2"/>
      <c r="B14" s="12" t="s">
        <v>12</v>
      </c>
      <c r="C14" s="12" t="s">
        <v>13</v>
      </c>
      <c r="D14" s="12" t="s">
        <v>14</v>
      </c>
      <c r="E14" s="2"/>
      <c r="F14" s="2"/>
      <c r="G14" s="2"/>
      <c r="H14" s="3"/>
      <c r="I14" s="10"/>
      <c r="J14" s="10"/>
      <c r="K14" s="10"/>
      <c r="L14" s="10"/>
      <c r="M14" s="10"/>
      <c r="N14" s="10"/>
      <c r="O14" s="10"/>
      <c r="P14" s="10"/>
      <c r="Q14" s="10"/>
      <c r="R14" s="10"/>
      <c r="S14" s="3"/>
    </row>
    <row r="15" spans="1:19" s="4" customFormat="1">
      <c r="A15" s="2"/>
      <c r="B15" s="13">
        <f t="shared" ref="B15:B32" si="0">+B16-1</f>
        <v>2003</v>
      </c>
      <c r="C15" s="14">
        <v>100000</v>
      </c>
      <c r="D15" s="15"/>
      <c r="E15" s="2"/>
      <c r="F15" s="2"/>
      <c r="G15" s="2"/>
      <c r="H15" s="3"/>
      <c r="I15" s="33"/>
      <c r="J15" s="33"/>
      <c r="K15" s="33"/>
      <c r="L15" s="33"/>
      <c r="M15" s="33"/>
      <c r="N15" s="33"/>
      <c r="O15" s="33"/>
      <c r="P15" s="33"/>
      <c r="Q15" s="33"/>
      <c r="R15" s="33"/>
      <c r="S15" s="3"/>
    </row>
    <row r="16" spans="1:19" s="4" customFormat="1">
      <c r="A16" s="2"/>
      <c r="B16" s="13">
        <f t="shared" si="0"/>
        <v>2004</v>
      </c>
      <c r="C16" s="14">
        <f>ROUND(C15*1.03,0)</f>
        <v>103000</v>
      </c>
      <c r="D16" s="15">
        <v>2.0500000000000001E-2</v>
      </c>
      <c r="E16" s="2"/>
      <c r="F16" s="2"/>
      <c r="G16" s="2"/>
      <c r="H16" s="3"/>
      <c r="I16" s="33"/>
      <c r="J16" s="33"/>
      <c r="K16" s="33"/>
      <c r="L16" s="33"/>
      <c r="M16" s="33"/>
      <c r="N16" s="33"/>
      <c r="O16" s="33"/>
      <c r="P16" s="33"/>
      <c r="Q16" s="33"/>
      <c r="R16" s="33"/>
      <c r="S16" s="3"/>
    </row>
    <row r="17" spans="1:19" s="4" customFormat="1">
      <c r="A17" s="2"/>
      <c r="B17" s="13">
        <f t="shared" si="0"/>
        <v>2005</v>
      </c>
      <c r="C17" s="14">
        <f t="shared" ref="C17:C34" si="1">ROUND(C16*1.03,0)</f>
        <v>106090</v>
      </c>
      <c r="D17" s="15">
        <v>2.3599999999999999E-2</v>
      </c>
      <c r="E17" s="2"/>
      <c r="F17" s="2"/>
      <c r="G17" s="2"/>
      <c r="H17" s="3"/>
      <c r="I17" s="33"/>
      <c r="J17" s="33"/>
      <c r="K17" s="33"/>
      <c r="L17" s="33"/>
      <c r="M17" s="33"/>
      <c r="N17" s="33"/>
      <c r="O17" s="33"/>
      <c r="P17" s="33"/>
      <c r="Q17" s="33"/>
      <c r="R17" s="33"/>
      <c r="S17" s="3"/>
    </row>
    <row r="18" spans="1:19" s="4" customFormat="1">
      <c r="A18" s="2"/>
      <c r="B18" s="13">
        <f t="shared" si="0"/>
        <v>2006</v>
      </c>
      <c r="C18" s="14">
        <f t="shared" si="1"/>
        <v>109273</v>
      </c>
      <c r="D18" s="15">
        <v>-2.93E-2</v>
      </c>
      <c r="E18" s="2"/>
      <c r="F18" s="2"/>
      <c r="G18" s="2"/>
      <c r="H18" s="3"/>
      <c r="I18" s="33"/>
      <c r="J18" s="33"/>
      <c r="K18" s="33"/>
      <c r="L18" s="33"/>
      <c r="M18" s="33"/>
      <c r="N18" s="33"/>
      <c r="O18" s="33"/>
      <c r="P18" s="33"/>
      <c r="Q18" s="33"/>
      <c r="R18" s="33"/>
      <c r="S18" s="3"/>
    </row>
    <row r="19" spans="1:19" s="4" customFormat="1">
      <c r="A19" s="2"/>
      <c r="B19" s="13">
        <f t="shared" si="0"/>
        <v>2007</v>
      </c>
      <c r="C19" s="14">
        <f t="shared" si="1"/>
        <v>112551</v>
      </c>
      <c r="D19" s="15">
        <v>4.2000000000000003E-2</v>
      </c>
      <c r="E19" s="2"/>
      <c r="F19" s="2"/>
      <c r="G19" s="2"/>
      <c r="H19" s="3"/>
      <c r="I19" s="33"/>
      <c r="J19" s="33"/>
      <c r="K19" s="33"/>
      <c r="L19" s="33"/>
      <c r="M19" s="33"/>
      <c r="N19" s="33"/>
      <c r="O19" s="33"/>
      <c r="P19" s="33"/>
      <c r="Q19" s="33"/>
      <c r="R19" s="33"/>
      <c r="S19" s="3"/>
    </row>
    <row r="20" spans="1:19" s="4" customFormat="1">
      <c r="A20" s="2"/>
      <c r="B20" s="13">
        <f t="shared" si="0"/>
        <v>2008</v>
      </c>
      <c r="C20" s="14">
        <f t="shared" si="1"/>
        <v>115928</v>
      </c>
      <c r="D20" s="15">
        <v>6.4000000000000003E-3</v>
      </c>
      <c r="E20" s="2"/>
      <c r="F20" s="2"/>
      <c r="G20" s="2"/>
      <c r="H20" s="3"/>
      <c r="I20" s="33"/>
      <c r="J20" s="33"/>
      <c r="K20" s="33"/>
      <c r="L20" s="33"/>
      <c r="M20" s="33"/>
      <c r="N20" s="33"/>
      <c r="O20" s="33"/>
      <c r="P20" s="33"/>
      <c r="Q20" s="33"/>
      <c r="R20" s="33"/>
      <c r="S20" s="3"/>
    </row>
    <row r="21" spans="1:19" s="4" customFormat="1">
      <c r="A21" s="2"/>
      <c r="B21" s="13">
        <f t="shared" si="0"/>
        <v>2009</v>
      </c>
      <c r="C21" s="14">
        <f t="shared" si="1"/>
        <v>119406</v>
      </c>
      <c r="D21" s="15">
        <v>4.7600000000000003E-2</v>
      </c>
      <c r="E21" s="2"/>
      <c r="F21" s="2"/>
      <c r="G21" s="2"/>
      <c r="H21" s="3"/>
      <c r="I21" s="33"/>
      <c r="J21" s="33"/>
      <c r="K21" s="33"/>
      <c r="L21" s="33"/>
      <c r="M21" s="33"/>
      <c r="N21" s="33"/>
      <c r="O21" s="33"/>
      <c r="P21" s="33"/>
      <c r="Q21" s="33"/>
      <c r="R21" s="33"/>
      <c r="S21" s="3"/>
    </row>
    <row r="22" spans="1:19" s="4" customFormat="1">
      <c r="A22" s="2"/>
      <c r="B22" s="13">
        <f t="shared" si="0"/>
        <v>2010</v>
      </c>
      <c r="C22" s="14">
        <f t="shared" si="1"/>
        <v>122988</v>
      </c>
      <c r="D22" s="15">
        <v>3.6400000000000002E-2</v>
      </c>
      <c r="E22" s="2"/>
      <c r="F22" s="2"/>
      <c r="G22" s="2"/>
      <c r="H22" s="3"/>
      <c r="I22" s="33"/>
      <c r="J22" s="33"/>
      <c r="K22" s="33"/>
      <c r="L22" s="33"/>
      <c r="M22" s="33"/>
      <c r="N22" s="33"/>
      <c r="O22" s="33"/>
      <c r="P22" s="33"/>
      <c r="Q22" s="33"/>
      <c r="R22" s="33"/>
      <c r="S22" s="3"/>
    </row>
    <row r="23" spans="1:19" s="4" customFormat="1">
      <c r="A23" s="2"/>
      <c r="B23" s="13">
        <f t="shared" si="0"/>
        <v>2011</v>
      </c>
      <c r="C23" s="14">
        <f t="shared" si="1"/>
        <v>126678</v>
      </c>
      <c r="D23" s="15">
        <v>4.02E-2</v>
      </c>
      <c r="E23" s="2"/>
      <c r="F23" s="2"/>
      <c r="G23" s="2"/>
      <c r="H23" s="3"/>
      <c r="I23" s="33"/>
      <c r="J23" s="33"/>
      <c r="K23" s="33"/>
      <c r="L23" s="33"/>
      <c r="M23" s="33"/>
      <c r="N23" s="33"/>
      <c r="O23" s="33"/>
      <c r="P23" s="33"/>
      <c r="Q23" s="33"/>
      <c r="R23" s="33"/>
      <c r="S23" s="3"/>
    </row>
    <row r="24" spans="1:19" s="4" customFormat="1">
      <c r="A24" s="2"/>
      <c r="B24" s="13">
        <f t="shared" si="0"/>
        <v>2012</v>
      </c>
      <c r="C24" s="14">
        <f t="shared" si="1"/>
        <v>130478</v>
      </c>
      <c r="D24" s="15">
        <v>2.6200000000000001E-2</v>
      </c>
      <c r="E24" s="2"/>
      <c r="F24" s="2"/>
      <c r="G24" s="2"/>
      <c r="H24" s="3"/>
      <c r="I24" s="33"/>
      <c r="J24" s="33"/>
      <c r="K24" s="33"/>
      <c r="L24" s="33"/>
      <c r="M24" s="33"/>
      <c r="N24" s="33"/>
      <c r="O24" s="33"/>
      <c r="P24" s="33"/>
      <c r="Q24" s="33"/>
      <c r="R24" s="33"/>
      <c r="S24" s="3"/>
    </row>
    <row r="25" spans="1:19" s="4" customFormat="1">
      <c r="A25" s="2"/>
      <c r="B25" s="13">
        <f t="shared" si="0"/>
        <v>2013</v>
      </c>
      <c r="C25" s="14">
        <f t="shared" si="1"/>
        <v>134392</v>
      </c>
      <c r="D25" s="15">
        <v>5.5199999999999999E-2</v>
      </c>
      <c r="E25" s="2"/>
      <c r="F25" s="2"/>
      <c r="G25" s="2"/>
      <c r="H25" s="3"/>
      <c r="I25" s="33"/>
      <c r="J25" s="33"/>
      <c r="K25" s="33"/>
      <c r="L25" s="33"/>
      <c r="M25" s="33"/>
      <c r="N25" s="33"/>
      <c r="O25" s="33"/>
      <c r="P25" s="33"/>
      <c r="Q25" s="33"/>
      <c r="R25" s="33"/>
      <c r="S25" s="3"/>
    </row>
    <row r="26" spans="1:19" s="4" customFormat="1">
      <c r="A26" s="2"/>
      <c r="B26" s="13">
        <f t="shared" si="0"/>
        <v>2014</v>
      </c>
      <c r="C26" s="14">
        <f t="shared" si="1"/>
        <v>138424</v>
      </c>
      <c r="D26" s="15">
        <v>4.2200000000000001E-2</v>
      </c>
      <c r="E26" s="2"/>
      <c r="F26" s="2"/>
      <c r="G26" s="2"/>
      <c r="H26" s="3"/>
      <c r="I26" s="33"/>
      <c r="J26" s="33"/>
      <c r="K26" s="33"/>
      <c r="L26" s="33"/>
      <c r="M26" s="33"/>
      <c r="N26" s="33"/>
      <c r="O26" s="33"/>
      <c r="P26" s="33"/>
      <c r="Q26" s="33"/>
      <c r="R26" s="33"/>
      <c r="S26" s="3"/>
    </row>
    <row r="27" spans="1:19" s="4" customFormat="1">
      <c r="A27" s="2"/>
      <c r="B27" s="13">
        <f t="shared" si="0"/>
        <v>2015</v>
      </c>
      <c r="C27" s="14">
        <f t="shared" si="1"/>
        <v>142577</v>
      </c>
      <c r="D27" s="15">
        <v>3.85E-2</v>
      </c>
      <c r="E27" s="2"/>
      <c r="F27" s="2"/>
      <c r="G27" s="2"/>
      <c r="H27" s="3"/>
      <c r="I27" s="33"/>
      <c r="J27" s="33"/>
      <c r="K27" s="33"/>
      <c r="L27" s="33"/>
      <c r="M27" s="33"/>
      <c r="N27" s="33"/>
      <c r="O27" s="33"/>
      <c r="P27" s="33"/>
      <c r="Q27" s="33"/>
      <c r="R27" s="33"/>
      <c r="S27" s="3"/>
    </row>
    <row r="28" spans="1:19" s="4" customFormat="1">
      <c r="A28" s="2"/>
      <c r="B28" s="13">
        <f t="shared" si="0"/>
        <v>2016</v>
      </c>
      <c r="C28" s="14">
        <f t="shared" si="1"/>
        <v>146854</v>
      </c>
      <c r="D28" s="15">
        <v>6.4000000000000003E-3</v>
      </c>
      <c r="E28" s="2"/>
      <c r="F28" s="2"/>
      <c r="G28" s="2"/>
      <c r="H28" s="3"/>
      <c r="I28" s="33"/>
      <c r="J28" s="33"/>
      <c r="K28" s="33"/>
      <c r="L28" s="33"/>
      <c r="M28" s="33"/>
      <c r="N28" s="33"/>
      <c r="O28" s="33"/>
      <c r="P28" s="33"/>
      <c r="Q28" s="33"/>
      <c r="R28" s="33"/>
      <c r="S28" s="3"/>
    </row>
    <row r="29" spans="1:19" s="4" customFormat="1">
      <c r="A29" s="2"/>
      <c r="B29" s="13">
        <f t="shared" si="0"/>
        <v>2017</v>
      </c>
      <c r="C29" s="14">
        <f t="shared" si="1"/>
        <v>151260</v>
      </c>
      <c r="D29" s="15">
        <v>-2.6800000000000001E-2</v>
      </c>
      <c r="E29" s="2"/>
      <c r="F29" s="2"/>
      <c r="G29" s="2"/>
      <c r="H29" s="3"/>
      <c r="I29" s="33"/>
      <c r="J29" s="33"/>
      <c r="K29" s="33"/>
      <c r="L29" s="33"/>
      <c r="M29" s="33"/>
      <c r="N29" s="33"/>
      <c r="O29" s="33"/>
      <c r="P29" s="33"/>
      <c r="Q29" s="33"/>
      <c r="R29" s="33"/>
      <c r="S29" s="3"/>
    </row>
    <row r="30" spans="1:19" s="4" customFormat="1">
      <c r="A30" s="2"/>
      <c r="B30" s="13">
        <f t="shared" si="0"/>
        <v>2018</v>
      </c>
      <c r="C30" s="14">
        <f t="shared" si="1"/>
        <v>155798</v>
      </c>
      <c r="D30" s="15">
        <v>3.5099999999999999E-2</v>
      </c>
      <c r="E30" s="2"/>
      <c r="F30" s="2"/>
      <c r="G30" s="2"/>
      <c r="H30" s="3"/>
      <c r="I30" s="33"/>
      <c r="J30" s="33"/>
      <c r="K30" s="33"/>
      <c r="L30" s="33"/>
      <c r="M30" s="33"/>
      <c r="N30" s="33"/>
      <c r="O30" s="33"/>
      <c r="P30" s="33"/>
      <c r="Q30" s="33"/>
      <c r="R30" s="33"/>
      <c r="S30" s="3"/>
    </row>
    <row r="31" spans="1:19" s="4" customFormat="1">
      <c r="A31" s="2"/>
      <c r="B31" s="13">
        <f t="shared" si="0"/>
        <v>2019</v>
      </c>
      <c r="C31" s="14">
        <f t="shared" si="1"/>
        <v>160472</v>
      </c>
      <c r="D31" s="15">
        <v>-2.18E-2</v>
      </c>
      <c r="E31" s="2"/>
      <c r="F31" s="2"/>
      <c r="G31" s="2"/>
      <c r="H31" s="3"/>
      <c r="I31" s="33"/>
      <c r="J31" s="33"/>
      <c r="K31" s="33"/>
      <c r="L31" s="33"/>
      <c r="M31" s="33"/>
      <c r="N31" s="33"/>
      <c r="O31" s="33"/>
      <c r="P31" s="33"/>
      <c r="Q31" s="33"/>
      <c r="R31" s="33"/>
      <c r="S31" s="3"/>
    </row>
    <row r="32" spans="1:19" s="4" customFormat="1">
      <c r="A32" s="2"/>
      <c r="B32" s="13">
        <f t="shared" si="0"/>
        <v>2020</v>
      </c>
      <c r="C32" s="14">
        <f t="shared" si="1"/>
        <v>165286</v>
      </c>
      <c r="D32" s="15">
        <v>4.8599999999999997E-2</v>
      </c>
      <c r="E32" s="2"/>
      <c r="F32" s="2"/>
      <c r="G32" s="2"/>
      <c r="H32" s="3"/>
      <c r="I32" s="33"/>
      <c r="J32" s="33"/>
      <c r="K32" s="33"/>
      <c r="L32" s="33"/>
      <c r="M32" s="33"/>
      <c r="N32" s="33"/>
      <c r="O32" s="33"/>
      <c r="P32" s="33"/>
      <c r="Q32" s="33"/>
      <c r="R32" s="33"/>
      <c r="S32" s="3"/>
    </row>
    <row r="33" spans="1:19" s="4" customFormat="1">
      <c r="A33" s="2"/>
      <c r="B33" s="13">
        <f>+B34-1</f>
        <v>2021</v>
      </c>
      <c r="C33" s="14">
        <f t="shared" si="1"/>
        <v>170245</v>
      </c>
      <c r="D33" s="15">
        <v>-5.1000000000000004E-3</v>
      </c>
      <c r="E33" s="2"/>
      <c r="F33" s="2"/>
      <c r="G33" s="2"/>
      <c r="H33" s="3"/>
      <c r="I33" s="33"/>
      <c r="J33" s="33"/>
      <c r="K33" s="33"/>
      <c r="L33" s="33"/>
      <c r="M33" s="33"/>
      <c r="N33" s="33"/>
      <c r="O33" s="33"/>
      <c r="P33" s="33"/>
      <c r="Q33" s="33"/>
      <c r="R33" s="33"/>
      <c r="S33" s="3"/>
    </row>
    <row r="34" spans="1:19" s="4" customFormat="1">
      <c r="A34" s="2"/>
      <c r="B34" s="13">
        <v>2022</v>
      </c>
      <c r="C34" s="14">
        <f t="shared" si="1"/>
        <v>175352</v>
      </c>
      <c r="D34" s="15">
        <v>-2.92E-2</v>
      </c>
      <c r="E34" s="2"/>
      <c r="F34" s="2"/>
      <c r="G34" s="2"/>
      <c r="H34" s="3"/>
      <c r="I34" s="33"/>
      <c r="J34" s="33"/>
      <c r="K34" s="35"/>
      <c r="L34" s="33"/>
      <c r="M34" s="33"/>
      <c r="N34" s="33"/>
      <c r="O34" s="33"/>
      <c r="P34" s="33"/>
      <c r="Q34" s="33"/>
      <c r="R34" s="33"/>
      <c r="S34" s="3"/>
    </row>
    <row r="35" spans="1:19" s="4" customFormat="1" ht="15.6" customHeight="1">
      <c r="A35" s="2"/>
      <c r="B35" s="7"/>
      <c r="C35" s="23"/>
      <c r="D35" s="2"/>
      <c r="E35" s="2"/>
      <c r="F35" s="2"/>
      <c r="G35" s="2"/>
      <c r="H35" s="3"/>
      <c r="I35" s="33"/>
      <c r="J35" s="33"/>
      <c r="K35" s="33"/>
      <c r="L35" s="33"/>
      <c r="M35" s="33"/>
      <c r="N35" s="33"/>
      <c r="O35" s="33"/>
      <c r="P35" s="33"/>
      <c r="Q35" s="33"/>
      <c r="R35" s="33"/>
      <c r="S35" s="3"/>
    </row>
    <row r="36" spans="1:19" s="4" customFormat="1" ht="15.6" customHeight="1">
      <c r="A36" s="2" t="s">
        <v>6</v>
      </c>
      <c r="B36" s="1461" t="s">
        <v>22</v>
      </c>
      <c r="C36" s="1462"/>
      <c r="D36" s="1462"/>
      <c r="E36" s="1462"/>
      <c r="F36" s="1462"/>
      <c r="G36" s="1462"/>
      <c r="H36" s="3"/>
      <c r="I36" s="33"/>
      <c r="J36" s="33"/>
      <c r="K36" s="33"/>
      <c r="L36" s="33"/>
      <c r="M36" s="33"/>
      <c r="N36" s="33"/>
      <c r="O36" s="33"/>
      <c r="P36" s="33"/>
      <c r="Q36" s="33"/>
      <c r="R36" s="33"/>
      <c r="S36" s="3"/>
    </row>
    <row r="37" spans="1:19" s="4" customFormat="1" ht="15.6" customHeight="1">
      <c r="A37" s="2"/>
      <c r="B37" s="1462"/>
      <c r="C37" s="1462"/>
      <c r="D37" s="1462"/>
      <c r="E37" s="1462"/>
      <c r="F37" s="1462"/>
      <c r="G37" s="1462"/>
      <c r="H37" s="3"/>
      <c r="I37" s="33"/>
      <c r="J37" s="33"/>
      <c r="K37" s="33"/>
      <c r="L37" s="33"/>
      <c r="M37" s="33"/>
      <c r="N37" s="33"/>
      <c r="O37" s="33"/>
      <c r="P37" s="33"/>
      <c r="Q37" s="33"/>
      <c r="R37" s="33"/>
      <c r="S37" s="3"/>
    </row>
    <row r="38" spans="1:19" s="4" customFormat="1" ht="15.6" customHeight="1">
      <c r="A38" s="2"/>
      <c r="B38" s="1462" t="s">
        <v>23</v>
      </c>
      <c r="C38" s="1462"/>
      <c r="D38" s="1462"/>
      <c r="E38" s="1462"/>
      <c r="F38" s="1462"/>
      <c r="G38" s="5"/>
      <c r="H38" s="3"/>
      <c r="I38" s="33"/>
      <c r="J38" s="33"/>
      <c r="K38" s="33"/>
      <c r="L38" s="33"/>
      <c r="M38" s="33"/>
      <c r="N38" s="33"/>
      <c r="O38" s="33"/>
      <c r="P38" s="33"/>
      <c r="Q38" s="33"/>
      <c r="R38" s="33"/>
      <c r="S38" s="3"/>
    </row>
    <row r="39" spans="1:19" s="4" customFormat="1" ht="15.6" customHeight="1">
      <c r="A39" s="2"/>
      <c r="B39" s="5"/>
      <c r="C39" s="5"/>
      <c r="D39" s="5"/>
      <c r="E39" s="5"/>
      <c r="F39" s="5"/>
      <c r="G39" s="5"/>
      <c r="H39" s="3"/>
      <c r="I39" s="33"/>
      <c r="J39" s="33"/>
      <c r="K39" s="33"/>
      <c r="L39" s="33"/>
      <c r="M39" s="33"/>
      <c r="N39" s="33"/>
      <c r="O39" s="33"/>
      <c r="P39" s="33"/>
      <c r="Q39" s="33"/>
      <c r="R39" s="33"/>
      <c r="S39" s="3"/>
    </row>
    <row r="40" spans="1:19" s="4" customFormat="1" ht="15.6" customHeight="1">
      <c r="A40" s="2"/>
      <c r="B40" s="1462" t="s">
        <v>25</v>
      </c>
      <c r="C40" s="1462"/>
      <c r="D40" s="1462"/>
      <c r="E40" s="1462"/>
      <c r="F40" s="1462"/>
      <c r="G40" s="5"/>
      <c r="H40" s="3"/>
      <c r="I40" s="33"/>
      <c r="J40" s="33"/>
      <c r="K40" s="33"/>
      <c r="L40" s="33"/>
      <c r="M40" s="33"/>
      <c r="N40" s="33"/>
      <c r="O40" s="33"/>
      <c r="P40" s="33"/>
      <c r="Q40" s="33"/>
      <c r="R40" s="33"/>
      <c r="S40" s="3"/>
    </row>
    <row r="41" spans="1:19" s="4" customFormat="1" ht="15.6" customHeight="1">
      <c r="A41" s="2"/>
      <c r="B41" s="5"/>
      <c r="C41" s="5"/>
      <c r="D41" s="5"/>
      <c r="E41" s="5"/>
      <c r="F41" s="5"/>
      <c r="G41" s="5"/>
      <c r="H41" s="3"/>
      <c r="I41" s="33"/>
      <c r="J41" s="33"/>
      <c r="K41" s="35"/>
      <c r="L41" s="33"/>
      <c r="M41" s="33"/>
      <c r="N41" s="33"/>
      <c r="O41" s="33"/>
      <c r="P41" s="33"/>
      <c r="Q41" s="33"/>
      <c r="R41" s="33"/>
      <c r="S41" s="3"/>
    </row>
    <row r="42" spans="1:19">
      <c r="B42" s="28" t="s">
        <v>29</v>
      </c>
      <c r="K42" s="35"/>
    </row>
    <row r="43" spans="1:19">
      <c r="B43" s="28"/>
    </row>
    <row r="44" spans="1:19" ht="16.2">
      <c r="B44" s="29" t="s">
        <v>32</v>
      </c>
      <c r="K44" s="34"/>
    </row>
    <row r="45" spans="1:19">
      <c r="J45" s="35"/>
    </row>
    <row r="46" spans="1:19">
      <c r="J46" s="34"/>
    </row>
    <row r="47" spans="1:19">
      <c r="J47" s="34"/>
    </row>
    <row r="48" spans="1:19">
      <c r="J48" s="34"/>
    </row>
    <row r="52" spans="10:12">
      <c r="J52" s="35"/>
    </row>
    <row r="55" spans="10:12">
      <c r="J55" s="36"/>
    </row>
    <row r="56" spans="10:12">
      <c r="J56" s="36"/>
    </row>
    <row r="57" spans="10:12">
      <c r="J57" s="35"/>
      <c r="L57" s="37"/>
    </row>
    <row r="58" spans="10:12">
      <c r="J58" s="35"/>
    </row>
    <row r="59" spans="10:12">
      <c r="J59" s="35"/>
    </row>
    <row r="60" spans="10:12">
      <c r="J60" s="36"/>
    </row>
    <row r="61" spans="10:12">
      <c r="J61" s="35"/>
    </row>
    <row r="62" spans="10:12">
      <c r="J62" s="35"/>
    </row>
    <row r="63" spans="10:12">
      <c r="J63" s="35"/>
    </row>
    <row r="64" spans="10:12">
      <c r="J64" s="36"/>
    </row>
    <row r="65" spans="10:12">
      <c r="J65" s="35"/>
    </row>
    <row r="66" spans="10:12">
      <c r="J66" s="35"/>
    </row>
    <row r="67" spans="10:12">
      <c r="J67" s="36"/>
    </row>
    <row r="68" spans="10:12">
      <c r="J68" s="36"/>
    </row>
    <row r="69" spans="10:12">
      <c r="J69" s="36"/>
    </row>
    <row r="77" spans="10:12">
      <c r="L77" s="35"/>
    </row>
    <row r="79" spans="10:12">
      <c r="L79" s="35"/>
    </row>
    <row r="80" spans="10:12">
      <c r="L80" s="35"/>
    </row>
    <row r="83" spans="11:14">
      <c r="L83" s="38"/>
    </row>
    <row r="84" spans="11:14">
      <c r="L84" s="35"/>
    </row>
    <row r="86" spans="11:14">
      <c r="L86" s="37"/>
    </row>
    <row r="87" spans="11:14">
      <c r="L87" s="39"/>
    </row>
    <row r="88" spans="11:14">
      <c r="K88" s="35"/>
    </row>
    <row r="89" spans="11:14">
      <c r="K89" s="35"/>
    </row>
    <row r="91" spans="11:14">
      <c r="K91" s="40"/>
      <c r="L91" s="41"/>
      <c r="N91" s="41"/>
    </row>
    <row r="92" spans="11:14">
      <c r="K92" s="37"/>
      <c r="L92" s="37"/>
      <c r="M92" s="38"/>
      <c r="N92" s="37"/>
    </row>
    <row r="93" spans="11:14">
      <c r="K93" s="37"/>
      <c r="L93" s="37"/>
      <c r="M93" s="38"/>
      <c r="N93" s="37"/>
    </row>
    <row r="94" spans="11:14">
      <c r="K94" s="37"/>
      <c r="L94" s="37"/>
      <c r="M94" s="38"/>
      <c r="N94" s="37"/>
    </row>
    <row r="95" spans="11:14">
      <c r="K95" s="42"/>
      <c r="L95" s="42"/>
      <c r="M95" s="42"/>
      <c r="N95" s="42"/>
    </row>
    <row r="100" spans="10:14">
      <c r="J100" s="43"/>
    </row>
    <row r="102" spans="10:14">
      <c r="J102" s="34"/>
    </row>
    <row r="103" spans="10:14">
      <c r="J103" s="34"/>
    </row>
    <row r="104" spans="10:14">
      <c r="J104" s="34"/>
    </row>
    <row r="105" spans="10:14">
      <c r="J105" s="34"/>
    </row>
    <row r="106" spans="10:14">
      <c r="K106" s="44"/>
    </row>
    <row r="109" spans="10:14">
      <c r="J109" s="38"/>
      <c r="L109" s="45"/>
      <c r="M109" s="45"/>
      <c r="N109" s="46"/>
    </row>
    <row r="110" spans="10:14">
      <c r="L110" s="34"/>
      <c r="M110" s="47"/>
      <c r="N110" s="34"/>
    </row>
    <row r="111" spans="10:14">
      <c r="L111" s="34"/>
      <c r="M111" s="47"/>
      <c r="N111" s="34"/>
    </row>
    <row r="112" spans="10:14">
      <c r="L112" s="48"/>
      <c r="M112" s="49"/>
      <c r="N112" s="34"/>
    </row>
    <row r="113" spans="9:14">
      <c r="L113" s="34"/>
      <c r="M113" s="34"/>
      <c r="N113" s="34"/>
    </row>
    <row r="114" spans="9:14">
      <c r="I114" s="50"/>
    </row>
  </sheetData>
  <sheetProtection algorithmName="SHA-512" hashValue="sYu4fCAh2ln1Ze2nRmNYu5XlTvUh8oaz1NkpaOwmVFqcgdFuZq26OMIZYMoDjJGR1aFnS8dMYsT4w9Bz876nGA==" saltValue="Pt1Qq62iZ3IxZ1m3+0TJDA==" spinCount="100000" sheet="1" objects="1" scenarios="1"/>
  <mergeCells count="9">
    <mergeCell ref="B36:G37"/>
    <mergeCell ref="B38:F38"/>
    <mergeCell ref="B40:F40"/>
    <mergeCell ref="A5:G5"/>
    <mergeCell ref="B7:F7"/>
    <mergeCell ref="B8:F8"/>
    <mergeCell ref="B9:F9"/>
    <mergeCell ref="B10:F10"/>
    <mergeCell ref="B11:F1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73CD1-8E5C-4676-BD06-D64D60E6962B}">
  <dimension ref="A1:S114"/>
  <sheetViews>
    <sheetView zoomScale="58" zoomScaleNormal="70" workbookViewId="0">
      <selection activeCell="L20" sqref="L20"/>
    </sheetView>
  </sheetViews>
  <sheetFormatPr defaultColWidth="8.6640625" defaultRowHeight="15.6"/>
  <cols>
    <col min="1" max="1" width="3.6640625" style="2" customWidth="1"/>
    <col min="2" max="4" width="23.33203125" style="2" customWidth="1"/>
    <col min="5" max="5" width="0.109375" style="2" customWidth="1"/>
    <col min="6" max="6" width="28.33203125" style="2" customWidth="1"/>
    <col min="7" max="7" width="9.44140625" style="2" customWidth="1"/>
    <col min="8" max="8" width="1" style="3" customWidth="1"/>
    <col min="9" max="9" width="23" style="33" customWidth="1"/>
    <col min="10" max="10" width="12" style="33" customWidth="1"/>
    <col min="11" max="11" width="17.33203125" style="33" customWidth="1"/>
    <col min="12" max="12" width="13.44140625" style="33" customWidth="1"/>
    <col min="13" max="13" width="12.5546875" style="33" bestFit="1" customWidth="1"/>
    <col min="14" max="14" width="20.6640625" style="33" customWidth="1"/>
    <col min="15" max="15" width="17.109375" style="33" customWidth="1"/>
    <col min="16" max="16" width="11" style="33" customWidth="1"/>
    <col min="17" max="17" width="22" style="33" customWidth="1"/>
    <col min="18" max="18" width="14.6640625" style="33" customWidth="1"/>
    <col min="19" max="19" width="1" style="3" customWidth="1"/>
  </cols>
  <sheetData>
    <row r="1" spans="1:19" s="4" customFormat="1">
      <c r="A1" s="1" t="s">
        <v>0</v>
      </c>
      <c r="B1" s="2"/>
      <c r="C1" s="2"/>
      <c r="D1" s="2"/>
      <c r="E1" s="2"/>
      <c r="F1" s="2"/>
      <c r="G1" s="2"/>
      <c r="H1" s="3"/>
      <c r="I1" s="1" t="str">
        <f>A1</f>
        <v>Exam RETDAU:  Fall 2022</v>
      </c>
      <c r="J1" s="2"/>
      <c r="K1" s="2"/>
      <c r="L1" s="2"/>
      <c r="M1" s="2"/>
      <c r="N1" s="2"/>
      <c r="O1" s="2"/>
      <c r="P1" s="2"/>
      <c r="Q1" s="2"/>
      <c r="R1" s="2"/>
      <c r="S1" s="3"/>
    </row>
    <row r="2" spans="1:19" s="4" customFormat="1">
      <c r="A2" s="1" t="s">
        <v>1</v>
      </c>
      <c r="B2" s="2"/>
      <c r="C2" s="2"/>
      <c r="D2" s="2"/>
      <c r="E2" s="2"/>
      <c r="F2" s="2"/>
      <c r="G2" s="2"/>
      <c r="H2" s="3"/>
      <c r="I2" s="1" t="str">
        <f>A2</f>
        <v>Design and Accounting Exam – U.S.</v>
      </c>
      <c r="J2" s="2"/>
      <c r="K2" s="2"/>
      <c r="L2" s="2"/>
      <c r="M2" s="2"/>
      <c r="N2" s="2"/>
      <c r="O2" s="2"/>
      <c r="P2" s="2"/>
      <c r="Q2" s="2"/>
      <c r="R2" s="2"/>
      <c r="S2" s="3"/>
    </row>
    <row r="3" spans="1:19" s="4" customFormat="1">
      <c r="A3" s="1" t="s">
        <v>2</v>
      </c>
      <c r="B3" s="2"/>
      <c r="C3" s="2"/>
      <c r="D3" s="2"/>
      <c r="E3" s="2"/>
      <c r="F3" s="2"/>
      <c r="G3" s="2"/>
      <c r="H3" s="3"/>
      <c r="I3" s="1" t="str">
        <f>A3</f>
        <v>Question 11</v>
      </c>
      <c r="J3" s="2"/>
      <c r="K3" s="2"/>
      <c r="L3" s="2"/>
      <c r="M3" s="2"/>
      <c r="N3" s="2"/>
      <c r="O3" s="2"/>
      <c r="P3" s="2"/>
      <c r="Q3" s="2"/>
      <c r="R3" s="2"/>
      <c r="S3" s="3"/>
    </row>
    <row r="4" spans="1:19" s="4" customFormat="1">
      <c r="A4" s="2"/>
      <c r="B4" s="2"/>
      <c r="C4" s="2"/>
      <c r="D4" s="2"/>
      <c r="E4" s="2"/>
      <c r="F4" s="2"/>
      <c r="G4" s="2"/>
      <c r="H4" s="3"/>
      <c r="I4" s="2"/>
      <c r="J4" s="2"/>
      <c r="K4" s="2"/>
      <c r="L4" s="2"/>
      <c r="M4" s="2"/>
      <c r="N4" s="2"/>
      <c r="O4" s="2"/>
      <c r="P4" s="2"/>
      <c r="Q4" s="2"/>
      <c r="R4" s="2"/>
      <c r="S4" s="3"/>
    </row>
    <row r="5" spans="1:19" s="4" customFormat="1" ht="16.2" customHeight="1">
      <c r="A5" s="1462" t="s">
        <v>3</v>
      </c>
      <c r="B5" s="1462"/>
      <c r="C5" s="1462"/>
      <c r="D5" s="1462"/>
      <c r="E5" s="1462"/>
      <c r="F5" s="1462"/>
      <c r="G5" s="1462"/>
      <c r="H5" s="3"/>
      <c r="I5" s="6" t="s">
        <v>4</v>
      </c>
      <c r="J5" s="2"/>
      <c r="K5" s="2"/>
      <c r="L5" s="2"/>
      <c r="M5" s="2"/>
      <c r="N5" s="2"/>
      <c r="O5" s="2"/>
      <c r="P5" s="2"/>
      <c r="Q5" s="2"/>
      <c r="R5" s="2"/>
      <c r="S5" s="3"/>
    </row>
    <row r="6" spans="1:19" s="4" customFormat="1" ht="15.6" customHeight="1">
      <c r="A6" s="7"/>
      <c r="B6" s="7"/>
      <c r="C6" s="7"/>
      <c r="D6" s="7"/>
      <c r="E6" s="7"/>
      <c r="F6" s="7"/>
      <c r="G6" s="7"/>
      <c r="H6" s="3"/>
      <c r="I6" s="2"/>
      <c r="J6" s="2"/>
      <c r="K6" s="2"/>
      <c r="L6" s="2"/>
      <c r="M6" s="2"/>
      <c r="N6" s="2"/>
      <c r="O6" s="2"/>
      <c r="P6" s="2"/>
      <c r="Q6" s="2"/>
      <c r="R6" s="2"/>
      <c r="S6" s="3"/>
    </row>
    <row r="7" spans="1:19" s="4" customFormat="1" ht="15.6" customHeight="1">
      <c r="A7" s="7"/>
      <c r="B7" s="1462" t="s">
        <v>5</v>
      </c>
      <c r="C7" s="1462"/>
      <c r="D7" s="1462"/>
      <c r="E7" s="1462"/>
      <c r="F7" s="1462"/>
      <c r="G7" s="7"/>
      <c r="H7" s="3"/>
      <c r="I7" s="2" t="s">
        <v>6</v>
      </c>
      <c r="J7" s="8" t="s">
        <v>7</v>
      </c>
      <c r="K7" s="9"/>
      <c r="L7" s="9"/>
      <c r="M7" s="9"/>
      <c r="N7" s="9"/>
      <c r="O7" s="9"/>
      <c r="P7" s="9"/>
      <c r="Q7" s="9"/>
      <c r="R7" s="9"/>
      <c r="S7" s="3"/>
    </row>
    <row r="8" spans="1:19" s="4" customFormat="1" ht="15.6" customHeight="1">
      <c r="A8" s="7"/>
      <c r="B8" s="1462" t="s">
        <v>8</v>
      </c>
      <c r="C8" s="1462"/>
      <c r="D8" s="1462"/>
      <c r="E8" s="1462"/>
      <c r="F8" s="1462"/>
      <c r="G8" s="7"/>
      <c r="H8" s="3"/>
      <c r="I8" s="2"/>
      <c r="J8" s="8"/>
      <c r="K8" s="9"/>
      <c r="L8" s="9"/>
      <c r="M8" s="9"/>
      <c r="N8" s="9"/>
      <c r="O8" s="9"/>
      <c r="P8" s="9"/>
      <c r="Q8" s="9"/>
      <c r="R8" s="9"/>
      <c r="S8" s="3"/>
    </row>
    <row r="9" spans="1:19" s="4" customFormat="1" ht="15.6" customHeight="1">
      <c r="A9" s="7"/>
      <c r="B9" s="1462" t="s">
        <v>9</v>
      </c>
      <c r="C9" s="1462"/>
      <c r="D9" s="1462"/>
      <c r="E9" s="1462"/>
      <c r="F9" s="1462"/>
      <c r="G9" s="7"/>
      <c r="H9" s="3"/>
      <c r="I9" s="2"/>
      <c r="J9" s="8" t="str">
        <f>B38</f>
        <v xml:space="preserve">(i)    Enhanced money-back guarantee based on a minimum annual rate of 1% </v>
      </c>
      <c r="K9" s="9"/>
      <c r="L9" s="9"/>
      <c r="M9" s="9"/>
      <c r="N9" s="9"/>
      <c r="O9" s="9"/>
      <c r="P9" s="9"/>
      <c r="Q9" s="9"/>
      <c r="R9" s="9"/>
      <c r="S9" s="3"/>
    </row>
    <row r="10" spans="1:19" s="4" customFormat="1" ht="15.6" customHeight="1">
      <c r="A10" s="2"/>
      <c r="B10" s="1462" t="s">
        <v>10</v>
      </c>
      <c r="C10" s="1462"/>
      <c r="D10" s="1462"/>
      <c r="E10" s="1462"/>
      <c r="F10" s="1462"/>
      <c r="G10" s="2"/>
      <c r="H10" s="3"/>
      <c r="I10" s="2"/>
      <c r="J10" s="5"/>
      <c r="K10" s="5"/>
      <c r="L10" s="5"/>
      <c r="M10" s="5"/>
      <c r="N10" s="5"/>
      <c r="O10" s="5"/>
      <c r="P10" s="5"/>
      <c r="Q10" s="5"/>
      <c r="R10" s="5"/>
      <c r="S10" s="3"/>
    </row>
    <row r="11" spans="1:19" s="4" customFormat="1" ht="15.6" customHeight="1">
      <c r="A11" s="2"/>
      <c r="B11" s="1462" t="s">
        <v>11</v>
      </c>
      <c r="C11" s="1462"/>
      <c r="D11" s="1462"/>
      <c r="E11" s="1462"/>
      <c r="F11" s="1462"/>
      <c r="G11" s="2"/>
      <c r="H11" s="3"/>
      <c r="I11" s="10"/>
      <c r="J11" s="8" t="str">
        <f>B40</f>
        <v>(ii)   Enhanced money-back guarantee based on a cumulative floor of 3% per year</v>
      </c>
      <c r="K11" s="10"/>
      <c r="L11" s="10"/>
      <c r="M11" s="10"/>
      <c r="N11" s="10"/>
      <c r="O11" s="10"/>
      <c r="P11" s="10"/>
      <c r="Q11" s="10"/>
      <c r="R11" s="10"/>
      <c r="S11" s="3"/>
    </row>
    <row r="12" spans="1:19" s="4" customFormat="1" ht="15.6" customHeight="1">
      <c r="A12" s="2"/>
      <c r="B12" s="1462"/>
      <c r="C12" s="1462"/>
      <c r="D12" s="1462"/>
      <c r="E12" s="1462"/>
      <c r="F12" s="1462"/>
      <c r="G12" s="2"/>
      <c r="H12" s="3"/>
      <c r="I12" s="10"/>
      <c r="J12" s="8"/>
      <c r="K12" s="10"/>
      <c r="L12" s="10"/>
      <c r="M12" s="10"/>
      <c r="N12" s="10"/>
      <c r="O12" s="10"/>
      <c r="P12" s="10"/>
      <c r="Q12" s="10"/>
      <c r="R12" s="10"/>
      <c r="S12" s="3"/>
    </row>
    <row r="13" spans="1:19" s="4" customFormat="1">
      <c r="A13" s="2"/>
      <c r="B13" s="11"/>
      <c r="C13" s="10"/>
      <c r="D13" s="2"/>
      <c r="E13" s="2"/>
      <c r="F13" s="2"/>
      <c r="G13" s="2"/>
      <c r="H13" s="3"/>
      <c r="I13" s="10"/>
      <c r="J13" s="8" t="str">
        <f>B42</f>
        <v>Show all work and justify your response.</v>
      </c>
      <c r="K13" s="10"/>
      <c r="L13" s="10"/>
      <c r="M13" s="10"/>
      <c r="N13" s="10"/>
      <c r="O13" s="10"/>
      <c r="P13" s="10"/>
      <c r="Q13" s="10"/>
      <c r="R13" s="10"/>
      <c r="S13" s="3"/>
    </row>
    <row r="14" spans="1:19" s="4" customFormat="1">
      <c r="A14" s="2"/>
      <c r="B14" s="12" t="s">
        <v>12</v>
      </c>
      <c r="C14" s="12" t="s">
        <v>13</v>
      </c>
      <c r="D14" s="12" t="s">
        <v>14</v>
      </c>
      <c r="E14" s="2"/>
      <c r="F14" s="2"/>
      <c r="G14" s="2"/>
      <c r="H14" s="3"/>
      <c r="I14" s="10"/>
      <c r="J14" s="10"/>
      <c r="K14" s="10"/>
      <c r="L14" s="10"/>
      <c r="M14" s="10"/>
      <c r="N14" s="10"/>
      <c r="O14" s="10"/>
      <c r="P14" s="10"/>
      <c r="Q14" s="10"/>
      <c r="R14" s="10"/>
      <c r="S14" s="3"/>
    </row>
    <row r="15" spans="1:19" s="4" customFormat="1">
      <c r="A15" s="2"/>
      <c r="B15" s="13">
        <f t="shared" ref="B15:B32" si="0">+B16-1</f>
        <v>2003</v>
      </c>
      <c r="C15" s="14">
        <v>100000</v>
      </c>
      <c r="D15" s="15"/>
      <c r="E15" s="2"/>
      <c r="F15" s="2"/>
      <c r="G15" s="2"/>
      <c r="H15" s="3"/>
      <c r="I15" t="s">
        <v>15</v>
      </c>
      <c r="J15" s="16">
        <v>0.05</v>
      </c>
      <c r="K15" s="17"/>
      <c r="L15" s="17"/>
      <c r="M15" s="17"/>
      <c r="N15" s="17"/>
      <c r="O15" s="17"/>
      <c r="P15"/>
      <c r="Q15"/>
      <c r="R15"/>
      <c r="S15" s="3"/>
    </row>
    <row r="16" spans="1:19" s="4" customFormat="1">
      <c r="A16" s="2"/>
      <c r="B16" s="13">
        <f t="shared" si="0"/>
        <v>2004</v>
      </c>
      <c r="C16" s="14">
        <f>ROUND(C15*1.03,0)</f>
        <v>103000</v>
      </c>
      <c r="D16" s="15">
        <v>2.0500000000000001E-2</v>
      </c>
      <c r="E16" s="2"/>
      <c r="F16" s="2"/>
      <c r="G16" s="2"/>
      <c r="H16" s="3"/>
      <c r="I16"/>
      <c r="J16"/>
      <c r="K16"/>
      <c r="L16"/>
      <c r="M16"/>
      <c r="N16"/>
      <c r="O16"/>
      <c r="P16"/>
      <c r="Q16"/>
      <c r="R16"/>
      <c r="S16" s="3"/>
    </row>
    <row r="17" spans="1:19" s="4" customFormat="1" ht="40.200000000000003">
      <c r="A17" s="2"/>
      <c r="B17" s="13">
        <f t="shared" si="0"/>
        <v>2005</v>
      </c>
      <c r="C17" s="14">
        <f t="shared" ref="C17:C34" si="1">ROUND(C16*1.03,0)</f>
        <v>106090</v>
      </c>
      <c r="D17" s="15">
        <v>2.3599999999999999E-2</v>
      </c>
      <c r="E17" s="2"/>
      <c r="F17" s="2"/>
      <c r="G17" s="2"/>
      <c r="H17" s="3"/>
      <c r="I17" s="18" t="s">
        <v>12</v>
      </c>
      <c r="J17" s="18" t="s">
        <v>13</v>
      </c>
      <c r="K17" s="18" t="s">
        <v>14</v>
      </c>
      <c r="L17" s="19" t="s">
        <v>16</v>
      </c>
      <c r="M17" s="19" t="s">
        <v>17</v>
      </c>
      <c r="N17" s="19" t="s">
        <v>18</v>
      </c>
      <c r="O17" s="19" t="s">
        <v>19</v>
      </c>
      <c r="P17" s="19" t="s">
        <v>20</v>
      </c>
      <c r="Q17" s="19" t="s">
        <v>21</v>
      </c>
      <c r="R17" s="19" t="s">
        <v>20</v>
      </c>
      <c r="S17" s="3"/>
    </row>
    <row r="18" spans="1:19" s="4" customFormat="1">
      <c r="A18" s="2"/>
      <c r="B18" s="13">
        <f t="shared" si="0"/>
        <v>2006</v>
      </c>
      <c r="C18" s="14">
        <f t="shared" si="1"/>
        <v>109273</v>
      </c>
      <c r="D18" s="15">
        <v>-2.93E-2</v>
      </c>
      <c r="E18" s="2"/>
      <c r="F18" s="2"/>
      <c r="G18" s="2"/>
      <c r="H18" s="3"/>
      <c r="I18">
        <f>B15</f>
        <v>2003</v>
      </c>
      <c r="J18" s="20">
        <f>C15</f>
        <v>100000</v>
      </c>
      <c r="K18" s="21"/>
      <c r="L18" s="22">
        <f>ROUND(J18*$J$15,2)</f>
        <v>5000</v>
      </c>
      <c r="M18" s="22">
        <v>0</v>
      </c>
      <c r="N18" s="22">
        <f>SUM(L18:M18)</f>
        <v>5000</v>
      </c>
      <c r="O18" s="22">
        <v>0</v>
      </c>
      <c r="P18" s="22">
        <f>+L18+O18</f>
        <v>5000</v>
      </c>
      <c r="Q18" s="22">
        <v>0</v>
      </c>
      <c r="R18" s="22">
        <f>+L18+Q18</f>
        <v>5000</v>
      </c>
      <c r="S18" s="3"/>
    </row>
    <row r="19" spans="1:19" s="4" customFormat="1">
      <c r="A19" s="2"/>
      <c r="B19" s="13">
        <f t="shared" si="0"/>
        <v>2007</v>
      </c>
      <c r="C19" s="14">
        <f t="shared" si="1"/>
        <v>112551</v>
      </c>
      <c r="D19" s="15">
        <v>4.2000000000000003E-2</v>
      </c>
      <c r="E19" s="2"/>
      <c r="F19" s="2"/>
      <c r="G19" s="2"/>
      <c r="H19" s="3"/>
      <c r="I19">
        <f t="shared" ref="I19:K34" si="2">B16</f>
        <v>2004</v>
      </c>
      <c r="J19" s="20">
        <f t="shared" si="2"/>
        <v>103000</v>
      </c>
      <c r="K19" s="21">
        <f t="shared" si="2"/>
        <v>2.0500000000000001E-2</v>
      </c>
      <c r="L19" s="22">
        <f t="shared" ref="L19:L37" si="3">ROUND(J19*$J$15,2)</f>
        <v>5150</v>
      </c>
      <c r="M19" s="22">
        <f>ROUND(N18*K19,2)</f>
        <v>102.5</v>
      </c>
      <c r="N19" s="22">
        <f t="shared" ref="N19:N36" si="4">N18+L19+M19</f>
        <v>10252.5</v>
      </c>
      <c r="O19" s="22">
        <f>ROUND(MAX($K19,1%)*P18,2)</f>
        <v>102.5</v>
      </c>
      <c r="P19" s="22">
        <f>P18+L19+O19</f>
        <v>10252.5</v>
      </c>
      <c r="Q19" s="22">
        <f>3%*R18</f>
        <v>150</v>
      </c>
      <c r="R19" s="22">
        <f>R18+L19+Q19</f>
        <v>10300</v>
      </c>
      <c r="S19" s="3"/>
    </row>
    <row r="20" spans="1:19" s="4" customFormat="1">
      <c r="A20" s="2"/>
      <c r="B20" s="13">
        <f t="shared" si="0"/>
        <v>2008</v>
      </c>
      <c r="C20" s="14">
        <f t="shared" si="1"/>
        <v>115928</v>
      </c>
      <c r="D20" s="15">
        <v>6.4000000000000003E-3</v>
      </c>
      <c r="E20" s="2"/>
      <c r="F20" s="2"/>
      <c r="G20" s="2"/>
      <c r="H20" s="3"/>
      <c r="I20">
        <f t="shared" si="2"/>
        <v>2005</v>
      </c>
      <c r="J20" s="20">
        <f t="shared" si="2"/>
        <v>106090</v>
      </c>
      <c r="K20" s="21">
        <f t="shared" si="2"/>
        <v>2.3599999999999999E-2</v>
      </c>
      <c r="L20" s="22">
        <f t="shared" si="3"/>
        <v>5304.5</v>
      </c>
      <c r="M20" s="22">
        <f t="shared" ref="M20:M37" si="5">ROUND(N19*K20,2)</f>
        <v>241.96</v>
      </c>
      <c r="N20" s="22">
        <f t="shared" si="4"/>
        <v>15798.96</v>
      </c>
      <c r="O20" s="22">
        <f t="shared" ref="O20:O37" si="6">ROUND(MAX($K20,1%)*P19,2)</f>
        <v>241.96</v>
      </c>
      <c r="P20" s="22">
        <f t="shared" ref="P20:P37" si="7">P19+L20+O20</f>
        <v>15798.96</v>
      </c>
      <c r="Q20" s="22">
        <f>3%*R19</f>
        <v>309</v>
      </c>
      <c r="R20" s="22">
        <f t="shared" ref="R20:R37" si="8">R19+L20+Q20</f>
        <v>15913.5</v>
      </c>
      <c r="S20" s="3"/>
    </row>
    <row r="21" spans="1:19" s="4" customFormat="1">
      <c r="A21" s="2"/>
      <c r="B21" s="13">
        <f t="shared" si="0"/>
        <v>2009</v>
      </c>
      <c r="C21" s="14">
        <f t="shared" si="1"/>
        <v>119406</v>
      </c>
      <c r="D21" s="15">
        <v>4.7600000000000003E-2</v>
      </c>
      <c r="E21" s="2"/>
      <c r="F21" s="2"/>
      <c r="G21" s="2"/>
      <c r="H21" s="3"/>
      <c r="I21">
        <f t="shared" si="2"/>
        <v>2006</v>
      </c>
      <c r="J21" s="20">
        <f t="shared" si="2"/>
        <v>109273</v>
      </c>
      <c r="K21" s="21">
        <f t="shared" si="2"/>
        <v>-2.93E-2</v>
      </c>
      <c r="L21" s="22">
        <f t="shared" si="3"/>
        <v>5463.65</v>
      </c>
      <c r="M21" s="22">
        <f t="shared" si="5"/>
        <v>-462.91</v>
      </c>
      <c r="N21" s="22">
        <f t="shared" si="4"/>
        <v>20799.7</v>
      </c>
      <c r="O21" s="22">
        <f t="shared" si="6"/>
        <v>157.99</v>
      </c>
      <c r="P21" s="22">
        <f t="shared" si="7"/>
        <v>21420.600000000002</v>
      </c>
      <c r="Q21" s="22">
        <f t="shared" ref="Q21:Q37" si="9">3%*R20</f>
        <v>477.40499999999997</v>
      </c>
      <c r="R21" s="22">
        <f t="shared" si="8"/>
        <v>21854.555</v>
      </c>
      <c r="S21" s="3"/>
    </row>
    <row r="22" spans="1:19" s="4" customFormat="1">
      <c r="A22" s="2"/>
      <c r="B22" s="13">
        <f t="shared" si="0"/>
        <v>2010</v>
      </c>
      <c r="C22" s="14">
        <f t="shared" si="1"/>
        <v>122988</v>
      </c>
      <c r="D22" s="15">
        <v>3.6400000000000002E-2</v>
      </c>
      <c r="E22" s="2"/>
      <c r="F22" s="2"/>
      <c r="G22" s="2"/>
      <c r="H22" s="3"/>
      <c r="I22">
        <f t="shared" si="2"/>
        <v>2007</v>
      </c>
      <c r="J22" s="20">
        <f t="shared" si="2"/>
        <v>112551</v>
      </c>
      <c r="K22" s="21">
        <f t="shared" si="2"/>
        <v>4.2000000000000003E-2</v>
      </c>
      <c r="L22" s="22">
        <f t="shared" si="3"/>
        <v>5627.55</v>
      </c>
      <c r="M22" s="22">
        <f t="shared" si="5"/>
        <v>873.59</v>
      </c>
      <c r="N22" s="22">
        <f t="shared" si="4"/>
        <v>27300.84</v>
      </c>
      <c r="O22" s="22">
        <f t="shared" si="6"/>
        <v>899.67</v>
      </c>
      <c r="P22" s="22">
        <f t="shared" si="7"/>
        <v>27947.82</v>
      </c>
      <c r="Q22" s="22">
        <f t="shared" si="9"/>
        <v>655.63665000000003</v>
      </c>
      <c r="R22" s="22">
        <f t="shared" si="8"/>
        <v>28137.74165</v>
      </c>
      <c r="S22" s="3"/>
    </row>
    <row r="23" spans="1:19" s="4" customFormat="1">
      <c r="A23" s="2"/>
      <c r="B23" s="13">
        <f t="shared" si="0"/>
        <v>2011</v>
      </c>
      <c r="C23" s="14">
        <f t="shared" si="1"/>
        <v>126678</v>
      </c>
      <c r="D23" s="15">
        <v>4.02E-2</v>
      </c>
      <c r="E23" s="2"/>
      <c r="F23" s="2"/>
      <c r="G23" s="2"/>
      <c r="H23" s="3"/>
      <c r="I23">
        <f t="shared" si="2"/>
        <v>2008</v>
      </c>
      <c r="J23" s="20">
        <f t="shared" si="2"/>
        <v>115928</v>
      </c>
      <c r="K23" s="21">
        <f t="shared" si="2"/>
        <v>6.4000000000000003E-3</v>
      </c>
      <c r="L23" s="22">
        <f t="shared" si="3"/>
        <v>5796.4</v>
      </c>
      <c r="M23" s="22">
        <f t="shared" si="5"/>
        <v>174.73</v>
      </c>
      <c r="N23" s="22">
        <f t="shared" si="4"/>
        <v>33271.97</v>
      </c>
      <c r="O23" s="22">
        <f t="shared" si="6"/>
        <v>279.48</v>
      </c>
      <c r="P23" s="22">
        <f t="shared" si="7"/>
        <v>34023.700000000004</v>
      </c>
      <c r="Q23" s="22">
        <f t="shared" si="9"/>
        <v>844.13224949999994</v>
      </c>
      <c r="R23" s="22">
        <f t="shared" si="8"/>
        <v>34778.273899499996</v>
      </c>
      <c r="S23" s="3"/>
    </row>
    <row r="24" spans="1:19" s="4" customFormat="1">
      <c r="A24" s="2"/>
      <c r="B24" s="13">
        <f t="shared" si="0"/>
        <v>2012</v>
      </c>
      <c r="C24" s="14">
        <f t="shared" si="1"/>
        <v>130478</v>
      </c>
      <c r="D24" s="15">
        <v>2.6200000000000001E-2</v>
      </c>
      <c r="E24" s="2"/>
      <c r="F24" s="2"/>
      <c r="G24" s="2"/>
      <c r="H24" s="3"/>
      <c r="I24">
        <f t="shared" si="2"/>
        <v>2009</v>
      </c>
      <c r="J24" s="20">
        <f t="shared" si="2"/>
        <v>119406</v>
      </c>
      <c r="K24" s="21">
        <f t="shared" si="2"/>
        <v>4.7600000000000003E-2</v>
      </c>
      <c r="L24" s="22">
        <f t="shared" si="3"/>
        <v>5970.3</v>
      </c>
      <c r="M24" s="22">
        <f t="shared" si="5"/>
        <v>1583.75</v>
      </c>
      <c r="N24" s="22">
        <f t="shared" si="4"/>
        <v>40826.020000000004</v>
      </c>
      <c r="O24" s="22">
        <f t="shared" si="6"/>
        <v>1619.53</v>
      </c>
      <c r="P24" s="22">
        <f t="shared" si="7"/>
        <v>41613.530000000006</v>
      </c>
      <c r="Q24" s="22">
        <f t="shared" si="9"/>
        <v>1043.3482169849999</v>
      </c>
      <c r="R24" s="22">
        <f t="shared" si="8"/>
        <v>41791.922116485002</v>
      </c>
      <c r="S24" s="3"/>
    </row>
    <row r="25" spans="1:19" s="4" customFormat="1">
      <c r="A25" s="2"/>
      <c r="B25" s="13">
        <f t="shared" si="0"/>
        <v>2013</v>
      </c>
      <c r="C25" s="14">
        <f t="shared" si="1"/>
        <v>134392</v>
      </c>
      <c r="D25" s="15">
        <v>5.5199999999999999E-2</v>
      </c>
      <c r="E25" s="2"/>
      <c r="F25" s="2"/>
      <c r="G25" s="2"/>
      <c r="H25" s="3"/>
      <c r="I25">
        <f t="shared" si="2"/>
        <v>2010</v>
      </c>
      <c r="J25" s="20">
        <f t="shared" si="2"/>
        <v>122988</v>
      </c>
      <c r="K25" s="21">
        <f t="shared" si="2"/>
        <v>3.6400000000000002E-2</v>
      </c>
      <c r="L25" s="22">
        <f t="shared" si="3"/>
        <v>6149.4</v>
      </c>
      <c r="M25" s="22">
        <f t="shared" si="5"/>
        <v>1486.07</v>
      </c>
      <c r="N25" s="22">
        <f t="shared" si="4"/>
        <v>48461.490000000005</v>
      </c>
      <c r="O25" s="22">
        <f t="shared" si="6"/>
        <v>1514.73</v>
      </c>
      <c r="P25" s="22">
        <f t="shared" si="7"/>
        <v>49277.660000000011</v>
      </c>
      <c r="Q25" s="22">
        <f t="shared" si="9"/>
        <v>1253.7576634945501</v>
      </c>
      <c r="R25" s="22">
        <f t="shared" si="8"/>
        <v>49195.079779979555</v>
      </c>
      <c r="S25" s="3"/>
    </row>
    <row r="26" spans="1:19" s="4" customFormat="1">
      <c r="A26" s="2"/>
      <c r="B26" s="13">
        <f t="shared" si="0"/>
        <v>2014</v>
      </c>
      <c r="C26" s="14">
        <f t="shared" si="1"/>
        <v>138424</v>
      </c>
      <c r="D26" s="15">
        <v>4.2200000000000001E-2</v>
      </c>
      <c r="E26" s="2"/>
      <c r="F26" s="2"/>
      <c r="G26" s="2"/>
      <c r="H26" s="3"/>
      <c r="I26">
        <f t="shared" si="2"/>
        <v>2011</v>
      </c>
      <c r="J26" s="20">
        <f t="shared" si="2"/>
        <v>126678</v>
      </c>
      <c r="K26" s="21">
        <f t="shared" si="2"/>
        <v>4.02E-2</v>
      </c>
      <c r="L26" s="22">
        <f t="shared" si="3"/>
        <v>6333.9</v>
      </c>
      <c r="M26" s="22">
        <f t="shared" si="5"/>
        <v>1948.15</v>
      </c>
      <c r="N26" s="22">
        <f t="shared" si="4"/>
        <v>56743.540000000008</v>
      </c>
      <c r="O26" s="22">
        <f t="shared" si="6"/>
        <v>1980.96</v>
      </c>
      <c r="P26" s="22">
        <f t="shared" si="7"/>
        <v>57592.520000000011</v>
      </c>
      <c r="Q26" s="22">
        <f t="shared" si="9"/>
        <v>1475.8523933993865</v>
      </c>
      <c r="R26" s="22">
        <f t="shared" si="8"/>
        <v>57004.832173378942</v>
      </c>
      <c r="S26" s="3"/>
    </row>
    <row r="27" spans="1:19" s="4" customFormat="1">
      <c r="A27" s="2"/>
      <c r="B27" s="13">
        <f t="shared" si="0"/>
        <v>2015</v>
      </c>
      <c r="C27" s="14">
        <f t="shared" si="1"/>
        <v>142577</v>
      </c>
      <c r="D27" s="15">
        <v>3.85E-2</v>
      </c>
      <c r="E27" s="2"/>
      <c r="F27" s="2"/>
      <c r="G27" s="2"/>
      <c r="H27" s="3"/>
      <c r="I27">
        <f t="shared" si="2"/>
        <v>2012</v>
      </c>
      <c r="J27" s="20">
        <f t="shared" si="2"/>
        <v>130478</v>
      </c>
      <c r="K27" s="21">
        <f t="shared" si="2"/>
        <v>2.6200000000000001E-2</v>
      </c>
      <c r="L27" s="22">
        <f t="shared" si="3"/>
        <v>6523.9</v>
      </c>
      <c r="M27" s="22">
        <f t="shared" si="5"/>
        <v>1486.68</v>
      </c>
      <c r="N27" s="22">
        <f t="shared" si="4"/>
        <v>64754.12000000001</v>
      </c>
      <c r="O27" s="22">
        <f t="shared" si="6"/>
        <v>1508.92</v>
      </c>
      <c r="P27" s="22">
        <f t="shared" si="7"/>
        <v>65625.340000000011</v>
      </c>
      <c r="Q27" s="22">
        <f t="shared" si="9"/>
        <v>1710.1449652013682</v>
      </c>
      <c r="R27" s="22">
        <f t="shared" si="8"/>
        <v>65238.877138580312</v>
      </c>
      <c r="S27" s="3"/>
    </row>
    <row r="28" spans="1:19" s="4" customFormat="1">
      <c r="A28" s="2"/>
      <c r="B28" s="13">
        <f t="shared" si="0"/>
        <v>2016</v>
      </c>
      <c r="C28" s="14">
        <f t="shared" si="1"/>
        <v>146854</v>
      </c>
      <c r="D28" s="15">
        <v>6.4000000000000003E-3</v>
      </c>
      <c r="E28" s="2"/>
      <c r="F28" s="2"/>
      <c r="G28" s="2"/>
      <c r="H28" s="3"/>
      <c r="I28">
        <f t="shared" si="2"/>
        <v>2013</v>
      </c>
      <c r="J28" s="20">
        <f t="shared" si="2"/>
        <v>134392</v>
      </c>
      <c r="K28" s="21">
        <f t="shared" si="2"/>
        <v>5.5199999999999999E-2</v>
      </c>
      <c r="L28" s="22">
        <f t="shared" si="3"/>
        <v>6719.6</v>
      </c>
      <c r="M28" s="22">
        <f t="shared" si="5"/>
        <v>3574.43</v>
      </c>
      <c r="N28" s="22">
        <f t="shared" si="4"/>
        <v>75048.150000000009</v>
      </c>
      <c r="O28" s="22">
        <f t="shared" si="6"/>
        <v>3622.52</v>
      </c>
      <c r="P28" s="22">
        <f t="shared" si="7"/>
        <v>75967.460000000021</v>
      </c>
      <c r="Q28" s="22">
        <f t="shared" si="9"/>
        <v>1957.1663141574093</v>
      </c>
      <c r="R28" s="22">
        <f t="shared" si="8"/>
        <v>73915.643452737728</v>
      </c>
      <c r="S28" s="3"/>
    </row>
    <row r="29" spans="1:19" s="4" customFormat="1">
      <c r="A29" s="2"/>
      <c r="B29" s="13">
        <f t="shared" si="0"/>
        <v>2017</v>
      </c>
      <c r="C29" s="14">
        <f t="shared" si="1"/>
        <v>151260</v>
      </c>
      <c r="D29" s="15">
        <v>-2.6800000000000001E-2</v>
      </c>
      <c r="E29" s="2"/>
      <c r="F29" s="2"/>
      <c r="G29" s="2"/>
      <c r="H29" s="3"/>
      <c r="I29">
        <f t="shared" si="2"/>
        <v>2014</v>
      </c>
      <c r="J29" s="20">
        <f t="shared" si="2"/>
        <v>138424</v>
      </c>
      <c r="K29" s="21">
        <f t="shared" si="2"/>
        <v>4.2200000000000001E-2</v>
      </c>
      <c r="L29" s="22">
        <f t="shared" si="3"/>
        <v>6921.2</v>
      </c>
      <c r="M29" s="22">
        <f t="shared" si="5"/>
        <v>3167.03</v>
      </c>
      <c r="N29" s="22">
        <f t="shared" si="4"/>
        <v>85136.38</v>
      </c>
      <c r="O29" s="22">
        <f t="shared" si="6"/>
        <v>3205.83</v>
      </c>
      <c r="P29" s="22">
        <f t="shared" si="7"/>
        <v>86094.49000000002</v>
      </c>
      <c r="Q29" s="22">
        <f t="shared" si="9"/>
        <v>2217.4693035821319</v>
      </c>
      <c r="R29" s="22">
        <f t="shared" si="8"/>
        <v>83054.31275631985</v>
      </c>
      <c r="S29" s="3"/>
    </row>
    <row r="30" spans="1:19" s="4" customFormat="1">
      <c r="A30" s="2"/>
      <c r="B30" s="13">
        <f t="shared" si="0"/>
        <v>2018</v>
      </c>
      <c r="C30" s="14">
        <f t="shared" si="1"/>
        <v>155798</v>
      </c>
      <c r="D30" s="15">
        <v>3.5099999999999999E-2</v>
      </c>
      <c r="E30" s="2"/>
      <c r="F30" s="2"/>
      <c r="G30" s="2"/>
      <c r="H30" s="3"/>
      <c r="I30">
        <f t="shared" si="2"/>
        <v>2015</v>
      </c>
      <c r="J30" s="20">
        <f t="shared" si="2"/>
        <v>142577</v>
      </c>
      <c r="K30" s="21">
        <f t="shared" si="2"/>
        <v>3.85E-2</v>
      </c>
      <c r="L30" s="22">
        <f t="shared" si="3"/>
        <v>7128.85</v>
      </c>
      <c r="M30" s="22">
        <f t="shared" si="5"/>
        <v>3277.75</v>
      </c>
      <c r="N30" s="22">
        <f t="shared" si="4"/>
        <v>95542.98000000001</v>
      </c>
      <c r="O30" s="22">
        <f t="shared" si="6"/>
        <v>3314.64</v>
      </c>
      <c r="P30" s="22">
        <f t="shared" si="7"/>
        <v>96537.980000000025</v>
      </c>
      <c r="Q30" s="22">
        <f t="shared" si="9"/>
        <v>2491.6293826895953</v>
      </c>
      <c r="R30" s="22">
        <f t="shared" si="8"/>
        <v>92674.792139009456</v>
      </c>
      <c r="S30" s="3"/>
    </row>
    <row r="31" spans="1:19" s="4" customFormat="1">
      <c r="A31" s="2"/>
      <c r="B31" s="13">
        <f t="shared" si="0"/>
        <v>2019</v>
      </c>
      <c r="C31" s="14">
        <f t="shared" si="1"/>
        <v>160472</v>
      </c>
      <c r="D31" s="15">
        <v>-2.18E-2</v>
      </c>
      <c r="E31" s="2"/>
      <c r="F31" s="2"/>
      <c r="G31" s="2"/>
      <c r="H31" s="3"/>
      <c r="I31">
        <f t="shared" si="2"/>
        <v>2016</v>
      </c>
      <c r="J31" s="20">
        <f t="shared" si="2"/>
        <v>146854</v>
      </c>
      <c r="K31" s="21">
        <f t="shared" si="2"/>
        <v>6.4000000000000003E-3</v>
      </c>
      <c r="L31" s="22">
        <f t="shared" si="3"/>
        <v>7342.7</v>
      </c>
      <c r="M31" s="22">
        <f t="shared" si="5"/>
        <v>611.48</v>
      </c>
      <c r="N31" s="22">
        <f t="shared" si="4"/>
        <v>103497.16</v>
      </c>
      <c r="O31" s="22">
        <f t="shared" si="6"/>
        <v>965.38</v>
      </c>
      <c r="P31" s="22">
        <f t="shared" si="7"/>
        <v>104846.06000000003</v>
      </c>
      <c r="Q31" s="22">
        <f t="shared" si="9"/>
        <v>2780.2437641702836</v>
      </c>
      <c r="R31" s="22">
        <f t="shared" si="8"/>
        <v>102797.73590317974</v>
      </c>
      <c r="S31" s="3"/>
    </row>
    <row r="32" spans="1:19" s="4" customFormat="1">
      <c r="A32" s="2"/>
      <c r="B32" s="13">
        <f t="shared" si="0"/>
        <v>2020</v>
      </c>
      <c r="C32" s="14">
        <f t="shared" si="1"/>
        <v>165286</v>
      </c>
      <c r="D32" s="15">
        <v>4.8599999999999997E-2</v>
      </c>
      <c r="E32" s="2"/>
      <c r="F32" s="2"/>
      <c r="G32" s="2"/>
      <c r="H32" s="3"/>
      <c r="I32">
        <f t="shared" si="2"/>
        <v>2017</v>
      </c>
      <c r="J32" s="20">
        <f t="shared" si="2"/>
        <v>151260</v>
      </c>
      <c r="K32" s="21">
        <f t="shared" si="2"/>
        <v>-2.6800000000000001E-2</v>
      </c>
      <c r="L32" s="22">
        <f t="shared" si="3"/>
        <v>7563</v>
      </c>
      <c r="M32" s="22">
        <f t="shared" si="5"/>
        <v>-2773.72</v>
      </c>
      <c r="N32" s="22">
        <f>N31+L32+M32</f>
        <v>108286.44</v>
      </c>
      <c r="O32" s="22">
        <f t="shared" si="6"/>
        <v>1048.46</v>
      </c>
      <c r="P32" s="22">
        <f t="shared" si="7"/>
        <v>113457.52000000003</v>
      </c>
      <c r="Q32" s="22">
        <f t="shared" si="9"/>
        <v>3083.9320770953918</v>
      </c>
      <c r="R32" s="22">
        <f t="shared" si="8"/>
        <v>113444.66798027513</v>
      </c>
      <c r="S32" s="3"/>
    </row>
    <row r="33" spans="1:19" s="4" customFormat="1">
      <c r="A33" s="2"/>
      <c r="B33" s="13">
        <f>+B34-1</f>
        <v>2021</v>
      </c>
      <c r="C33" s="14">
        <f t="shared" si="1"/>
        <v>170245</v>
      </c>
      <c r="D33" s="15">
        <v>-5.1000000000000004E-3</v>
      </c>
      <c r="E33" s="2"/>
      <c r="F33" s="2"/>
      <c r="G33" s="2"/>
      <c r="H33" s="3"/>
      <c r="I33">
        <f t="shared" si="2"/>
        <v>2018</v>
      </c>
      <c r="J33" s="20">
        <f t="shared" si="2"/>
        <v>155798</v>
      </c>
      <c r="K33" s="21">
        <f t="shared" si="2"/>
        <v>3.5099999999999999E-2</v>
      </c>
      <c r="L33" s="22">
        <f t="shared" si="3"/>
        <v>7789.9</v>
      </c>
      <c r="M33" s="22">
        <f t="shared" si="5"/>
        <v>3800.85</v>
      </c>
      <c r="N33" s="22">
        <f t="shared" si="4"/>
        <v>119877.19</v>
      </c>
      <c r="O33" s="22">
        <f t="shared" si="6"/>
        <v>3982.36</v>
      </c>
      <c r="P33" s="22">
        <f t="shared" si="7"/>
        <v>125229.78000000003</v>
      </c>
      <c r="Q33" s="22">
        <f t="shared" si="9"/>
        <v>3403.3400394082537</v>
      </c>
      <c r="R33" s="22">
        <f t="shared" si="8"/>
        <v>124637.90801968338</v>
      </c>
      <c r="S33" s="3"/>
    </row>
    <row r="34" spans="1:19" s="4" customFormat="1">
      <c r="A34" s="2"/>
      <c r="B34" s="13">
        <v>2022</v>
      </c>
      <c r="C34" s="14">
        <f t="shared" si="1"/>
        <v>175352</v>
      </c>
      <c r="D34" s="15">
        <v>-2.92E-2</v>
      </c>
      <c r="E34" s="2"/>
      <c r="F34" s="2"/>
      <c r="G34" s="2"/>
      <c r="H34" s="3"/>
      <c r="I34">
        <f t="shared" si="2"/>
        <v>2019</v>
      </c>
      <c r="J34" s="20">
        <f t="shared" si="2"/>
        <v>160472</v>
      </c>
      <c r="K34" s="21">
        <f t="shared" si="2"/>
        <v>-2.18E-2</v>
      </c>
      <c r="L34" s="22">
        <f t="shared" si="3"/>
        <v>8023.6</v>
      </c>
      <c r="M34" s="22">
        <f t="shared" si="5"/>
        <v>-2613.3200000000002</v>
      </c>
      <c r="N34" s="22">
        <f t="shared" si="4"/>
        <v>125287.47</v>
      </c>
      <c r="O34" s="22">
        <f t="shared" si="6"/>
        <v>1252.3</v>
      </c>
      <c r="P34" s="22">
        <f t="shared" si="7"/>
        <v>134505.68000000002</v>
      </c>
      <c r="Q34" s="22">
        <f t="shared" si="9"/>
        <v>3739.1372405905013</v>
      </c>
      <c r="R34" s="22">
        <f t="shared" si="8"/>
        <v>136400.64526027389</v>
      </c>
      <c r="S34" s="3"/>
    </row>
    <row r="35" spans="1:19" s="4" customFormat="1" ht="15.6" customHeight="1">
      <c r="A35" s="2"/>
      <c r="B35" s="7"/>
      <c r="C35" s="23"/>
      <c r="D35" s="2"/>
      <c r="E35" s="2"/>
      <c r="F35" s="2"/>
      <c r="G35" s="2"/>
      <c r="H35" s="3"/>
      <c r="I35">
        <f t="shared" ref="I35:K37" si="10">B32</f>
        <v>2020</v>
      </c>
      <c r="J35" s="20">
        <f t="shared" si="10"/>
        <v>165286</v>
      </c>
      <c r="K35" s="21">
        <f t="shared" si="10"/>
        <v>4.8599999999999997E-2</v>
      </c>
      <c r="L35" s="22">
        <f t="shared" si="3"/>
        <v>8264.2999999999993</v>
      </c>
      <c r="M35" s="22">
        <f t="shared" si="5"/>
        <v>6088.97</v>
      </c>
      <c r="N35" s="22">
        <f t="shared" si="4"/>
        <v>139640.74</v>
      </c>
      <c r="O35" s="22">
        <f t="shared" si="6"/>
        <v>6536.98</v>
      </c>
      <c r="P35" s="22">
        <f t="shared" si="7"/>
        <v>149306.96000000002</v>
      </c>
      <c r="Q35" s="22">
        <f t="shared" si="9"/>
        <v>4092.0193578082162</v>
      </c>
      <c r="R35" s="22">
        <f t="shared" si="8"/>
        <v>148756.9646180821</v>
      </c>
      <c r="S35" s="3"/>
    </row>
    <row r="36" spans="1:19" s="4" customFormat="1" ht="15.6" customHeight="1">
      <c r="A36" s="2" t="s">
        <v>6</v>
      </c>
      <c r="B36" s="1461" t="s">
        <v>22</v>
      </c>
      <c r="C36" s="1462"/>
      <c r="D36" s="1462"/>
      <c r="E36" s="1462"/>
      <c r="F36" s="1462"/>
      <c r="G36" s="1462"/>
      <c r="H36" s="3"/>
      <c r="I36">
        <f t="shared" si="10"/>
        <v>2021</v>
      </c>
      <c r="J36" s="20">
        <f t="shared" si="10"/>
        <v>170245</v>
      </c>
      <c r="K36" s="21">
        <f t="shared" si="10"/>
        <v>-5.1000000000000004E-3</v>
      </c>
      <c r="L36" s="22">
        <f t="shared" si="3"/>
        <v>8512.25</v>
      </c>
      <c r="M36" s="22">
        <f t="shared" si="5"/>
        <v>-712.17</v>
      </c>
      <c r="N36" s="22">
        <f t="shared" si="4"/>
        <v>147440.81999999998</v>
      </c>
      <c r="O36" s="22">
        <f t="shared" si="6"/>
        <v>1493.07</v>
      </c>
      <c r="P36" s="22">
        <f t="shared" si="7"/>
        <v>159312.28000000003</v>
      </c>
      <c r="Q36" s="22">
        <f t="shared" si="9"/>
        <v>4462.7089385424624</v>
      </c>
      <c r="R36" s="22">
        <f t="shared" si="8"/>
        <v>161731.92355662456</v>
      </c>
      <c r="S36" s="3"/>
    </row>
    <row r="37" spans="1:19" s="4" customFormat="1" ht="15.6" customHeight="1">
      <c r="A37" s="2"/>
      <c r="B37" s="1462"/>
      <c r="C37" s="1462"/>
      <c r="D37" s="1462"/>
      <c r="E37" s="1462"/>
      <c r="F37" s="1462"/>
      <c r="G37" s="1462"/>
      <c r="H37" s="3"/>
      <c r="I37">
        <f t="shared" si="10"/>
        <v>2022</v>
      </c>
      <c r="J37" s="20">
        <f t="shared" si="10"/>
        <v>175352</v>
      </c>
      <c r="K37" s="21">
        <f t="shared" si="10"/>
        <v>-2.92E-2</v>
      </c>
      <c r="L37" s="22">
        <f t="shared" si="3"/>
        <v>8767.6</v>
      </c>
      <c r="M37" s="22">
        <f t="shared" si="5"/>
        <v>-4305.2700000000004</v>
      </c>
      <c r="N37" s="22">
        <f>N36+L37+M37</f>
        <v>151903.15</v>
      </c>
      <c r="O37" s="22">
        <f t="shared" si="6"/>
        <v>1593.12</v>
      </c>
      <c r="P37" s="22">
        <f t="shared" si="7"/>
        <v>169673.00000000003</v>
      </c>
      <c r="Q37" s="22">
        <f t="shared" si="9"/>
        <v>4851.9577066987367</v>
      </c>
      <c r="R37" s="22">
        <f t="shared" si="8"/>
        <v>175351.48126332331</v>
      </c>
      <c r="S37" s="3"/>
    </row>
    <row r="38" spans="1:19" s="4" customFormat="1" ht="15.6" customHeight="1">
      <c r="A38" s="2"/>
      <c r="B38" s="1462" t="s">
        <v>23</v>
      </c>
      <c r="C38" s="1462"/>
      <c r="D38" s="1462"/>
      <c r="E38" s="1462"/>
      <c r="F38" s="1462"/>
      <c r="G38" s="5"/>
      <c r="H38" s="3"/>
      <c r="I38"/>
      <c r="J38"/>
      <c r="K38"/>
      <c r="L38" s="24"/>
      <c r="M38" s="25"/>
      <c r="N38"/>
      <c r="O38" s="25"/>
      <c r="P38" s="25"/>
      <c r="Q38" s="25"/>
      <c r="R38" s="25" t="s">
        <v>24</v>
      </c>
      <c r="S38" s="3"/>
    </row>
    <row r="39" spans="1:19" s="4" customFormat="1" ht="15.6" customHeight="1">
      <c r="A39" s="2"/>
      <c r="B39" s="5"/>
      <c r="C39" s="5"/>
      <c r="D39" s="5"/>
      <c r="E39" s="5"/>
      <c r="F39" s="5"/>
      <c r="G39" s="5"/>
      <c r="H39" s="3"/>
      <c r="I39"/>
      <c r="J39"/>
      <c r="K39"/>
      <c r="L39" s="26"/>
      <c r="M39" s="27"/>
      <c r="N39"/>
      <c r="O39"/>
      <c r="P39"/>
      <c r="Q39"/>
      <c r="R39"/>
      <c r="S39" s="3"/>
    </row>
    <row r="40" spans="1:19" s="4" customFormat="1" ht="15.6" customHeight="1">
      <c r="A40" s="2"/>
      <c r="B40" s="1462" t="s">
        <v>25</v>
      </c>
      <c r="C40" s="1462"/>
      <c r="D40" s="1462"/>
      <c r="E40" s="1462"/>
      <c r="F40" s="1462"/>
      <c r="G40" s="5"/>
      <c r="H40" s="3"/>
      <c r="I40"/>
      <c r="J40"/>
      <c r="K40"/>
      <c r="L40"/>
      <c r="M40"/>
      <c r="N40" s="24" t="s">
        <v>26</v>
      </c>
      <c r="O40"/>
      <c r="P40"/>
      <c r="Q40" s="24" t="s">
        <v>27</v>
      </c>
      <c r="R40"/>
      <c r="S40" s="3"/>
    </row>
    <row r="41" spans="1:19" s="4" customFormat="1" ht="15.6" customHeight="1">
      <c r="A41" s="2"/>
      <c r="B41" s="5"/>
      <c r="C41" s="5"/>
      <c r="D41" s="5"/>
      <c r="E41" s="5"/>
      <c r="F41" s="5"/>
      <c r="G41" s="5"/>
      <c r="H41" s="3"/>
      <c r="I41"/>
      <c r="J41"/>
      <c r="K41"/>
      <c r="L41"/>
      <c r="M41"/>
      <c r="N41" t="s">
        <v>28</v>
      </c>
      <c r="O41" s="22">
        <f>N37</f>
        <v>151903.15</v>
      </c>
      <c r="P41" s="25"/>
      <c r="Q41" t="s">
        <v>28</v>
      </c>
      <c r="R41" s="22">
        <f>N37</f>
        <v>151903.15</v>
      </c>
      <c r="S41" s="3"/>
    </row>
    <row r="42" spans="1:19">
      <c r="B42" s="28" t="s">
        <v>29</v>
      </c>
      <c r="I42"/>
      <c r="J42"/>
      <c r="K42"/>
      <c r="L42"/>
      <c r="M42"/>
      <c r="N42" t="s">
        <v>30</v>
      </c>
      <c r="O42" s="22">
        <f>P37</f>
        <v>169673.00000000003</v>
      </c>
      <c r="P42" s="25"/>
      <c r="Q42" t="s">
        <v>30</v>
      </c>
      <c r="R42" s="22">
        <f>R37</f>
        <v>175351.48126332331</v>
      </c>
    </row>
    <row r="43" spans="1:19">
      <c r="B43" s="28"/>
      <c r="I43"/>
      <c r="J43"/>
      <c r="K43"/>
      <c r="L43"/>
      <c r="M43"/>
      <c r="N43" t="s">
        <v>31</v>
      </c>
      <c r="O43" s="22">
        <f>+P37-N37</f>
        <v>17769.850000000035</v>
      </c>
      <c r="P43" s="25"/>
      <c r="Q43" t="s">
        <v>31</v>
      </c>
      <c r="R43" s="22">
        <f>+R37-N37</f>
        <v>23448.331263323314</v>
      </c>
    </row>
    <row r="44" spans="1:19" ht="16.2">
      <c r="B44" s="29" t="s">
        <v>32</v>
      </c>
      <c r="I44" s="30"/>
      <c r="J44" s="31"/>
      <c r="K44" s="30"/>
      <c r="L44" s="30"/>
      <c r="M44" s="30"/>
      <c r="N44" s="30"/>
      <c r="O44" s="30"/>
      <c r="P44" s="30"/>
      <c r="Q44" s="30"/>
      <c r="R44" s="30"/>
    </row>
    <row r="45" spans="1:19">
      <c r="I45" s="30"/>
      <c r="J45" s="32"/>
      <c r="K45" s="30"/>
      <c r="L45" s="30"/>
      <c r="M45" s="30"/>
      <c r="N45" s="30"/>
      <c r="O45" s="30"/>
      <c r="P45" s="30"/>
      <c r="Q45" s="30"/>
      <c r="R45" s="30"/>
    </row>
    <row r="46" spans="1:19">
      <c r="J46" s="34"/>
    </row>
    <row r="47" spans="1:19">
      <c r="J47" s="34"/>
    </row>
    <row r="48" spans="1:19">
      <c r="J48" s="34"/>
    </row>
    <row r="52" spans="10:12">
      <c r="J52" s="35"/>
    </row>
    <row r="55" spans="10:12">
      <c r="J55" s="36"/>
    </row>
    <row r="56" spans="10:12">
      <c r="J56" s="36"/>
    </row>
    <row r="57" spans="10:12">
      <c r="J57" s="35"/>
      <c r="L57" s="37"/>
    </row>
    <row r="58" spans="10:12">
      <c r="J58" s="35"/>
    </row>
    <row r="59" spans="10:12">
      <c r="J59" s="35"/>
    </row>
    <row r="60" spans="10:12">
      <c r="J60" s="36"/>
    </row>
    <row r="61" spans="10:12">
      <c r="J61" s="35"/>
    </row>
    <row r="62" spans="10:12">
      <c r="J62" s="35"/>
    </row>
    <row r="63" spans="10:12">
      <c r="J63" s="35"/>
    </row>
    <row r="64" spans="10:12">
      <c r="J64" s="36"/>
    </row>
    <row r="65" spans="10:12">
      <c r="J65" s="35"/>
    </row>
    <row r="66" spans="10:12">
      <c r="J66" s="35"/>
    </row>
    <row r="67" spans="10:12">
      <c r="J67" s="36"/>
    </row>
    <row r="68" spans="10:12">
      <c r="J68" s="36"/>
    </row>
    <row r="69" spans="10:12">
      <c r="J69" s="36"/>
    </row>
    <row r="77" spans="10:12">
      <c r="L77" s="35"/>
    </row>
    <row r="79" spans="10:12">
      <c r="L79" s="35"/>
    </row>
    <row r="80" spans="10:12">
      <c r="L80" s="35"/>
    </row>
    <row r="83" spans="11:14">
      <c r="L83" s="38"/>
    </row>
    <row r="84" spans="11:14">
      <c r="L84" s="35"/>
    </row>
    <row r="86" spans="11:14">
      <c r="L86" s="37"/>
    </row>
    <row r="87" spans="11:14">
      <c r="L87" s="39"/>
    </row>
    <row r="88" spans="11:14">
      <c r="K88" s="35"/>
    </row>
    <row r="89" spans="11:14">
      <c r="K89" s="35"/>
    </row>
    <row r="91" spans="11:14">
      <c r="K91" s="40"/>
      <c r="L91" s="41"/>
      <c r="N91" s="41"/>
    </row>
    <row r="92" spans="11:14">
      <c r="K92" s="37"/>
      <c r="L92" s="37"/>
      <c r="M92" s="38"/>
      <c r="N92" s="37"/>
    </row>
    <row r="93" spans="11:14">
      <c r="K93" s="37"/>
      <c r="L93" s="37"/>
      <c r="M93" s="38"/>
      <c r="N93" s="37"/>
    </row>
    <row r="94" spans="11:14">
      <c r="K94" s="37"/>
      <c r="L94" s="37"/>
      <c r="M94" s="38"/>
      <c r="N94" s="37"/>
    </row>
    <row r="95" spans="11:14">
      <c r="K95" s="42"/>
      <c r="L95" s="42"/>
      <c r="M95" s="42"/>
      <c r="N95" s="42"/>
    </row>
    <row r="100" spans="10:14">
      <c r="J100" s="43"/>
    </row>
    <row r="102" spans="10:14">
      <c r="J102" s="34"/>
    </row>
    <row r="103" spans="10:14">
      <c r="J103" s="34"/>
    </row>
    <row r="104" spans="10:14">
      <c r="J104" s="34"/>
    </row>
    <row r="105" spans="10:14">
      <c r="J105" s="34"/>
    </row>
    <row r="106" spans="10:14">
      <c r="K106" s="44"/>
    </row>
    <row r="109" spans="10:14">
      <c r="J109" s="38"/>
      <c r="L109" s="45"/>
      <c r="M109" s="45"/>
      <c r="N109" s="46"/>
    </row>
    <row r="110" spans="10:14">
      <c r="L110" s="34"/>
      <c r="M110" s="47"/>
      <c r="N110" s="34"/>
    </row>
    <row r="111" spans="10:14">
      <c r="L111" s="34"/>
      <c r="M111" s="47"/>
      <c r="N111" s="34"/>
    </row>
    <row r="112" spans="10:14">
      <c r="L112" s="48"/>
      <c r="M112" s="49"/>
      <c r="N112" s="34"/>
    </row>
    <row r="113" spans="9:14">
      <c r="L113" s="34"/>
      <c r="M113" s="34"/>
      <c r="N113" s="34"/>
    </row>
    <row r="114" spans="9:14">
      <c r="I114" s="50"/>
    </row>
  </sheetData>
  <sheetProtection algorithmName="SHA-512" hashValue="w1awQWRI/3cz1Ezo+KtsTTGEF7euaZy8OX6HxkjaZ8hH+siJX9244etQLCc7O1v6/b07IQxxV9w1HoNOekol6w==" saltValue="5e5n/HgP/+Th9iKZcsrbmA==" spinCount="100000" sheet="1" objects="1" scenarios="1"/>
  <mergeCells count="9">
    <mergeCell ref="B36:G37"/>
    <mergeCell ref="B38:F38"/>
    <mergeCell ref="B40:F40"/>
    <mergeCell ref="A5:G5"/>
    <mergeCell ref="B7:F7"/>
    <mergeCell ref="B8:F8"/>
    <mergeCell ref="B9:F9"/>
    <mergeCell ref="B10:F10"/>
    <mergeCell ref="B11:F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2195E5-948B-4D81-B689-FDB9B47D7FA9}"/>
</file>

<file path=customXml/itemProps2.xml><?xml version="1.0" encoding="utf-8"?>
<ds:datastoreItem xmlns:ds="http://schemas.openxmlformats.org/officeDocument/2006/customXml" ds:itemID="{DA75DC71-5F85-4314-B5A8-BEBD093D6AAF}"/>
</file>

<file path=customXml/itemProps3.xml><?xml version="1.0" encoding="utf-8"?>
<ds:datastoreItem xmlns:ds="http://schemas.openxmlformats.org/officeDocument/2006/customXml" ds:itemID="{23DE2024-80BC-4E71-9070-3041AE275B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74</vt:i4>
      </vt:variant>
      <vt:variant>
        <vt:lpstr>Named Ranges</vt:lpstr>
      </vt:variant>
      <vt:variant>
        <vt:i4>14</vt:i4>
      </vt:variant>
    </vt:vector>
  </HeadingPairs>
  <TitlesOfParts>
    <vt:vector size="88" baseType="lpstr">
      <vt:lpstr>Cover </vt:lpstr>
      <vt:lpstr>RET 201 LO 1</vt:lpstr>
      <vt:lpstr>FRC-Fall20-Q2</vt:lpstr>
      <vt:lpstr>FRC-Fall20-Q8</vt:lpstr>
      <vt:lpstr>FRC-Spring21-Q2</vt:lpstr>
      <vt:lpstr>FRC-Fall21-Q6</vt:lpstr>
      <vt:lpstr>FRC-Spring22-Q9</vt:lpstr>
      <vt:lpstr>DAU-Fall22-Q11</vt:lpstr>
      <vt:lpstr>DAU-Fall22-Q11Ans</vt:lpstr>
      <vt:lpstr>FRC-Fall22-Q6</vt:lpstr>
      <vt:lpstr>FRC-Spring23-Q3</vt:lpstr>
      <vt:lpstr>FRC-Spring23-Q3Ans</vt:lpstr>
      <vt:lpstr>FRC-Spring23-Q5</vt:lpstr>
      <vt:lpstr>FRC-Fall23-Q4</vt:lpstr>
      <vt:lpstr>FRC-Spring24-Q5</vt:lpstr>
      <vt:lpstr>FRC-Fall24-Q4</vt:lpstr>
      <vt:lpstr>FRC-Fall24-Q4Ans</vt:lpstr>
      <vt:lpstr>FRC-Fall24-Q6</vt:lpstr>
      <vt:lpstr>FRC-Fall24-Q6Ans</vt:lpstr>
      <vt:lpstr>RET 201 LO 2</vt:lpstr>
      <vt:lpstr>RPIRM-Fall20-Q3</vt:lpstr>
      <vt:lpstr>DAC-Spring21-Q6</vt:lpstr>
      <vt:lpstr>DAC-Spring21-Q6Ans</vt:lpstr>
      <vt:lpstr>DAC-Spring21-Q9</vt:lpstr>
      <vt:lpstr>DAC-Spring21-Q9Ans</vt:lpstr>
      <vt:lpstr>DAU-Spring21-Q6</vt:lpstr>
      <vt:lpstr>DAU-Spring21-Q6Ans</vt:lpstr>
      <vt:lpstr>DAC-Spring23-Q4</vt:lpstr>
      <vt:lpstr>DAC-Spring23-Q4Ans</vt:lpstr>
      <vt:lpstr>RET 201 LO 3</vt:lpstr>
      <vt:lpstr>DAC-Fall20-Q5</vt:lpstr>
      <vt:lpstr>DAC-Fall20-Q5Ans</vt:lpstr>
      <vt:lpstr>DAC-Fall20-Q9</vt:lpstr>
      <vt:lpstr>DAC-Fall20-Q9Ans</vt:lpstr>
      <vt:lpstr>DAU-Fall20-Q9</vt:lpstr>
      <vt:lpstr>DAU-Fall20-Q9Ans</vt:lpstr>
      <vt:lpstr>DAC-Spring21-Q5</vt:lpstr>
      <vt:lpstr>DAC-Spring21-Q5Ans</vt:lpstr>
      <vt:lpstr>DAU-Spring21-Q5</vt:lpstr>
      <vt:lpstr>DAU-Spring21-Q5Ans</vt:lpstr>
      <vt:lpstr>DAC-Fall21-Q8</vt:lpstr>
      <vt:lpstr>DAC-Fall21-Q8Ans</vt:lpstr>
      <vt:lpstr>DAU-Fall21-Q8</vt:lpstr>
      <vt:lpstr>DAU-Fall21-Q8Ans</vt:lpstr>
      <vt:lpstr>DAC-Spring22-Q3</vt:lpstr>
      <vt:lpstr>DAC-Spring22-Q3Ans</vt:lpstr>
      <vt:lpstr>DAU-Spring22-Q5</vt:lpstr>
      <vt:lpstr>DAU-Spring22-Q5Ans</vt:lpstr>
      <vt:lpstr>RPIRM-Spring22-Q5</vt:lpstr>
      <vt:lpstr>DAC-Fall22-Q5</vt:lpstr>
      <vt:lpstr>DAC-Fall22-Q5Ans</vt:lpstr>
      <vt:lpstr>DAC-Fall22-Q9</vt:lpstr>
      <vt:lpstr>DAC-Fall22-Q9Ans</vt:lpstr>
      <vt:lpstr>DAU-Fall22-Q9</vt:lpstr>
      <vt:lpstr>DAU-Fall22-Q9Ans</vt:lpstr>
      <vt:lpstr>RPIRM-Fall22-Q4</vt:lpstr>
      <vt:lpstr>DAC-Spring23-Q9</vt:lpstr>
      <vt:lpstr>DAC-Spring23-Q9Ans</vt:lpstr>
      <vt:lpstr>DAC-Fall23-Q5</vt:lpstr>
      <vt:lpstr>DAC-Fall23-Q5Ans</vt:lpstr>
      <vt:lpstr>DAC-Fall23-Q8</vt:lpstr>
      <vt:lpstr>DAC-Fall23-Q8Ans</vt:lpstr>
      <vt:lpstr>DAC-Spring24-Q5</vt:lpstr>
      <vt:lpstr>DAC-Spring24-Q5Ans</vt:lpstr>
      <vt:lpstr>DAC-Spring24-Q8</vt:lpstr>
      <vt:lpstr>DAC-Spring24-Q8Ans</vt:lpstr>
      <vt:lpstr>DAC-Fall24-Q7</vt:lpstr>
      <vt:lpstr>DAC-Fall24-Q7Ans</vt:lpstr>
      <vt:lpstr>RPIRM-Fall24-Q3</vt:lpstr>
      <vt:lpstr>RPIRM-Fall24-Q3Ans</vt:lpstr>
      <vt:lpstr>RET 201 LO 4</vt:lpstr>
      <vt:lpstr>RPIRM-Spring23-Q4</vt:lpstr>
      <vt:lpstr>RPIRM-Fall24-Q1</vt:lpstr>
      <vt:lpstr>RPIRM-Fall24-Q1Ans</vt:lpstr>
      <vt:lpstr>'FRC-Fall21-Q6'!_Hlk6488088</vt:lpstr>
      <vt:lpstr>'FRC-Fall22-Q6'!_Hlk6488088</vt:lpstr>
      <vt:lpstr>'FRC-Fall24-Q6'!_Hlk6488088</vt:lpstr>
      <vt:lpstr>'FRC-Fall24-Q6Ans'!_Hlk6488088</vt:lpstr>
      <vt:lpstr>'FRC-Spring22-Q9'!_Hlk6488088</vt:lpstr>
      <vt:lpstr>'FRC-Spring23-Q3'!_Hlk6488088</vt:lpstr>
      <vt:lpstr>'FRC-Spring23-Q3Ans'!_Hlk6488088</vt:lpstr>
      <vt:lpstr>'FRC-Spring23-Q5'!_Hlk6488088</vt:lpstr>
      <vt:lpstr>'FRC-Spring24-Q5'!_Hlk6488088</vt:lpstr>
      <vt:lpstr>'DAC-Spring24-Q8'!OLE_LINK1</vt:lpstr>
      <vt:lpstr>'DAC-Spring24-Q8Ans'!OLE_LINK1</vt:lpstr>
      <vt:lpstr>'DAU-Spring21-Q5Ans'!Print_Area</vt:lpstr>
      <vt:lpstr>'RPIRM-Fall24-Q1'!Print_Area</vt:lpstr>
      <vt:lpstr>'RPIRM-Fall24-Q1Ans'!Print_Area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Vanderweide (Fiscal Research)</dc:creator>
  <cp:lastModifiedBy>Douglas Norris</cp:lastModifiedBy>
  <dcterms:created xsi:type="dcterms:W3CDTF">2025-06-05T19:17:42Z</dcterms:created>
  <dcterms:modified xsi:type="dcterms:W3CDTF">2025-06-27T21:37:53Z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