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22" documentId="8_{2508E8D8-1014-45D6-8B60-931ECB8F15EF}" xr6:coauthVersionLast="47" xr6:coauthVersionMax="47" xr10:uidLastSave="{8BD9D642-23A2-4140-A57A-744C9851B520}"/>
  <bookViews>
    <workbookView xWindow="67080" yWindow="-120" windowWidth="38640" windowHeight="21120" xr2:uid="{937EF614-364B-4454-94C2-B75A039C453E}"/>
  </bookViews>
  <sheets>
    <sheet name="Cover " sheetId="46" r:id="rId1"/>
    <sheet name="RET 301 LO 1" sheetId="2" r:id="rId2"/>
    <sheet name="FRC-Spring24-Q3" sheetId="1" r:id="rId3"/>
    <sheet name="RET 301 LO 2" sheetId="3" r:id="rId4"/>
    <sheet name="FRC-Spring21-Q8" sheetId="5" r:id="rId5"/>
    <sheet name="FRC-Fall21-Q2" sheetId="6" r:id="rId6"/>
    <sheet name="FRC-Spring22-Q8" sheetId="7" r:id="rId7"/>
    <sheet name="FRC-Fall22-Q3" sheetId="8" r:id="rId8"/>
    <sheet name="FRC-Fall22-Q7" sheetId="9" r:id="rId9"/>
    <sheet name="FRC-Fall22-Q7Ans" sheetId="4" r:id="rId10"/>
    <sheet name="FRC-Fall23-Q6" sheetId="10" r:id="rId11"/>
    <sheet name="FRC-Spring24-Q2" sheetId="11" r:id="rId12"/>
    <sheet name="FRC-Spring24-Q2Ans" sheetId="12" r:id="rId13"/>
    <sheet name="Liability Calculation" sheetId="13" r:id="rId14"/>
    <sheet name="FRC-Spring24-Q4" sheetId="14" r:id="rId15"/>
    <sheet name="FRC-Spring24-Q4Ans" sheetId="15" r:id="rId16"/>
    <sheet name="FRC-Fall24-Q3" sheetId="16" r:id="rId17"/>
    <sheet name="FRC-Fall24-Q3Ans" sheetId="17" r:id="rId18"/>
    <sheet name="FRC-Fall24-Q5" sheetId="18" r:id="rId19"/>
    <sheet name="FRC-Fall24-Q5Ans" sheetId="19" r:id="rId20"/>
    <sheet name="FRC-Fall24-Q5-Rubric" sheetId="20" r:id="rId21"/>
    <sheet name="RET 301 LO 3" sheetId="21" r:id="rId22"/>
    <sheet name="FRC-Fall20-Q6" sheetId="22" r:id="rId23"/>
    <sheet name="FRC-Fall20-Q10" sheetId="23" r:id="rId24"/>
    <sheet name="FRC-Fall20-Q11" sheetId="24" r:id="rId25"/>
    <sheet name="FRC-Spring21-Q6" sheetId="25" r:id="rId26"/>
    <sheet name="DAC-Spring21-Q7" sheetId="26" r:id="rId27"/>
    <sheet name="DAC-Spring21-Q7Ans" sheetId="27" r:id="rId28"/>
    <sheet name="FRC-Fall21-Q9" sheetId="28" r:id="rId29"/>
    <sheet name="FRC-Fall22-Q4" sheetId="29" r:id="rId30"/>
    <sheet name="FRC-Fall22-Q8" sheetId="30" r:id="rId31"/>
    <sheet name="FRC-Spring23-Q1" sheetId="31" r:id="rId32"/>
    <sheet name="FRC-Fall24-Q2" sheetId="32" r:id="rId33"/>
    <sheet name="RET 301 LO 4" sheetId="33" r:id="rId34"/>
    <sheet name="DAC-Fall20-Q10" sheetId="34" r:id="rId35"/>
    <sheet name="DAC-Fall20-Q10Ans" sheetId="35" r:id="rId36"/>
    <sheet name="FRC-Spring21-Q3" sheetId="36" r:id="rId37"/>
    <sheet name="FRC-Spring21-Q9" sheetId="37" r:id="rId38"/>
    <sheet name="DAC-Fall21-Q6" sheetId="38" r:id="rId39"/>
    <sheet name="DAC-Fall21-Q6Ans" sheetId="39" r:id="rId40"/>
    <sheet name="FRC-Fall21-Q3" sheetId="40" r:id="rId41"/>
    <sheet name="FRC-Spring22-Q4" sheetId="41" r:id="rId42"/>
    <sheet name="FRC-Spring22-Q4-Extra Space" sheetId="42" r:id="rId43"/>
    <sheet name="DAC-Fall22-Q6" sheetId="43" r:id="rId44"/>
    <sheet name="DAC-Fall22-Q6Ans" sheetId="44" r:id="rId45"/>
    <sheet name="DAC-Fall23-Q2" sheetId="45" r:id="rId46"/>
  </sheets>
  <externalReferences>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_nAxPro_column__" localSheetId="7" hidden="1">'FRC-Fall22-Q3'!$XED:$XFD</definedName>
    <definedName name="__nAxPro_column__" localSheetId="41" hidden="1">'FRC-Spring22-Q4'!#REF!</definedName>
    <definedName name="__nAxPro_row__" localSheetId="7" hidden="1">'FRC-Fall22-Q3'!#REF!</definedName>
    <definedName name="__nAxPro_row__" localSheetId="41" hidden="1">'FRC-Spring22-Q4'!#REF!</definedName>
    <definedName name="_Hlk6488088" localSheetId="5">'FRC-Fall21-Q2'!#REF!</definedName>
    <definedName name="_Hlk6488088" localSheetId="28">'FRC-Fall21-Q9'!#REF!</definedName>
    <definedName name="_Hlk6488088" localSheetId="29">'FRC-Fall22-Q4'!#REF!</definedName>
    <definedName name="_Hlk6488088" localSheetId="8">'FRC-Fall22-Q7'!#REF!</definedName>
    <definedName name="_Hlk6488088" localSheetId="9">'FRC-Fall22-Q7Ans'!#REF!</definedName>
    <definedName name="_Hlk6488088" localSheetId="6">'FRC-Spring22-Q8'!#REF!</definedName>
    <definedName name="_Hlk6488088" localSheetId="31">'FRC-Spring23-Q1'!#REF!</definedName>
    <definedName name="_Hlk6488088" localSheetId="2">'FRC-Spring24-Q3'!#REF!</definedName>
    <definedName name="_Hlk6488088" localSheetId="14">'FRC-Spring24-Q4'!#REF!</definedName>
    <definedName name="adm_charge">'[5]S22 Question 8(a) Sol'!$C$2</definedName>
    <definedName name="age">[6]Funding!$B$47</definedName>
    <definedName name="Allocations">#REF!</definedName>
    <definedName name="canflag" localSheetId="0">'[2]Overview - Canada'!$N$1</definedName>
    <definedName name="canflag" localSheetId="38">'[1]Overview - Canada'!$N$1</definedName>
    <definedName name="canflag" localSheetId="43">'[2]Overview - Canada'!$N$1</definedName>
    <definedName name="canflag" localSheetId="44">'[2]Overview - Canada'!$N$1</definedName>
    <definedName name="canflag">'[1]Overview - Canada'!$N$1</definedName>
    <definedName name="CognitiveLevels">'[8]syllabus list'!$B$87:$B$90</definedName>
    <definedName name="freq_s">[6]Parameters!$C$119</definedName>
    <definedName name="guar_charge">'[5]S22 Question 8(a) Sol'!$C$3</definedName>
    <definedName name="Hurdle_Rate">'[9]BG-2-2020 calc'!$K$13</definedName>
    <definedName name="index_s">[6]Parameters!$C$115</definedName>
    <definedName name="LOutcomeList">'[8]syllabus list'!$A$87:$A$91</definedName>
    <definedName name="mortbasis_s">[6]Parameters!$C$117:$G$117</definedName>
    <definedName name="nb_temp_s">[6]Parameters!$C$123</definedName>
    <definedName name="Pen_demog">#REF!</definedName>
    <definedName name="Pen_provs">#REF!</definedName>
    <definedName name="Pen_valresults">#REF!</definedName>
    <definedName name="percjs_m_s">[6]Parameters!$C$125</definedName>
    <definedName name="prem">'[5]S22 Question 8(a) Sol'!$C$1</definedName>
    <definedName name="_xlnm.Print_Area" localSheetId="45">'DAC-Fall23-Q2'!$A$4:$L$257</definedName>
    <definedName name="Q_part">#REF!</definedName>
    <definedName name="Q_sources">'[8]BL-1-2020'!$C$9:$C$16</definedName>
    <definedName name="ret_age">[6]Funding!$B$48</definedName>
    <definedName name="sex">[6]Input!$B$9</definedName>
    <definedName name="SyllabusListing">'[8]syllabus list'!$B$4:$B$86</definedName>
    <definedName name="Total">#REF!</definedName>
    <definedName name="val_date">[6]Input!$B$3</definedName>
    <definedName name="wd_pct">'[5]S22 Question 8(a) Sol'!$C$4</definedName>
    <definedName name="Year">[9]Instructions!$E$2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45" l="1"/>
  <c r="K2" i="45"/>
  <c r="F60" i="45"/>
  <c r="F74" i="45"/>
  <c r="G74" i="45"/>
  <c r="E78" i="45"/>
  <c r="E82" i="45" s="1"/>
  <c r="F75" i="45" s="1"/>
  <c r="F82" i="45" s="1"/>
  <c r="G75" i="45" s="1"/>
  <c r="G82" i="45" s="1"/>
  <c r="F78" i="45"/>
  <c r="F111" i="45"/>
  <c r="F113" i="45" s="1"/>
  <c r="F119" i="45"/>
  <c r="F130" i="45"/>
  <c r="E160" i="45"/>
  <c r="F166" i="45"/>
  <c r="F167" i="45"/>
  <c r="F219" i="45"/>
  <c r="F221" i="45" s="1"/>
  <c r="F227" i="45"/>
  <c r="F238" i="45"/>
  <c r="A1" i="44"/>
  <c r="J1" i="44" s="1"/>
  <c r="J2" i="44"/>
  <c r="J3" i="44"/>
  <c r="K10" i="44"/>
  <c r="K12" i="44"/>
  <c r="K14" i="44"/>
  <c r="M21" i="44"/>
  <c r="M22" i="44" s="1"/>
  <c r="N21" i="44"/>
  <c r="N23" i="44"/>
  <c r="M31" i="44"/>
  <c r="N31" i="44"/>
  <c r="M33" i="44"/>
  <c r="A1" i="43"/>
  <c r="J1" i="43"/>
  <c r="J2" i="43"/>
  <c r="J3" i="43"/>
  <c r="K10" i="43"/>
  <c r="K12" i="43"/>
  <c r="K14" i="43"/>
  <c r="D60" i="41"/>
  <c r="G100" i="41"/>
  <c r="F100" i="41" s="1"/>
  <c r="E100" i="41" s="1"/>
  <c r="E105" i="41" s="1"/>
  <c r="F97" i="41" s="1"/>
  <c r="F105" i="41" s="1"/>
  <c r="G97" i="41" s="1"/>
  <c r="G105" i="41" s="1"/>
  <c r="H226" i="41" s="1"/>
  <c r="H234" i="41" s="1"/>
  <c r="E112" i="41"/>
  <c r="B119" i="41"/>
  <c r="B126" i="41" s="1"/>
  <c r="B120" i="41"/>
  <c r="B127" i="41" s="1"/>
  <c r="F170" i="41"/>
  <c r="F172" i="41"/>
  <c r="F174" i="41"/>
  <c r="F186" i="41"/>
  <c r="F188" i="41"/>
  <c r="H197" i="41"/>
  <c r="H202" i="41"/>
  <c r="H229" i="41"/>
  <c r="F248" i="41"/>
  <c r="F250" i="41" s="1"/>
  <c r="F252" i="41" s="1"/>
  <c r="H276" i="41"/>
  <c r="G293" i="41"/>
  <c r="G294" i="41"/>
  <c r="G305" i="41" s="1"/>
  <c r="G295" i="41"/>
  <c r="G306" i="41" s="1"/>
  <c r="G296" i="41"/>
  <c r="G297" i="41" s="1"/>
  <c r="G308" i="41" s="1"/>
  <c r="H296" i="41"/>
  <c r="H297" i="41"/>
  <c r="G304" i="41"/>
  <c r="H307" i="41"/>
  <c r="H308" i="41"/>
  <c r="F128" i="40"/>
  <c r="F210" i="40" s="1"/>
  <c r="F212" i="40" s="1"/>
  <c r="F213" i="40" s="1"/>
  <c r="F130" i="40"/>
  <c r="F132" i="40" s="1"/>
  <c r="H140" i="40"/>
  <c r="H158" i="40"/>
  <c r="F171" i="40"/>
  <c r="F173" i="40" s="1"/>
  <c r="F209" i="40"/>
  <c r="F211" i="40"/>
  <c r="G212" i="40"/>
  <c r="H212" i="40"/>
  <c r="I212" i="40"/>
  <c r="G213" i="40"/>
  <c r="H213" i="40"/>
  <c r="I213" i="40"/>
  <c r="F214" i="40"/>
  <c r="P23" i="39"/>
  <c r="Q23" i="39"/>
  <c r="R23" i="39"/>
  <c r="T23" i="39"/>
  <c r="U23" i="39"/>
  <c r="R31" i="39" s="1"/>
  <c r="V23" i="39"/>
  <c r="X23" i="39" s="1"/>
  <c r="S24" i="39" s="1"/>
  <c r="W23" i="39"/>
  <c r="S31" i="39" s="1"/>
  <c r="P24" i="39"/>
  <c r="P32" i="39" s="1"/>
  <c r="Q24" i="39"/>
  <c r="T24" i="39" s="1"/>
  <c r="U24" i="39" s="1"/>
  <c r="R32" i="39" s="1"/>
  <c r="R24" i="39"/>
  <c r="P25" i="39"/>
  <c r="P44" i="39" s="1"/>
  <c r="Q25" i="39"/>
  <c r="Q44" i="39" s="1"/>
  <c r="T44" i="39" s="1"/>
  <c r="R25" i="39"/>
  <c r="T25" i="39"/>
  <c r="U25" i="39"/>
  <c r="R33" i="39" s="1"/>
  <c r="P26" i="39"/>
  <c r="Q26" i="39"/>
  <c r="R26" i="39"/>
  <c r="T26" i="39"/>
  <c r="U26" i="39" s="1"/>
  <c r="P31" i="39"/>
  <c r="P33" i="39"/>
  <c r="P34" i="39"/>
  <c r="P42" i="39"/>
  <c r="Q42" i="39"/>
  <c r="T42" i="39" s="1"/>
  <c r="R42" i="39"/>
  <c r="P45" i="39"/>
  <c r="Q45" i="39"/>
  <c r="T45" i="39" s="1"/>
  <c r="R45" i="39"/>
  <c r="P51" i="39"/>
  <c r="P53" i="39"/>
  <c r="P54" i="39"/>
  <c r="J16" i="35"/>
  <c r="J19" i="35" s="1"/>
  <c r="J21" i="35" s="1"/>
  <c r="J17" i="35"/>
  <c r="J18" i="35"/>
  <c r="K18" i="35"/>
  <c r="K19" i="35" s="1"/>
  <c r="K21" i="35" s="1"/>
  <c r="J22" i="35"/>
  <c r="M26" i="44" l="1"/>
  <c r="N26" i="44" s="1"/>
  <c r="M23" i="44"/>
  <c r="X24" i="39"/>
  <c r="S25" i="39" s="1"/>
  <c r="V24" i="39"/>
  <c r="W24" i="39" s="1"/>
  <c r="S32" i="39" s="1"/>
  <c r="J23" i="35"/>
  <c r="J24" i="35" s="1"/>
  <c r="K24" i="35" s="1"/>
  <c r="K25" i="35" s="1"/>
  <c r="K27" i="35" s="1"/>
  <c r="K29" i="35" s="1"/>
  <c r="J25" i="35"/>
  <c r="J27" i="35" s="1"/>
  <c r="J29" i="35" s="1"/>
  <c r="R34" i="39"/>
  <c r="T31" i="39"/>
  <c r="Q32" i="39" s="1"/>
  <c r="T32" i="39" s="1"/>
  <c r="Q33" i="39" s="1"/>
  <c r="T33" i="39" s="1"/>
  <c r="Q34" i="39" s="1"/>
  <c r="U42" i="39"/>
  <c r="V42" i="39" s="1"/>
  <c r="V25" i="39"/>
  <c r="W25" i="39" s="1"/>
  <c r="S33" i="39" s="1"/>
  <c r="P43" i="39"/>
  <c r="R43" i="39"/>
  <c r="Q43" i="39"/>
  <c r="T43" i="39" s="1"/>
  <c r="R44" i="39"/>
  <c r="G307" i="41"/>
  <c r="P52" i="39"/>
  <c r="K2" i="31"/>
  <c r="M15" i="27"/>
  <c r="N15" i="27"/>
  <c r="Q15" i="27"/>
  <c r="S15" i="27"/>
  <c r="T15" i="27"/>
  <c r="U15" i="27"/>
  <c r="V15" i="27"/>
  <c r="AB15" i="27" s="1"/>
  <c r="AC15" i="27" s="1"/>
  <c r="AD15" i="27" s="1"/>
  <c r="X15" i="27"/>
  <c r="X16" i="27" s="1"/>
  <c r="Y15" i="27"/>
  <c r="Z15" i="27"/>
  <c r="AA15" i="27"/>
  <c r="L16" i="27"/>
  <c r="M16" i="27"/>
  <c r="N16" i="27"/>
  <c r="O16" i="27"/>
  <c r="P16" i="27"/>
  <c r="Q16" i="27"/>
  <c r="S16" i="27"/>
  <c r="T16" i="27"/>
  <c r="V16" i="27" s="1"/>
  <c r="U16" i="27"/>
  <c r="L17" i="27"/>
  <c r="L18" i="27" s="1"/>
  <c r="L19" i="27" s="1"/>
  <c r="L20" i="27" s="1"/>
  <c r="L21" i="27" s="1"/>
  <c r="L22" i="27" s="1"/>
  <c r="L23" i="27" s="1"/>
  <c r="L24" i="27" s="1"/>
  <c r="L25" i="27" s="1"/>
  <c r="L26" i="27" s="1"/>
  <c r="L27" i="27" s="1"/>
  <c r="L28" i="27" s="1"/>
  <c r="L29" i="27" s="1"/>
  <c r="M17" i="27"/>
  <c r="S17" i="27" s="1"/>
  <c r="T17" i="27" s="1"/>
  <c r="N17" i="27"/>
  <c r="N18" i="27" s="1"/>
  <c r="O17" i="27"/>
  <c r="P17" i="27" s="1"/>
  <c r="V34" i="27"/>
  <c r="U35" i="27"/>
  <c r="V35" i="27"/>
  <c r="O36" i="27"/>
  <c r="T36" i="27"/>
  <c r="U36" i="27" s="1"/>
  <c r="T37" i="27"/>
  <c r="U37" i="27"/>
  <c r="T38" i="27"/>
  <c r="T39" i="27" s="1"/>
  <c r="U38" i="27"/>
  <c r="V38" i="27"/>
  <c r="S43" i="39" l="1"/>
  <c r="W42" i="39"/>
  <c r="R51" i="39" s="1"/>
  <c r="S51" i="39" s="1"/>
  <c r="Q52" i="39" s="1"/>
  <c r="X25" i="39"/>
  <c r="S26" i="39" s="1"/>
  <c r="M28" i="44"/>
  <c r="J30" i="35"/>
  <c r="Y16" i="27"/>
  <c r="Z16" i="27" s="1"/>
  <c r="AA16" i="27" s="1"/>
  <c r="X17" i="27"/>
  <c r="U17" i="27"/>
  <c r="V17" i="27" s="1"/>
  <c r="U39" i="27"/>
  <c r="T40" i="27"/>
  <c r="Q17" i="27"/>
  <c r="AB16" i="27"/>
  <c r="AC16" i="27" s="1"/>
  <c r="AD16" i="27" s="1"/>
  <c r="N19" i="27"/>
  <c r="O18" i="27"/>
  <c r="P18" i="27" s="1"/>
  <c r="V37" i="27"/>
  <c r="V39" i="27"/>
  <c r="V36" i="27"/>
  <c r="M18" i="27"/>
  <c r="D50" i="20"/>
  <c r="F50" i="20"/>
  <c r="V85" i="20" s="1"/>
  <c r="D51" i="20"/>
  <c r="F51" i="20"/>
  <c r="V86" i="20" s="1"/>
  <c r="D52" i="20"/>
  <c r="F52" i="20"/>
  <c r="V87" i="20" s="1"/>
  <c r="D53" i="20"/>
  <c r="F53" i="20"/>
  <c r="V88" i="20" s="1"/>
  <c r="D54" i="20"/>
  <c r="F54" i="20"/>
  <c r="V89" i="20" s="1"/>
  <c r="C55" i="20"/>
  <c r="D55" i="20"/>
  <c r="E55" i="20"/>
  <c r="C56" i="20"/>
  <c r="D56" i="20" s="1"/>
  <c r="C57" i="20"/>
  <c r="D69" i="20"/>
  <c r="F69" i="20"/>
  <c r="W85" i="20" s="1"/>
  <c r="D70" i="20"/>
  <c r="F70" i="20"/>
  <c r="W86" i="20" s="1"/>
  <c r="D71" i="20"/>
  <c r="F71" i="20"/>
  <c r="W87" i="20" s="1"/>
  <c r="D72" i="20"/>
  <c r="F72" i="20"/>
  <c r="W88" i="20" s="1"/>
  <c r="D73" i="20"/>
  <c r="F73" i="20"/>
  <c r="W89" i="20" s="1"/>
  <c r="C74" i="20"/>
  <c r="E74" i="20"/>
  <c r="F74" i="20" s="1"/>
  <c r="W90" i="20" s="1"/>
  <c r="E75" i="20"/>
  <c r="L79" i="20"/>
  <c r="T79" i="20"/>
  <c r="T81" i="20" s="1"/>
  <c r="L80" i="20"/>
  <c r="T80" i="20"/>
  <c r="L81" i="20"/>
  <c r="O81" i="20"/>
  <c r="W81" i="20"/>
  <c r="L82" i="20"/>
  <c r="T82" i="20"/>
  <c r="M85" i="20"/>
  <c r="S85" i="20"/>
  <c r="S86" i="20" s="1"/>
  <c r="S87" i="20" s="1"/>
  <c r="S88" i="20" s="1"/>
  <c r="S89" i="20" s="1"/>
  <c r="S90" i="20" s="1"/>
  <c r="S91" i="20" s="1"/>
  <c r="S92" i="20" s="1"/>
  <c r="T85" i="20"/>
  <c r="T86" i="20"/>
  <c r="N87" i="20"/>
  <c r="N88" i="20"/>
  <c r="N89" i="20"/>
  <c r="D48" i="19"/>
  <c r="F48" i="19"/>
  <c r="D49" i="19"/>
  <c r="F49" i="19"/>
  <c r="D50" i="19"/>
  <c r="F50" i="19"/>
  <c r="D51" i="19"/>
  <c r="F51" i="19"/>
  <c r="D52" i="19"/>
  <c r="F52" i="19"/>
  <c r="C53" i="19"/>
  <c r="E53" i="19"/>
  <c r="F53" i="19" s="1"/>
  <c r="E54" i="19"/>
  <c r="D67" i="19"/>
  <c r="F67" i="19"/>
  <c r="D68" i="19"/>
  <c r="F68" i="19"/>
  <c r="D69" i="19"/>
  <c r="F69" i="19"/>
  <c r="D70" i="19"/>
  <c r="F70" i="19"/>
  <c r="D71" i="19"/>
  <c r="F71" i="19"/>
  <c r="C72" i="19"/>
  <c r="D72" i="19" s="1"/>
  <c r="E72" i="19"/>
  <c r="E73" i="19" s="1"/>
  <c r="E74" i="19" s="1"/>
  <c r="F74" i="19" s="1"/>
  <c r="F72" i="19"/>
  <c r="C73" i="19"/>
  <c r="F73" i="19"/>
  <c r="K2" i="18"/>
  <c r="B56" i="18"/>
  <c r="B57" i="18" s="1"/>
  <c r="B58" i="18"/>
  <c r="B59" i="18" s="1"/>
  <c r="B60" i="18" s="1"/>
  <c r="B61" i="18" s="1"/>
  <c r="B62" i="18" s="1"/>
  <c r="B63" i="18" s="1"/>
  <c r="B64" i="18" s="1"/>
  <c r="B65" i="18" s="1"/>
  <c r="B66" i="18" s="1"/>
  <c r="B76" i="18"/>
  <c r="B77" i="18" s="1"/>
  <c r="B78" i="18" s="1"/>
  <c r="B79" i="18" s="1"/>
  <c r="B80" i="18" s="1"/>
  <c r="B81" i="18" s="1"/>
  <c r="B82" i="18" s="1"/>
  <c r="B83" i="18" s="1"/>
  <c r="B84" i="18" s="1"/>
  <c r="B85" i="18" s="1"/>
  <c r="B86" i="18" s="1"/>
  <c r="J1" i="17"/>
  <c r="J2" i="17"/>
  <c r="Q9" i="17"/>
  <c r="Q10" i="17"/>
  <c r="K214" i="17" s="1"/>
  <c r="O12" i="17"/>
  <c r="E193" i="17" s="1"/>
  <c r="P12" i="17"/>
  <c r="E183" i="17" s="1"/>
  <c r="O16" i="17"/>
  <c r="M22" i="17"/>
  <c r="N23" i="17" s="1"/>
  <c r="N22" i="17"/>
  <c r="K82" i="17" s="1"/>
  <c r="W22" i="17"/>
  <c r="J23" i="17"/>
  <c r="J24" i="17" s="1"/>
  <c r="W24" i="17" s="1"/>
  <c r="K23" i="17"/>
  <c r="L23" i="17"/>
  <c r="L24" i="17" s="1"/>
  <c r="L25" i="17" s="1"/>
  <c r="L26" i="17" s="1"/>
  <c r="L27" i="17" s="1"/>
  <c r="L28" i="17" s="1"/>
  <c r="L29" i="17" s="1"/>
  <c r="L30" i="17" s="1"/>
  <c r="L31" i="17" s="1"/>
  <c r="L32" i="17" s="1"/>
  <c r="L33" i="17" s="1"/>
  <c r="L34" i="17" s="1"/>
  <c r="L35" i="17" s="1"/>
  <c r="L36" i="17" s="1"/>
  <c r="L37" i="17" s="1"/>
  <c r="L38" i="17" s="1"/>
  <c r="L39" i="17" s="1"/>
  <c r="L40" i="17" s="1"/>
  <c r="L41" i="17" s="1"/>
  <c r="L42" i="17" s="1"/>
  <c r="L43" i="17" s="1"/>
  <c r="L44" i="17" s="1"/>
  <c r="M23" i="17"/>
  <c r="T23" i="17"/>
  <c r="K24" i="17"/>
  <c r="K25" i="17" s="1"/>
  <c r="K26" i="17" s="1"/>
  <c r="K27" i="17" s="1"/>
  <c r="T24" i="17"/>
  <c r="J25" i="17"/>
  <c r="T25" i="17"/>
  <c r="T26" i="17" s="1"/>
  <c r="T27" i="17" s="1"/>
  <c r="T28" i="17" s="1"/>
  <c r="T29" i="17" s="1"/>
  <c r="T30" i="17" s="1"/>
  <c r="T31" i="17" s="1"/>
  <c r="T32" i="17" s="1"/>
  <c r="T33" i="17" s="1"/>
  <c r="T34" i="17" s="1"/>
  <c r="T35" i="17" s="1"/>
  <c r="T36" i="17" s="1"/>
  <c r="T37" i="17" s="1"/>
  <c r="T38" i="17" s="1"/>
  <c r="T39" i="17" s="1"/>
  <c r="T40" i="17" s="1"/>
  <c r="T41" i="17" s="1"/>
  <c r="K28" i="17"/>
  <c r="K29" i="17" s="1"/>
  <c r="K30" i="17" s="1"/>
  <c r="K31" i="17" s="1"/>
  <c r="K32" i="17" s="1"/>
  <c r="K33" i="17" s="1"/>
  <c r="K34" i="17" s="1"/>
  <c r="K35" i="17" s="1"/>
  <c r="K36" i="17" s="1"/>
  <c r="K37" i="17" s="1"/>
  <c r="K38" i="17" s="1"/>
  <c r="K39" i="17" s="1"/>
  <c r="K40" i="17" s="1"/>
  <c r="K41" i="17" s="1"/>
  <c r="K42" i="17" s="1"/>
  <c r="K43" i="17" s="1"/>
  <c r="K44" i="17" s="1"/>
  <c r="U41" i="17"/>
  <c r="V41" i="17"/>
  <c r="U44" i="17"/>
  <c r="V44" i="17"/>
  <c r="M54" i="17"/>
  <c r="N54" i="17"/>
  <c r="O54" i="17" s="1"/>
  <c r="P54" i="17" s="1"/>
  <c r="W54" i="17"/>
  <c r="J55" i="17"/>
  <c r="K55" i="17"/>
  <c r="K56" i="17" s="1"/>
  <c r="K57" i="17" s="1"/>
  <c r="K58" i="17" s="1"/>
  <c r="K59" i="17" s="1"/>
  <c r="L55" i="17"/>
  <c r="L56" i="17" s="1"/>
  <c r="L57" i="17" s="1"/>
  <c r="L58" i="17" s="1"/>
  <c r="L59" i="17" s="1"/>
  <c r="T55" i="17"/>
  <c r="T56" i="17" s="1"/>
  <c r="W55" i="17"/>
  <c r="J56" i="17"/>
  <c r="W56" i="17"/>
  <c r="J57" i="17"/>
  <c r="W57" i="17" s="1"/>
  <c r="J58" i="17"/>
  <c r="W58" i="17"/>
  <c r="J59" i="17"/>
  <c r="U59" i="17"/>
  <c r="V59" i="17"/>
  <c r="W59" i="17"/>
  <c r="K64" i="17"/>
  <c r="L64" i="17"/>
  <c r="M64" i="17"/>
  <c r="P64" i="17" s="1"/>
  <c r="L11" i="17" s="1"/>
  <c r="N64" i="17"/>
  <c r="Q64" i="17"/>
  <c r="R64" i="17"/>
  <c r="T64" i="17" s="1"/>
  <c r="P11" i="17" s="1"/>
  <c r="E182" i="17" s="1"/>
  <c r="S64" i="17"/>
  <c r="O11" i="17" s="1"/>
  <c r="E192" i="17" s="1"/>
  <c r="K68" i="17"/>
  <c r="L68" i="17"/>
  <c r="N68" i="17" s="1"/>
  <c r="K12" i="17" s="1"/>
  <c r="E171" i="17" s="1"/>
  <c r="M68" i="17"/>
  <c r="O68" i="17"/>
  <c r="L12" i="17" s="1"/>
  <c r="Q68" i="17"/>
  <c r="R68" i="17"/>
  <c r="T68" i="17" s="1"/>
  <c r="S68" i="17"/>
  <c r="K74" i="17"/>
  <c r="K75" i="17"/>
  <c r="K76" i="17" s="1"/>
  <c r="K80" i="17"/>
  <c r="L80" i="17"/>
  <c r="M80" i="17"/>
  <c r="Q80" i="17" s="1"/>
  <c r="N80" i="17"/>
  <c r="O80" i="17"/>
  <c r="J81" i="17"/>
  <c r="K81" i="17"/>
  <c r="M81" i="17" s="1"/>
  <c r="Q81" i="17" s="1"/>
  <c r="L81" i="17"/>
  <c r="N81" i="17"/>
  <c r="O81" i="17"/>
  <c r="J82" i="17"/>
  <c r="N82" i="17"/>
  <c r="O82" i="17"/>
  <c r="K83" i="17"/>
  <c r="N83" i="17"/>
  <c r="O83" i="17"/>
  <c r="K84" i="17"/>
  <c r="N84" i="17"/>
  <c r="O84" i="17"/>
  <c r="N85" i="17"/>
  <c r="O85" i="17"/>
  <c r="K86" i="17"/>
  <c r="N86" i="17"/>
  <c r="O86" i="17"/>
  <c r="K87" i="17"/>
  <c r="N87" i="17"/>
  <c r="O87" i="17"/>
  <c r="N88" i="17"/>
  <c r="O88" i="17"/>
  <c r="K89" i="17"/>
  <c r="N89" i="17"/>
  <c r="O89" i="17"/>
  <c r="K90" i="17"/>
  <c r="N90" i="17"/>
  <c r="O90" i="17"/>
  <c r="J97" i="17"/>
  <c r="J98" i="17" s="1"/>
  <c r="L97" i="17"/>
  <c r="M97" i="17"/>
  <c r="N97" i="17"/>
  <c r="K98" i="17"/>
  <c r="K99" i="17" s="1"/>
  <c r="M98" i="17"/>
  <c r="N98" i="17"/>
  <c r="J99" i="17"/>
  <c r="J100" i="17" s="1"/>
  <c r="L99" i="17"/>
  <c r="M99" i="17"/>
  <c r="N99" i="17"/>
  <c r="K100" i="17"/>
  <c r="K101" i="17" s="1"/>
  <c r="K102" i="17" s="1"/>
  <c r="L100" i="17"/>
  <c r="M100" i="17"/>
  <c r="N100" i="17"/>
  <c r="O100" i="17"/>
  <c r="P100" i="17"/>
  <c r="J101" i="17"/>
  <c r="M101" i="17"/>
  <c r="N101" i="17"/>
  <c r="J102" i="17"/>
  <c r="L102" i="17"/>
  <c r="O102" i="17" s="1"/>
  <c r="O10" i="17" s="1"/>
  <c r="M102" i="17"/>
  <c r="N102" i="17"/>
  <c r="XFD107" i="17"/>
  <c r="E166" i="17"/>
  <c r="K170" i="17"/>
  <c r="K171" i="17"/>
  <c r="K172" i="17"/>
  <c r="E179" i="17"/>
  <c r="E189" i="17"/>
  <c r="K212" i="17"/>
  <c r="L212" i="17"/>
  <c r="E238" i="17"/>
  <c r="E245" i="17"/>
  <c r="K249" i="17"/>
  <c r="J1" i="16"/>
  <c r="J2" i="16"/>
  <c r="XFD103" i="16"/>
  <c r="E172" i="16"/>
  <c r="E174" i="16"/>
  <c r="E176" i="16"/>
  <c r="E184" i="16"/>
  <c r="E186" i="16"/>
  <c r="E194" i="16"/>
  <c r="E196" i="16" s="1"/>
  <c r="E238" i="16"/>
  <c r="E242" i="16" s="1"/>
  <c r="E249" i="16"/>
  <c r="E250" i="16"/>
  <c r="K1" i="15"/>
  <c r="K2" i="15"/>
  <c r="P8" i="15"/>
  <c r="P9" i="15"/>
  <c r="P11" i="15"/>
  <c r="P12" i="15"/>
  <c r="P13" i="15"/>
  <c r="P14" i="15"/>
  <c r="P15" i="15"/>
  <c r="P18" i="15" s="1"/>
  <c r="P16" i="15"/>
  <c r="P19" i="15"/>
  <c r="P20" i="15"/>
  <c r="P21" i="15"/>
  <c r="P23" i="15"/>
  <c r="P29" i="15"/>
  <c r="P30" i="15" s="1"/>
  <c r="P32" i="15" s="1"/>
  <c r="U46" i="15"/>
  <c r="V46" i="15"/>
  <c r="V96" i="15" s="1"/>
  <c r="U47" i="15"/>
  <c r="V47" i="15"/>
  <c r="V97" i="15" s="1"/>
  <c r="U48" i="15"/>
  <c r="V48" i="15"/>
  <c r="U49" i="15"/>
  <c r="V49" i="15"/>
  <c r="U50" i="15"/>
  <c r="V50" i="15"/>
  <c r="V100" i="15" s="1"/>
  <c r="U51" i="15"/>
  <c r="V51" i="15"/>
  <c r="V101" i="15" s="1"/>
  <c r="U52" i="15"/>
  <c r="V52" i="15"/>
  <c r="V102" i="15" s="1"/>
  <c r="U53" i="15"/>
  <c r="V53" i="15"/>
  <c r="U54" i="15"/>
  <c r="V54" i="15"/>
  <c r="P55" i="15"/>
  <c r="P54" i="15" s="1"/>
  <c r="P53" i="15" s="1"/>
  <c r="P52" i="15" s="1"/>
  <c r="P51" i="15" s="1"/>
  <c r="P50" i="15" s="1"/>
  <c r="P49" i="15" s="1"/>
  <c r="P48" i="15" s="1"/>
  <c r="P47" i="15" s="1"/>
  <c r="P46" i="15" s="1"/>
  <c r="U55" i="15"/>
  <c r="U105" i="15" s="1"/>
  <c r="V55" i="15"/>
  <c r="V105" i="15" s="1"/>
  <c r="R56" i="15"/>
  <c r="S56" i="15"/>
  <c r="T60" i="15" s="1"/>
  <c r="S63" i="15" s="1"/>
  <c r="U56" i="15"/>
  <c r="V56" i="15"/>
  <c r="R57" i="15"/>
  <c r="S57" i="15"/>
  <c r="U57" i="15"/>
  <c r="V57" i="15"/>
  <c r="V107" i="15" s="1"/>
  <c r="P58" i="15"/>
  <c r="P57" i="15" s="1"/>
  <c r="P56" i="15" s="1"/>
  <c r="R58" i="15"/>
  <c r="S58" i="15"/>
  <c r="U58" i="15"/>
  <c r="V58" i="15"/>
  <c r="P59" i="15"/>
  <c r="R59" i="15"/>
  <c r="S59" i="15"/>
  <c r="U59" i="15"/>
  <c r="V59" i="15"/>
  <c r="V109" i="15" s="1"/>
  <c r="Q60" i="15"/>
  <c r="R60" i="15"/>
  <c r="S60" i="15"/>
  <c r="U60" i="15"/>
  <c r="V60" i="15"/>
  <c r="P68" i="15"/>
  <c r="P69" i="15" s="1"/>
  <c r="R68" i="15"/>
  <c r="R69" i="15" s="1"/>
  <c r="R70" i="15" s="1"/>
  <c r="R71" i="15" s="1"/>
  <c r="R72" i="15" s="1"/>
  <c r="R73" i="15" s="1"/>
  <c r="S68" i="15"/>
  <c r="O69" i="15"/>
  <c r="O70" i="15"/>
  <c r="O71" i="15" s="1"/>
  <c r="O72" i="15" s="1"/>
  <c r="O73" i="15" s="1"/>
  <c r="O74" i="15" s="1"/>
  <c r="O75" i="15" s="1"/>
  <c r="O76" i="15" s="1"/>
  <c r="O77" i="15" s="1"/>
  <c r="O78" i="15" s="1"/>
  <c r="O79" i="15" s="1"/>
  <c r="O80" i="15" s="1"/>
  <c r="O81" i="15" s="1"/>
  <c r="O82" i="15" s="1"/>
  <c r="O83" i="15" s="1"/>
  <c r="Y73" i="15"/>
  <c r="Y74" i="15"/>
  <c r="Y75" i="15"/>
  <c r="AL75" i="15"/>
  <c r="AL74" i="15" s="1"/>
  <c r="AL73" i="15" s="1"/>
  <c r="Y76" i="15"/>
  <c r="AL76" i="15"/>
  <c r="Y77" i="15"/>
  <c r="AL77" i="15"/>
  <c r="Y78" i="15"/>
  <c r="AL78" i="15"/>
  <c r="Y79" i="15"/>
  <c r="AL79" i="15"/>
  <c r="Y80" i="15"/>
  <c r="Z80" i="15"/>
  <c r="Y81" i="15"/>
  <c r="Z81" i="15"/>
  <c r="Y82" i="15"/>
  <c r="Z82" i="15"/>
  <c r="AG82" i="15"/>
  <c r="AG81" i="15" s="1"/>
  <c r="AG80" i="15" s="1"/>
  <c r="AG79" i="15" s="1"/>
  <c r="AG78" i="15" s="1"/>
  <c r="AG77" i="15" s="1"/>
  <c r="AG76" i="15" s="1"/>
  <c r="AG75" i="15" s="1"/>
  <c r="AG74" i="15" s="1"/>
  <c r="AG73" i="15" s="1"/>
  <c r="Y83" i="15"/>
  <c r="Z83" i="15"/>
  <c r="R96" i="15"/>
  <c r="S96" i="15"/>
  <c r="U96" i="15"/>
  <c r="R97" i="15"/>
  <c r="S97" i="15"/>
  <c r="T97" i="15" s="1"/>
  <c r="U97" i="15"/>
  <c r="R98" i="15"/>
  <c r="S98" i="15"/>
  <c r="U98" i="15"/>
  <c r="V98" i="15"/>
  <c r="R99" i="15"/>
  <c r="S99" i="15"/>
  <c r="T99" i="15" s="1"/>
  <c r="U99" i="15"/>
  <c r="V99" i="15"/>
  <c r="R100" i="15"/>
  <c r="S100" i="15"/>
  <c r="T104" i="15" s="1"/>
  <c r="U100" i="15"/>
  <c r="R101" i="15"/>
  <c r="S101" i="15"/>
  <c r="U101" i="15"/>
  <c r="P102" i="15"/>
  <c r="P101" i="15" s="1"/>
  <c r="P100" i="15" s="1"/>
  <c r="P99" i="15" s="1"/>
  <c r="P98" i="15" s="1"/>
  <c r="P97" i="15" s="1"/>
  <c r="P96" i="15" s="1"/>
  <c r="R102" i="15"/>
  <c r="S102" i="15"/>
  <c r="U102" i="15"/>
  <c r="R103" i="15"/>
  <c r="S103" i="15"/>
  <c r="U103" i="15"/>
  <c r="V103" i="15"/>
  <c r="P104" i="15"/>
  <c r="P103" i="15" s="1"/>
  <c r="R104" i="15"/>
  <c r="S104" i="15"/>
  <c r="U104" i="15"/>
  <c r="V104" i="15"/>
  <c r="R105" i="15"/>
  <c r="S105" i="15"/>
  <c r="P106" i="15"/>
  <c r="P105" i="15" s="1"/>
  <c r="R106" i="15"/>
  <c r="S106" i="15"/>
  <c r="T106" i="15" s="1"/>
  <c r="U106" i="15"/>
  <c r="V106" i="15"/>
  <c r="R107" i="15"/>
  <c r="S107" i="15"/>
  <c r="U107" i="15"/>
  <c r="P108" i="15"/>
  <c r="P107" i="15" s="1"/>
  <c r="R108" i="15"/>
  <c r="S108" i="15"/>
  <c r="T108" i="15"/>
  <c r="U108" i="15"/>
  <c r="V108" i="15"/>
  <c r="P109" i="15"/>
  <c r="R109" i="15"/>
  <c r="S109" i="15"/>
  <c r="U109" i="15"/>
  <c r="Q110" i="15"/>
  <c r="S112" i="15" s="1"/>
  <c r="R110" i="15"/>
  <c r="S110" i="15"/>
  <c r="U110" i="15"/>
  <c r="V116" i="15" s="1"/>
  <c r="V110" i="15"/>
  <c r="P116" i="15"/>
  <c r="Q116" i="15"/>
  <c r="R116" i="15"/>
  <c r="U116" i="15" s="1"/>
  <c r="O117" i="15"/>
  <c r="U117" i="15"/>
  <c r="U118" i="15" s="1"/>
  <c r="U119" i="15" s="1"/>
  <c r="U120" i="15" s="1"/>
  <c r="U121" i="15" s="1"/>
  <c r="U122" i="15" s="1"/>
  <c r="U123" i="15" s="1"/>
  <c r="U124" i="15" s="1"/>
  <c r="U125" i="15" s="1"/>
  <c r="O118" i="15"/>
  <c r="O119" i="15" s="1"/>
  <c r="O120" i="15"/>
  <c r="O121" i="15"/>
  <c r="O122" i="15" s="1"/>
  <c r="O123" i="15" s="1"/>
  <c r="O124" i="15" s="1"/>
  <c r="O125" i="15" s="1"/>
  <c r="O126" i="15" s="1"/>
  <c r="O127" i="15" s="1"/>
  <c r="O128" i="15" s="1"/>
  <c r="O129" i="15" s="1"/>
  <c r="O130" i="15" s="1"/>
  <c r="O131" i="15" s="1"/>
  <c r="O132" i="15" s="1"/>
  <c r="U126" i="15"/>
  <c r="U127" i="15" s="1"/>
  <c r="U128" i="15" s="1"/>
  <c r="U129" i="15"/>
  <c r="U130" i="15" s="1"/>
  <c r="U131" i="15"/>
  <c r="U132" i="15"/>
  <c r="U133" i="15" s="1"/>
  <c r="U134" i="15" s="1"/>
  <c r="U135" i="15" s="1"/>
  <c r="U136" i="15" s="1"/>
  <c r="U137" i="15" s="1"/>
  <c r="U138" i="15" s="1"/>
  <c r="U139" i="15" s="1"/>
  <c r="U140" i="15" s="1"/>
  <c r="U141" i="15" s="1"/>
  <c r="U142" i="15" s="1"/>
  <c r="U143" i="15" s="1"/>
  <c r="U144" i="15" s="1"/>
  <c r="U145" i="15" s="1"/>
  <c r="U146" i="15" s="1"/>
  <c r="O133" i="15"/>
  <c r="O134" i="15" s="1"/>
  <c r="O135" i="15" s="1"/>
  <c r="O136" i="15" s="1"/>
  <c r="O137" i="15" s="1"/>
  <c r="O138" i="15" s="1"/>
  <c r="O139" i="15" s="1"/>
  <c r="O140" i="15" s="1"/>
  <c r="O141" i="15" s="1"/>
  <c r="O142" i="15" s="1"/>
  <c r="O143" i="15" s="1"/>
  <c r="O144" i="15" s="1"/>
  <c r="O145" i="15" s="1"/>
  <c r="O146" i="15" s="1"/>
  <c r="Y136" i="15"/>
  <c r="Y137" i="15"/>
  <c r="Y138" i="15"/>
  <c r="Y139" i="15"/>
  <c r="AL139" i="15"/>
  <c r="AL138" i="15" s="1"/>
  <c r="AL137" i="15" s="1"/>
  <c r="AL136" i="15" s="1"/>
  <c r="Y140" i="15"/>
  <c r="Y141" i="15"/>
  <c r="Y142" i="15"/>
  <c r="Y143" i="15"/>
  <c r="Z143" i="15"/>
  <c r="AL143" i="15"/>
  <c r="AL142" i="15" s="1"/>
  <c r="AL141" i="15" s="1"/>
  <c r="AL140" i="15" s="1"/>
  <c r="Y144" i="15"/>
  <c r="Z144" i="15"/>
  <c r="Y145" i="15"/>
  <c r="Z145" i="15"/>
  <c r="AG145" i="15"/>
  <c r="AG144" i="15" s="1"/>
  <c r="AG143" i="15" s="1"/>
  <c r="AG142" i="15" s="1"/>
  <c r="AG141" i="15" s="1"/>
  <c r="AG140" i="15" s="1"/>
  <c r="AG139" i="15" s="1"/>
  <c r="AG138" i="15" s="1"/>
  <c r="AG137" i="15" s="1"/>
  <c r="AG136" i="15" s="1"/>
  <c r="AL145" i="15"/>
  <c r="AL144" i="15" s="1"/>
  <c r="Y146" i="15"/>
  <c r="Z146" i="15"/>
  <c r="K1" i="14"/>
  <c r="K2" i="14"/>
  <c r="E9" i="13"/>
  <c r="H9" i="13"/>
  <c r="I9" i="13"/>
  <c r="L9" i="13"/>
  <c r="E10" i="13"/>
  <c r="I10" i="13"/>
  <c r="I41" i="13" s="1"/>
  <c r="L10" i="13"/>
  <c r="R10" i="13"/>
  <c r="C11" i="13"/>
  <c r="G11" i="13" s="1"/>
  <c r="E11" i="13"/>
  <c r="I11" i="13"/>
  <c r="L11" i="13"/>
  <c r="R11" i="13"/>
  <c r="R12" i="13"/>
  <c r="R13" i="13"/>
  <c r="Q14" i="13"/>
  <c r="C9" i="13" s="1"/>
  <c r="G9" i="13" s="1"/>
  <c r="R14" i="13"/>
  <c r="Q15" i="13"/>
  <c r="Q16" i="13" s="1"/>
  <c r="R15" i="13"/>
  <c r="R16" i="13" s="1"/>
  <c r="R17" i="13" s="1"/>
  <c r="R18" i="13" s="1"/>
  <c r="R19" i="13" s="1"/>
  <c r="R20" i="13" s="1"/>
  <c r="R21" i="13" s="1"/>
  <c r="R22" i="13" s="1"/>
  <c r="R23" i="13" s="1"/>
  <c r="R24" i="13" s="1"/>
  <c r="R25" i="13" s="1"/>
  <c r="R26" i="13" s="1"/>
  <c r="R27" i="13" s="1"/>
  <c r="C17" i="13"/>
  <c r="D17" i="13" s="1"/>
  <c r="G17" i="13"/>
  <c r="I17" i="13"/>
  <c r="Q17" i="13"/>
  <c r="Q18" i="13" s="1"/>
  <c r="Q19" i="13" s="1"/>
  <c r="Q20" i="13" s="1"/>
  <c r="Q21" i="13" s="1"/>
  <c r="Q22" i="13" s="1"/>
  <c r="Q23" i="13" s="1"/>
  <c r="Q24" i="13" s="1"/>
  <c r="Q25" i="13" s="1"/>
  <c r="Q26" i="13" s="1"/>
  <c r="Q27" i="13" s="1"/>
  <c r="Q28" i="13" s="1"/>
  <c r="Q29" i="13" s="1"/>
  <c r="Q30" i="13" s="1"/>
  <c r="A18" i="13"/>
  <c r="D18" i="13" s="1"/>
  <c r="C18" i="13"/>
  <c r="G18" i="13"/>
  <c r="I18" i="13"/>
  <c r="A19" i="13"/>
  <c r="B19" i="13"/>
  <c r="C19" i="13"/>
  <c r="G19" i="13"/>
  <c r="I19" i="13"/>
  <c r="C20" i="13"/>
  <c r="G20" i="13"/>
  <c r="I20" i="13"/>
  <c r="C21" i="13"/>
  <c r="G21" i="13"/>
  <c r="I21" i="13"/>
  <c r="C22" i="13"/>
  <c r="G22" i="13"/>
  <c r="I22" i="13"/>
  <c r="C23" i="13"/>
  <c r="G23" i="13"/>
  <c r="I23" i="13"/>
  <c r="B24" i="13"/>
  <c r="C24" i="13"/>
  <c r="G24" i="13"/>
  <c r="I24" i="13"/>
  <c r="C25" i="13"/>
  <c r="G25" i="13"/>
  <c r="I25" i="13"/>
  <c r="C26" i="13"/>
  <c r="G26" i="13"/>
  <c r="I26" i="13"/>
  <c r="B27" i="13"/>
  <c r="C27" i="13"/>
  <c r="G27" i="13"/>
  <c r="I27" i="13"/>
  <c r="R28" i="13"/>
  <c r="R29" i="13"/>
  <c r="R30" i="13" s="1"/>
  <c r="R40" i="13"/>
  <c r="U40" i="13" s="1"/>
  <c r="E41" i="13"/>
  <c r="H41" i="13"/>
  <c r="L41" i="13"/>
  <c r="R41" i="13"/>
  <c r="U41" i="13" s="1"/>
  <c r="E42" i="13"/>
  <c r="I42" i="13"/>
  <c r="L42" i="13"/>
  <c r="R42" i="13"/>
  <c r="U42" i="13"/>
  <c r="U43" i="13" s="1"/>
  <c r="U44" i="13" s="1"/>
  <c r="U45" i="13" s="1"/>
  <c r="U46" i="13" s="1"/>
  <c r="U47" i="13" s="1"/>
  <c r="U48" i="13" s="1"/>
  <c r="U49" i="13" s="1"/>
  <c r="U50" i="13" s="1"/>
  <c r="Q43" i="13"/>
  <c r="Q44" i="13" s="1"/>
  <c r="T44" i="13" s="1"/>
  <c r="R43" i="13"/>
  <c r="R44" i="13"/>
  <c r="R45" i="13"/>
  <c r="R46" i="13" s="1"/>
  <c r="R47" i="13" s="1"/>
  <c r="R48" i="13" s="1"/>
  <c r="R49" i="13" s="1"/>
  <c r="E47" i="13"/>
  <c r="H47" i="13"/>
  <c r="I47" i="13"/>
  <c r="L47" i="13"/>
  <c r="C48" i="13"/>
  <c r="G48" i="13" s="1"/>
  <c r="E48" i="13"/>
  <c r="I48" i="13"/>
  <c r="L48" i="13"/>
  <c r="R50" i="13"/>
  <c r="R51" i="13" s="1"/>
  <c r="R52" i="13" s="1"/>
  <c r="R53" i="13" s="1"/>
  <c r="U51" i="13"/>
  <c r="U52" i="13" s="1"/>
  <c r="U53" i="13" s="1"/>
  <c r="C55" i="13"/>
  <c r="D55" i="13"/>
  <c r="G55" i="13"/>
  <c r="I55" i="13"/>
  <c r="A56" i="13"/>
  <c r="A57" i="13" s="1"/>
  <c r="A58" i="13" s="1"/>
  <c r="D58" i="13" s="1"/>
  <c r="C56" i="13"/>
  <c r="G56" i="13"/>
  <c r="I56" i="13"/>
  <c r="C57" i="13"/>
  <c r="G57" i="13"/>
  <c r="I57" i="13"/>
  <c r="C58" i="13"/>
  <c r="G58" i="13"/>
  <c r="I58" i="13"/>
  <c r="A59" i="13"/>
  <c r="A60" i="13" s="1"/>
  <c r="A61" i="13" s="1"/>
  <c r="C59" i="13"/>
  <c r="G59" i="13"/>
  <c r="I59" i="13"/>
  <c r="C60" i="13"/>
  <c r="G60" i="13"/>
  <c r="I60" i="13"/>
  <c r="C61" i="13"/>
  <c r="D61" i="13"/>
  <c r="G61" i="13"/>
  <c r="I61" i="13"/>
  <c r="A62" i="13"/>
  <c r="D62" i="13" s="1"/>
  <c r="C62" i="13"/>
  <c r="G62" i="13"/>
  <c r="I62" i="13"/>
  <c r="A63" i="13"/>
  <c r="D63" i="13" s="1"/>
  <c r="C63" i="13"/>
  <c r="G63" i="13"/>
  <c r="I63" i="13"/>
  <c r="A64" i="13"/>
  <c r="D64" i="13" s="1"/>
  <c r="C64" i="13"/>
  <c r="G64" i="13"/>
  <c r="I64" i="13"/>
  <c r="A65" i="13"/>
  <c r="C65" i="13"/>
  <c r="D65" i="13"/>
  <c r="G65" i="13"/>
  <c r="I65" i="13"/>
  <c r="D80" i="13"/>
  <c r="F80" i="13" s="1"/>
  <c r="E80" i="13"/>
  <c r="H80" i="13"/>
  <c r="I80" i="13"/>
  <c r="L80" i="13"/>
  <c r="R81" i="13"/>
  <c r="R82" i="13"/>
  <c r="R103" i="13" s="1"/>
  <c r="R83" i="13"/>
  <c r="R84" i="13"/>
  <c r="Q85" i="13"/>
  <c r="Q107" i="13" s="1"/>
  <c r="Q108" i="13" s="1"/>
  <c r="Q109" i="13" s="1"/>
  <c r="Q110" i="13" s="1"/>
  <c r="Q111" i="13" s="1"/>
  <c r="R85" i="13"/>
  <c r="B86" i="13"/>
  <c r="C86" i="13"/>
  <c r="G86" i="13"/>
  <c r="I86" i="13"/>
  <c r="Q86" i="13"/>
  <c r="Q87" i="13" s="1"/>
  <c r="Q88" i="13" s="1"/>
  <c r="Q89" i="13" s="1"/>
  <c r="Q90" i="13" s="1"/>
  <c r="R86" i="13"/>
  <c r="B87" i="13"/>
  <c r="C87" i="13"/>
  <c r="G87" i="13"/>
  <c r="I87" i="13"/>
  <c r="R87" i="13"/>
  <c r="B88" i="13"/>
  <c r="C88" i="13"/>
  <c r="G88" i="13"/>
  <c r="I88" i="13"/>
  <c r="R88" i="13"/>
  <c r="B89" i="13"/>
  <c r="C89" i="13"/>
  <c r="G89" i="13"/>
  <c r="I89" i="13"/>
  <c r="R89" i="13"/>
  <c r="B90" i="13"/>
  <c r="C90" i="13"/>
  <c r="G90" i="13"/>
  <c r="I90" i="13"/>
  <c r="R90" i="13"/>
  <c r="B91" i="13"/>
  <c r="C91" i="13"/>
  <c r="G91" i="13"/>
  <c r="I91" i="13"/>
  <c r="C102" i="13"/>
  <c r="G102" i="13" s="1"/>
  <c r="E102" i="13"/>
  <c r="H102" i="13"/>
  <c r="I102" i="13"/>
  <c r="L102" i="13"/>
  <c r="R104" i="13"/>
  <c r="R105" i="13"/>
  <c r="R106" i="13"/>
  <c r="R107" i="13"/>
  <c r="R108" i="13" s="1"/>
  <c r="R109" i="13" s="1"/>
  <c r="R110" i="13" s="1"/>
  <c r="R111" i="13" s="1"/>
  <c r="A108" i="13"/>
  <c r="D108" i="13" s="1"/>
  <c r="B108" i="13"/>
  <c r="C108" i="13"/>
  <c r="G108" i="13"/>
  <c r="I108" i="13"/>
  <c r="C109" i="13"/>
  <c r="G109" i="13"/>
  <c r="I109" i="13"/>
  <c r="C110" i="13"/>
  <c r="G110" i="13"/>
  <c r="I110" i="13"/>
  <c r="C111" i="13"/>
  <c r="G111" i="13"/>
  <c r="I111" i="13"/>
  <c r="C112" i="13"/>
  <c r="G112" i="13"/>
  <c r="I112" i="13"/>
  <c r="B122" i="13"/>
  <c r="G122" i="13"/>
  <c r="L122" i="13" s="1"/>
  <c r="Q122" i="13"/>
  <c r="B123" i="13"/>
  <c r="G123" i="13" s="1"/>
  <c r="L123" i="13"/>
  <c r="L128" i="13" s="1"/>
  <c r="B127" i="13"/>
  <c r="B128" i="13" s="1"/>
  <c r="Q128" i="13" s="1"/>
  <c r="N123" i="12" s="1"/>
  <c r="N144" i="12" s="1"/>
  <c r="C127" i="13"/>
  <c r="G127" i="13"/>
  <c r="L127" i="13" s="1"/>
  <c r="H127" i="13"/>
  <c r="M127" i="13" s="1"/>
  <c r="M128" i="13" s="1"/>
  <c r="C128" i="13"/>
  <c r="B132" i="13"/>
  <c r="C132" i="13"/>
  <c r="G132" i="13"/>
  <c r="H132" i="13"/>
  <c r="M132" i="13"/>
  <c r="B133" i="13"/>
  <c r="N18" i="12" s="1"/>
  <c r="C133" i="13"/>
  <c r="B140" i="13"/>
  <c r="L140" i="13" s="1"/>
  <c r="Q140" i="13"/>
  <c r="B141" i="13"/>
  <c r="L141" i="13"/>
  <c r="Q141" i="13" s="1"/>
  <c r="B145" i="13"/>
  <c r="C145" i="13"/>
  <c r="C146" i="13" s="1"/>
  <c r="L145" i="13"/>
  <c r="M145" i="13"/>
  <c r="M146" i="13" s="1"/>
  <c r="Q145" i="13"/>
  <c r="B146" i="13"/>
  <c r="Q146" i="13" s="1"/>
  <c r="L146" i="13"/>
  <c r="B150" i="13"/>
  <c r="C150" i="13"/>
  <c r="L150" i="13"/>
  <c r="L151" i="13" s="1"/>
  <c r="M150" i="13"/>
  <c r="B151" i="13"/>
  <c r="C151" i="13"/>
  <c r="O24" i="12"/>
  <c r="M28" i="12"/>
  <c r="N28" i="12"/>
  <c r="M29" i="12"/>
  <c r="N29" i="12"/>
  <c r="M30" i="12"/>
  <c r="M99" i="12" s="1"/>
  <c r="N30" i="12"/>
  <c r="N31" i="12"/>
  <c r="N35" i="12"/>
  <c r="C215" i="12" s="1"/>
  <c r="N42" i="12"/>
  <c r="N43" i="12"/>
  <c r="O43" i="12" s="1"/>
  <c r="C223" i="12" s="1"/>
  <c r="N44" i="12"/>
  <c r="N56" i="12"/>
  <c r="N58" i="12"/>
  <c r="M97" i="12"/>
  <c r="N97" i="12"/>
  <c r="M98" i="12"/>
  <c r="N98" i="12"/>
  <c r="N99" i="12"/>
  <c r="N125" i="12"/>
  <c r="N131" i="12"/>
  <c r="O131" i="12"/>
  <c r="P131" i="12"/>
  <c r="C284" i="12" s="1"/>
  <c r="N136" i="12"/>
  <c r="N137" i="12"/>
  <c r="N141" i="12"/>
  <c r="O141" i="12"/>
  <c r="P141" i="12" s="1"/>
  <c r="O142" i="12"/>
  <c r="O144" i="12"/>
  <c r="P146" i="12"/>
  <c r="P147" i="12"/>
  <c r="N148" i="12"/>
  <c r="O149" i="12"/>
  <c r="B185" i="12"/>
  <c r="B186" i="12" s="1"/>
  <c r="B187" i="12" s="1"/>
  <c r="B188" i="12" s="1"/>
  <c r="B189" i="12" s="1"/>
  <c r="B190" i="12" s="1"/>
  <c r="B191" i="12" s="1"/>
  <c r="B192" i="12" s="1"/>
  <c r="B193" i="12" s="1"/>
  <c r="B194" i="12" s="1"/>
  <c r="C230" i="12"/>
  <c r="C248" i="12"/>
  <c r="C251" i="12"/>
  <c r="C254" i="12"/>
  <c r="N104" i="12" s="1"/>
  <c r="C270" i="12" s="1"/>
  <c r="L1" i="11"/>
  <c r="L2" i="11"/>
  <c r="C185" i="11"/>
  <c r="C186" i="11"/>
  <c r="C187" i="11" s="1"/>
  <c r="C188" i="11" s="1"/>
  <c r="C189" i="11" s="1"/>
  <c r="C190" i="11" s="1"/>
  <c r="C191" i="11" s="1"/>
  <c r="C192" i="11" s="1"/>
  <c r="C193" i="11" s="1"/>
  <c r="C194" i="11" s="1"/>
  <c r="D248" i="11"/>
  <c r="D254" i="11" s="1"/>
  <c r="D251" i="11"/>
  <c r="K1" i="10"/>
  <c r="K2" i="10"/>
  <c r="D51" i="10"/>
  <c r="D52" i="10"/>
  <c r="D53" i="10" s="1"/>
  <c r="D54" i="10" s="1"/>
  <c r="D55" i="10" s="1"/>
  <c r="D56" i="10" s="1"/>
  <c r="D57" i="10" s="1"/>
  <c r="D58" i="10" s="1"/>
  <c r="D59" i="10" s="1"/>
  <c r="D60" i="10" s="1"/>
  <c r="D66" i="10"/>
  <c r="D67" i="10" s="1"/>
  <c r="D68" i="10" s="1"/>
  <c r="D69" i="10" s="1"/>
  <c r="D70" i="10" s="1"/>
  <c r="D71" i="10" s="1"/>
  <c r="D72" i="10" s="1"/>
  <c r="D73" i="10" s="1"/>
  <c r="D74" i="10" s="1"/>
  <c r="D75" i="10" s="1"/>
  <c r="B106" i="8"/>
  <c r="B107" i="8"/>
  <c r="F204" i="8"/>
  <c r="F206" i="8"/>
  <c r="F218" i="8"/>
  <c r="F220" i="8" s="1"/>
  <c r="F228" i="8"/>
  <c r="F230" i="8"/>
  <c r="H244" i="8"/>
  <c r="H251" i="8"/>
  <c r="F302" i="8"/>
  <c r="F304" i="8" s="1"/>
  <c r="F306" i="8" s="1"/>
  <c r="G329" i="8"/>
  <c r="G334" i="8"/>
  <c r="L13" i="4"/>
  <c r="M13" i="4"/>
  <c r="N13" i="4"/>
  <c r="L18" i="4"/>
  <c r="M18" i="4"/>
  <c r="N18" i="4"/>
  <c r="L23" i="4"/>
  <c r="M23" i="4"/>
  <c r="L29" i="4" s="1"/>
  <c r="N23" i="4"/>
  <c r="L26" i="4"/>
  <c r="L31" i="4" s="1"/>
  <c r="L39" i="4" s="1"/>
  <c r="L27" i="4"/>
  <c r="L28" i="4"/>
  <c r="L32" i="4" s="1"/>
  <c r="L40" i="4" s="1"/>
  <c r="L34" i="4"/>
  <c r="M39" i="4"/>
  <c r="M40" i="4"/>
  <c r="M50" i="4"/>
  <c r="M51" i="4" s="1"/>
  <c r="M52" i="4" s="1"/>
  <c r="M53" i="4" s="1"/>
  <c r="M54" i="4" s="1"/>
  <c r="M55" i="4" s="1"/>
  <c r="M56" i="4" s="1"/>
  <c r="M57" i="4" s="1"/>
  <c r="M58" i="4" s="1"/>
  <c r="M59" i="4" s="1"/>
  <c r="P50" i="4"/>
  <c r="P51" i="4" s="1"/>
  <c r="P52" i="4" s="1"/>
  <c r="P53" i="4" s="1"/>
  <c r="P54" i="4" s="1"/>
  <c r="P55" i="4" s="1"/>
  <c r="P56" i="4" s="1"/>
  <c r="P57" i="4" s="1"/>
  <c r="P58" i="4" s="1"/>
  <c r="P59" i="4" s="1"/>
  <c r="O56" i="4"/>
  <c r="O57" i="4"/>
  <c r="O58" i="4"/>
  <c r="Q58" i="4"/>
  <c r="Q57" i="4" s="1"/>
  <c r="R58" i="4"/>
  <c r="O59" i="4"/>
  <c r="R59" i="4"/>
  <c r="M70" i="4"/>
  <c r="P70" i="4"/>
  <c r="P71" i="4" s="1"/>
  <c r="P72" i="4" s="1"/>
  <c r="P73" i="4" s="1"/>
  <c r="P74" i="4" s="1"/>
  <c r="P75" i="4" s="1"/>
  <c r="P76" i="4" s="1"/>
  <c r="P77" i="4" s="1"/>
  <c r="P78" i="4" s="1"/>
  <c r="P79" i="4" s="1"/>
  <c r="P80" i="4" s="1"/>
  <c r="M71" i="4"/>
  <c r="M72" i="4" s="1"/>
  <c r="M73" i="4" s="1"/>
  <c r="M74" i="4" s="1"/>
  <c r="M75" i="4" s="1"/>
  <c r="M76" i="4" s="1"/>
  <c r="M77" i="4" s="1"/>
  <c r="M78" i="4" s="1"/>
  <c r="M79" i="4" s="1"/>
  <c r="M80" i="4" s="1"/>
  <c r="Q78" i="4"/>
  <c r="Q77" i="4" s="1"/>
  <c r="R78" i="4"/>
  <c r="N79" i="4"/>
  <c r="O79" i="4"/>
  <c r="Q79" i="4"/>
  <c r="R79" i="4" s="1"/>
  <c r="O80" i="4"/>
  <c r="R80" i="4"/>
  <c r="N28" i="44" l="1"/>
  <c r="M30" i="44"/>
  <c r="V26" i="39"/>
  <c r="W26" i="39" s="1"/>
  <c r="S34" i="39" s="1"/>
  <c r="T34" i="39" s="1"/>
  <c r="T36" i="39" s="1"/>
  <c r="U43" i="39"/>
  <c r="V43" i="39"/>
  <c r="S18" i="27"/>
  <c r="T18" i="27" s="1"/>
  <c r="M19" i="27"/>
  <c r="Q18" i="27"/>
  <c r="U40" i="27"/>
  <c r="T41" i="27"/>
  <c r="Y17" i="27"/>
  <c r="Z17" i="27" s="1"/>
  <c r="AA17" i="27" s="1"/>
  <c r="X18" i="27"/>
  <c r="N20" i="27"/>
  <c r="O19" i="27"/>
  <c r="P19" i="27" s="1"/>
  <c r="V40" i="27"/>
  <c r="G128" i="13"/>
  <c r="N80" i="12" s="1"/>
  <c r="H133" i="13"/>
  <c r="O93" i="12" s="1"/>
  <c r="P144" i="12"/>
  <c r="C291" i="12" s="1"/>
  <c r="M102" i="13"/>
  <c r="G133" i="13"/>
  <c r="N87" i="12" s="1"/>
  <c r="R54" i="13"/>
  <c r="L132" i="13"/>
  <c r="L133" i="13" s="1"/>
  <c r="T100" i="15"/>
  <c r="J83" i="17"/>
  <c r="L82" i="17"/>
  <c r="M82" i="17" s="1"/>
  <c r="U54" i="13"/>
  <c r="N100" i="12"/>
  <c r="B109" i="13"/>
  <c r="O11" i="12"/>
  <c r="T103" i="15"/>
  <c r="T102" i="15"/>
  <c r="T42" i="17"/>
  <c r="T43" i="17" s="1"/>
  <c r="T44" i="17" s="1"/>
  <c r="O129" i="12"/>
  <c r="N112" i="12"/>
  <c r="O112" i="12" s="1"/>
  <c r="Q123" i="13"/>
  <c r="D102" i="13"/>
  <c r="F102" i="13" s="1"/>
  <c r="J102" i="13" s="1"/>
  <c r="C80" i="13"/>
  <c r="G80" i="13" s="1"/>
  <c r="J80" i="13" s="1"/>
  <c r="A109" i="13"/>
  <c r="N11" i="12"/>
  <c r="D10" i="13"/>
  <c r="F10" i="13" s="1"/>
  <c r="O150" i="12"/>
  <c r="O136" i="12"/>
  <c r="O137" i="12"/>
  <c r="N111" i="12"/>
  <c r="M133" i="13"/>
  <c r="B18" i="13"/>
  <c r="B22" i="13"/>
  <c r="B26" i="13"/>
  <c r="R39" i="13"/>
  <c r="B21" i="13"/>
  <c r="B23" i="13"/>
  <c r="B20" i="13"/>
  <c r="B17" i="13"/>
  <c r="B25" i="13"/>
  <c r="D9" i="13"/>
  <c r="F9" i="13" s="1"/>
  <c r="M9" i="13" s="1"/>
  <c r="H10" i="13"/>
  <c r="J9" i="13"/>
  <c r="H11" i="13"/>
  <c r="Q45" i="13"/>
  <c r="N59" i="12"/>
  <c r="N60" i="12" s="1"/>
  <c r="M151" i="13"/>
  <c r="A86" i="13"/>
  <c r="H48" i="13"/>
  <c r="H128" i="13"/>
  <c r="O80" i="12" s="1"/>
  <c r="O42" i="12"/>
  <c r="C229" i="12"/>
  <c r="H42" i="13"/>
  <c r="D19" i="13"/>
  <c r="A20" i="13"/>
  <c r="O99" i="17"/>
  <c r="P99" i="17"/>
  <c r="T107" i="15"/>
  <c r="T101" i="15"/>
  <c r="R74" i="15"/>
  <c r="AA73" i="15"/>
  <c r="D59" i="13"/>
  <c r="D57" i="13"/>
  <c r="D56" i="13"/>
  <c r="T43" i="13"/>
  <c r="C47" i="13"/>
  <c r="G47" i="13" s="1"/>
  <c r="C41" i="13"/>
  <c r="G41" i="13" s="1"/>
  <c r="D60" i="13"/>
  <c r="C42" i="13"/>
  <c r="G42" i="13" s="1"/>
  <c r="W116" i="15"/>
  <c r="T110" i="15"/>
  <c r="T109" i="15"/>
  <c r="P22" i="15"/>
  <c r="P25" i="15" s="1"/>
  <c r="D11" i="13"/>
  <c r="F11" i="13" s="1"/>
  <c r="S116" i="15"/>
  <c r="P117" i="15"/>
  <c r="T105" i="15"/>
  <c r="T68" i="15"/>
  <c r="T69" i="15" s="1"/>
  <c r="T70" i="15" s="1"/>
  <c r="T71" i="15" s="1"/>
  <c r="T72" i="15" s="1"/>
  <c r="T73" i="15" s="1"/>
  <c r="P33" i="15"/>
  <c r="P97" i="17"/>
  <c r="O97" i="17"/>
  <c r="P70" i="15"/>
  <c r="S69" i="15"/>
  <c r="Q68" i="15"/>
  <c r="D73" i="19"/>
  <c r="C74" i="19"/>
  <c r="U86" i="20"/>
  <c r="U88" i="20"/>
  <c r="U89" i="20"/>
  <c r="U90" i="20"/>
  <c r="U92" i="20"/>
  <c r="T57" i="17"/>
  <c r="T58" i="17" s="1"/>
  <c r="T59" i="17" s="1"/>
  <c r="C10" i="13"/>
  <c r="G10" i="13" s="1"/>
  <c r="R117" i="15"/>
  <c r="R118" i="15" s="1"/>
  <c r="R119" i="15" s="1"/>
  <c r="R120" i="15" s="1"/>
  <c r="R121" i="15" s="1"/>
  <c r="R122" i="15" s="1"/>
  <c r="R123" i="15" s="1"/>
  <c r="R124" i="15" s="1"/>
  <c r="R125" i="15" s="1"/>
  <c r="R126" i="15" s="1"/>
  <c r="R127" i="15" s="1"/>
  <c r="R128" i="15" s="1"/>
  <c r="R129" i="15" s="1"/>
  <c r="R130" i="15" s="1"/>
  <c r="R131" i="15" s="1"/>
  <c r="R132" i="15" s="1"/>
  <c r="R133" i="15" s="1"/>
  <c r="R134" i="15" s="1"/>
  <c r="R135" i="15" s="1"/>
  <c r="R136" i="15" s="1"/>
  <c r="T96" i="15"/>
  <c r="Q59" i="15"/>
  <c r="Q58" i="15" s="1"/>
  <c r="Q57" i="15" s="1"/>
  <c r="Q56" i="15" s="1"/>
  <c r="S62" i="15"/>
  <c r="W25" i="17"/>
  <c r="J26" i="17"/>
  <c r="U87" i="20"/>
  <c r="D74" i="20"/>
  <c r="C75" i="20"/>
  <c r="K173" i="17"/>
  <c r="T98" i="15"/>
  <c r="P80" i="17"/>
  <c r="M55" i="17"/>
  <c r="N55" i="17"/>
  <c r="O55" i="17" s="1"/>
  <c r="P55" i="17" s="1"/>
  <c r="R10" i="17"/>
  <c r="P26" i="15"/>
  <c r="P102" i="17"/>
  <c r="P10" i="17" s="1"/>
  <c r="M24" i="17"/>
  <c r="N24" i="17"/>
  <c r="O24" i="17" s="1"/>
  <c r="P24" i="17" s="1"/>
  <c r="U91" i="20"/>
  <c r="O64" i="17"/>
  <c r="K11" i="17" s="1"/>
  <c r="E170" i="17" s="1"/>
  <c r="D53" i="19"/>
  <c r="C54" i="19"/>
  <c r="F75" i="20"/>
  <c r="W91" i="20" s="1"/>
  <c r="E76" i="20"/>
  <c r="F76" i="20" s="1"/>
  <c r="W92" i="20" s="1"/>
  <c r="W23" i="17"/>
  <c r="P81" i="17"/>
  <c r="U85" i="20"/>
  <c r="D57" i="20"/>
  <c r="C58" i="20"/>
  <c r="L101" i="17"/>
  <c r="L98" i="17"/>
  <c r="F54" i="19"/>
  <c r="E55" i="19"/>
  <c r="F55" i="19" s="1"/>
  <c r="O23" i="17"/>
  <c r="P23" i="17" s="1"/>
  <c r="F55" i="20"/>
  <c r="V90" i="20" s="1"/>
  <c r="E56" i="20"/>
  <c r="K77" i="17"/>
  <c r="O22" i="17"/>
  <c r="P22" i="17" s="1"/>
  <c r="R9" i="17"/>
  <c r="L214" i="17" s="1"/>
  <c r="K88" i="17"/>
  <c r="K85" i="17"/>
  <c r="Q56" i="4"/>
  <c r="R57" i="4"/>
  <c r="O39" i="4"/>
  <c r="N39" i="4"/>
  <c r="P39" i="4" s="1"/>
  <c r="O40" i="4"/>
  <c r="N40" i="4"/>
  <c r="P40" i="4" s="1"/>
  <c r="Q76" i="4"/>
  <c r="N77" i="4"/>
  <c r="O77" i="4" s="1"/>
  <c r="R77" i="4"/>
  <c r="N78" i="4"/>
  <c r="O78" i="4" s="1"/>
  <c r="W43" i="39" l="1"/>
  <c r="R52" i="39" s="1"/>
  <c r="S52" i="39" s="1"/>
  <c r="Q53" i="39" s="1"/>
  <c r="S44" i="39"/>
  <c r="X26" i="39"/>
  <c r="X28" i="39" s="1"/>
  <c r="N30" i="44"/>
  <c r="N35" i="44" s="1"/>
  <c r="M32" i="44"/>
  <c r="M34" i="44"/>
  <c r="O20" i="27"/>
  <c r="P20" i="27" s="1"/>
  <c r="N21" i="27"/>
  <c r="U41" i="27"/>
  <c r="V41" i="27"/>
  <c r="T42" i="27"/>
  <c r="Q19" i="27"/>
  <c r="Q20" i="27" s="1"/>
  <c r="Y18" i="27"/>
  <c r="Z18" i="27" s="1"/>
  <c r="AA18" i="27" s="1"/>
  <c r="X19" i="27"/>
  <c r="S19" i="27"/>
  <c r="T19" i="27" s="1"/>
  <c r="M20" i="27"/>
  <c r="U18" i="27"/>
  <c r="V18" i="27"/>
  <c r="AB17" i="27"/>
  <c r="AC17" i="27" s="1"/>
  <c r="AD17" i="27" s="1"/>
  <c r="K80" i="13"/>
  <c r="K81" i="13" s="1"/>
  <c r="J81" i="13"/>
  <c r="N9" i="13"/>
  <c r="P38" i="15"/>
  <c r="P34" i="15"/>
  <c r="P39" i="15" s="1"/>
  <c r="N26" i="17"/>
  <c r="O26" i="17" s="1"/>
  <c r="P26" i="17" s="1"/>
  <c r="X89" i="20"/>
  <c r="Y89" i="20"/>
  <c r="R55" i="13"/>
  <c r="R56" i="13" s="1"/>
  <c r="R57" i="13" s="1"/>
  <c r="R58" i="13" s="1"/>
  <c r="AA74" i="15"/>
  <c r="R75" i="15"/>
  <c r="P35" i="15"/>
  <c r="Q39" i="15" s="1"/>
  <c r="Q38" i="15"/>
  <c r="Q40" i="15" s="1"/>
  <c r="S113" i="15"/>
  <c r="T116" i="15" s="1"/>
  <c r="T117" i="15" s="1"/>
  <c r="T118" i="15" s="1"/>
  <c r="T119" i="15" s="1"/>
  <c r="T120" i="15" s="1"/>
  <c r="T121" i="15" s="1"/>
  <c r="T122" i="15" s="1"/>
  <c r="T123" i="15" s="1"/>
  <c r="T124" i="15" s="1"/>
  <c r="T125" i="15" s="1"/>
  <c r="T126" i="15" s="1"/>
  <c r="T127" i="15" s="1"/>
  <c r="T128" i="15" s="1"/>
  <c r="T129" i="15" s="1"/>
  <c r="T130" i="15" s="1"/>
  <c r="T131" i="15" s="1"/>
  <c r="T132" i="15" s="1"/>
  <c r="T133" i="15" s="1"/>
  <c r="T134" i="15" s="1"/>
  <c r="T135" i="15" s="1"/>
  <c r="T136" i="15" s="1"/>
  <c r="C75" i="19"/>
  <c r="D74" i="19"/>
  <c r="AM73" i="15"/>
  <c r="AH73" i="15"/>
  <c r="T74" i="15"/>
  <c r="Q46" i="13"/>
  <c r="T45" i="13"/>
  <c r="R137" i="15"/>
  <c r="AA136" i="15"/>
  <c r="W68" i="15"/>
  <c r="V68" i="15"/>
  <c r="U68" i="15"/>
  <c r="U69" i="15" s="1"/>
  <c r="U70" i="15" s="1"/>
  <c r="U71" i="15" s="1"/>
  <c r="U72" i="15" s="1"/>
  <c r="U73" i="15" s="1"/>
  <c r="U74" i="15" s="1"/>
  <c r="U75" i="15" s="1"/>
  <c r="U76" i="15" s="1"/>
  <c r="U77" i="15" s="1"/>
  <c r="U78" i="15" s="1"/>
  <c r="U79" i="15" s="1"/>
  <c r="U80" i="15" s="1"/>
  <c r="U81" i="15" s="1"/>
  <c r="U82" i="15" s="1"/>
  <c r="U83" i="15" s="1"/>
  <c r="C222" i="12"/>
  <c r="O44" i="12"/>
  <c r="B55" i="13"/>
  <c r="U39" i="13"/>
  <c r="D58" i="20"/>
  <c r="C59" i="20"/>
  <c r="C55" i="19"/>
  <c r="D54" i="19"/>
  <c r="U55" i="13"/>
  <c r="M103" i="13"/>
  <c r="N102" i="13"/>
  <c r="N103" i="13" s="1"/>
  <c r="J84" i="17"/>
  <c r="L83" i="17"/>
  <c r="M83" i="17" s="1"/>
  <c r="M56" i="17"/>
  <c r="N56" i="17"/>
  <c r="O56" i="17" s="1"/>
  <c r="P56" i="17" s="1"/>
  <c r="C76" i="20"/>
  <c r="D75" i="20"/>
  <c r="M10" i="13"/>
  <c r="N10" i="13" s="1"/>
  <c r="J10" i="13"/>
  <c r="K10" i="13" s="1"/>
  <c r="M80" i="13"/>
  <c r="K9" i="13"/>
  <c r="A110" i="13"/>
  <c r="D109" i="13"/>
  <c r="Y91" i="20"/>
  <c r="Y92" i="20"/>
  <c r="O111" i="12"/>
  <c r="O113" i="12" s="1"/>
  <c r="N113" i="12"/>
  <c r="J103" i="13"/>
  <c r="K102" i="13"/>
  <c r="K103" i="13" s="1"/>
  <c r="W26" i="17"/>
  <c r="J27" i="17"/>
  <c r="F56" i="20"/>
  <c r="V91" i="20" s="1"/>
  <c r="X91" i="20" s="1"/>
  <c r="E57" i="20"/>
  <c r="F57" i="20" s="1"/>
  <c r="V92" i="20" s="1"/>
  <c r="X92" i="20" s="1"/>
  <c r="S70" i="15"/>
  <c r="P71" i="15"/>
  <c r="J11" i="13"/>
  <c r="K11" i="13" s="1"/>
  <c r="M11" i="13"/>
  <c r="N11" i="13" s="1"/>
  <c r="Q82" i="17"/>
  <c r="P82" i="17"/>
  <c r="X85" i="20"/>
  <c r="W77" i="20" s="1"/>
  <c r="Y85" i="20"/>
  <c r="W78" i="20" s="1"/>
  <c r="W80" i="20" s="1"/>
  <c r="Y87" i="20"/>
  <c r="W79" i="20" s="1"/>
  <c r="X87" i="20"/>
  <c r="X90" i="20"/>
  <c r="Y90" i="20"/>
  <c r="P118" i="15"/>
  <c r="S117" i="15"/>
  <c r="A21" i="13"/>
  <c r="D20" i="13"/>
  <c r="P138" i="12"/>
  <c r="C293" i="12" s="1"/>
  <c r="A87" i="13"/>
  <c r="D86" i="13"/>
  <c r="O98" i="17"/>
  <c r="P98" i="17"/>
  <c r="M25" i="17"/>
  <c r="N25" i="17"/>
  <c r="O25" i="17" s="1"/>
  <c r="P25" i="17" s="1"/>
  <c r="X88" i="20"/>
  <c r="Y88" i="20"/>
  <c r="O130" i="12"/>
  <c r="B110" i="13"/>
  <c r="N122" i="12"/>
  <c r="N143" i="12" s="1"/>
  <c r="P143" i="12" s="1"/>
  <c r="C290" i="12" s="1"/>
  <c r="O101" i="17"/>
  <c r="P101" i="17"/>
  <c r="X86" i="20"/>
  <c r="Y86" i="20"/>
  <c r="X116" i="15"/>
  <c r="Q75" i="4"/>
  <c r="N76" i="4"/>
  <c r="O76" i="4" s="1"/>
  <c r="R76" i="4"/>
  <c r="Q55" i="4"/>
  <c r="R56" i="4"/>
  <c r="M37" i="44" l="1"/>
  <c r="N37" i="44" s="1"/>
  <c r="M35" i="44"/>
  <c r="M39" i="44" s="1"/>
  <c r="M41" i="44" s="1"/>
  <c r="V44" i="39"/>
  <c r="U44" i="39"/>
  <c r="X20" i="27"/>
  <c r="Y19" i="27"/>
  <c r="M21" i="27"/>
  <c r="S20" i="27"/>
  <c r="T20" i="27" s="1"/>
  <c r="U19" i="27"/>
  <c r="V19" i="27"/>
  <c r="U42" i="27"/>
  <c r="T43" i="27"/>
  <c r="V42" i="27"/>
  <c r="O21" i="27"/>
  <c r="P21" i="27" s="1"/>
  <c r="N22" i="27"/>
  <c r="AB18" i="27"/>
  <c r="AC18" i="27" s="1"/>
  <c r="AD18" i="27" s="1"/>
  <c r="D42" i="13"/>
  <c r="F42" i="13" s="1"/>
  <c r="R138" i="15"/>
  <c r="AA137" i="15"/>
  <c r="U56" i="13"/>
  <c r="U57" i="13" s="1"/>
  <c r="U58" i="13" s="1"/>
  <c r="D47" i="13"/>
  <c r="F47" i="13" s="1"/>
  <c r="C77" i="20"/>
  <c r="D76" i="20"/>
  <c r="D41" i="13"/>
  <c r="F41" i="13" s="1"/>
  <c r="J12" i="13"/>
  <c r="N10" i="12" s="1"/>
  <c r="N12" i="12" s="1"/>
  <c r="N36" i="12" s="1"/>
  <c r="Q83" i="17"/>
  <c r="P83" i="17"/>
  <c r="P40" i="15"/>
  <c r="S64" i="15" s="1"/>
  <c r="W69" i="15" s="1"/>
  <c r="W70" i="15" s="1"/>
  <c r="W71" i="15" s="1"/>
  <c r="W72" i="15" s="1"/>
  <c r="W73" i="15" s="1"/>
  <c r="W74" i="15" s="1"/>
  <c r="W75" i="15" s="1"/>
  <c r="W76" i="15" s="1"/>
  <c r="W77" i="15" s="1"/>
  <c r="W78" i="15" s="1"/>
  <c r="W79" i="15" s="1"/>
  <c r="W80" i="15" s="1"/>
  <c r="W81" i="15" s="1"/>
  <c r="W82" i="15" s="1"/>
  <c r="W83" i="15" s="1"/>
  <c r="T137" i="15"/>
  <c r="AH136" i="15"/>
  <c r="AM136" i="15"/>
  <c r="W82" i="20"/>
  <c r="N93" i="20" s="1"/>
  <c r="A111" i="13"/>
  <c r="D110" i="13"/>
  <c r="M26" i="17"/>
  <c r="K12" i="13"/>
  <c r="N14" i="12" s="1"/>
  <c r="N53" i="12" s="1"/>
  <c r="J85" i="17"/>
  <c r="L84" i="17"/>
  <c r="M84" i="17" s="1"/>
  <c r="B56" i="13"/>
  <c r="M12" i="13"/>
  <c r="V69" i="15"/>
  <c r="X68" i="15"/>
  <c r="A88" i="13"/>
  <c r="D87" i="13"/>
  <c r="D55" i="19"/>
  <c r="C56" i="19"/>
  <c r="W27" i="17"/>
  <c r="J28" i="17"/>
  <c r="D59" i="20"/>
  <c r="C60" i="20"/>
  <c r="B111" i="13"/>
  <c r="D21" i="13"/>
  <c r="A22" i="13"/>
  <c r="N80" i="13"/>
  <c r="N81" i="13" s="1"/>
  <c r="M81" i="13"/>
  <c r="T46" i="13"/>
  <c r="Q47" i="13"/>
  <c r="N12" i="13"/>
  <c r="O14" i="12" s="1"/>
  <c r="N54" i="12" s="1"/>
  <c r="N154" i="12" s="1"/>
  <c r="P72" i="15"/>
  <c r="S71" i="15"/>
  <c r="D75" i="19"/>
  <c r="C76" i="19"/>
  <c r="X56" i="17"/>
  <c r="Y56" i="17"/>
  <c r="M57" i="17"/>
  <c r="M58" i="17" s="1"/>
  <c r="N57" i="17"/>
  <c r="O57" i="17" s="1"/>
  <c r="P57" i="17" s="1"/>
  <c r="AH74" i="15"/>
  <c r="T75" i="15"/>
  <c r="AM74" i="15"/>
  <c r="AA75" i="15"/>
  <c r="R76" i="15"/>
  <c r="O132" i="12"/>
  <c r="S118" i="15"/>
  <c r="P119" i="15"/>
  <c r="D48" i="13"/>
  <c r="F48" i="13" s="1"/>
  <c r="R75" i="4"/>
  <c r="N75" i="4"/>
  <c r="O75" i="4" s="1"/>
  <c r="Q74" i="4"/>
  <c r="N55" i="4"/>
  <c r="O55" i="4" s="1"/>
  <c r="R55" i="4"/>
  <c r="Q54" i="4"/>
  <c r="S45" i="39" l="1"/>
  <c r="W44" i="39"/>
  <c r="R53" i="39" s="1"/>
  <c r="S53" i="39" s="1"/>
  <c r="Q54" i="39" s="1"/>
  <c r="N41" i="44"/>
  <c r="N46" i="44" s="1"/>
  <c r="M43" i="44"/>
  <c r="M45" i="44"/>
  <c r="M46" i="44"/>
  <c r="N39" i="44"/>
  <c r="U43" i="27"/>
  <c r="T44" i="27"/>
  <c r="V43" i="27"/>
  <c r="Q21" i="27"/>
  <c r="Q22" i="27" s="1"/>
  <c r="U20" i="27"/>
  <c r="V20" i="27"/>
  <c r="Z19" i="27"/>
  <c r="AA19" i="27" s="1"/>
  <c r="S21" i="27"/>
  <c r="T21" i="27" s="1"/>
  <c r="M22" i="27"/>
  <c r="X21" i="27"/>
  <c r="Y20" i="27"/>
  <c r="O22" i="27"/>
  <c r="P22" i="27" s="1"/>
  <c r="N23" i="27"/>
  <c r="C77" i="19"/>
  <c r="D76" i="19"/>
  <c r="D22" i="13"/>
  <c r="A23" i="13"/>
  <c r="D88" i="13"/>
  <c r="A89" i="13"/>
  <c r="A112" i="13"/>
  <c r="D112" i="13" s="1"/>
  <c r="D111" i="13"/>
  <c r="B112" i="13"/>
  <c r="V70" i="15"/>
  <c r="X69" i="15"/>
  <c r="C216" i="12"/>
  <c r="J48" i="13"/>
  <c r="K48" i="13" s="1"/>
  <c r="M48" i="13"/>
  <c r="N48" i="13" s="1"/>
  <c r="D60" i="20"/>
  <c r="C61" i="20"/>
  <c r="O10" i="12"/>
  <c r="O12" i="12" s="1"/>
  <c r="N32" i="12" s="1"/>
  <c r="N37" i="12" s="1"/>
  <c r="N129" i="12" s="1"/>
  <c r="N134" i="12"/>
  <c r="N55" i="12"/>
  <c r="N57" i="12" s="1"/>
  <c r="N61" i="12" s="1"/>
  <c r="E217" i="12"/>
  <c r="O140" i="12"/>
  <c r="O134" i="12"/>
  <c r="P134" i="12" s="1"/>
  <c r="C295" i="12" s="1"/>
  <c r="Q48" i="13"/>
  <c r="T47" i="13"/>
  <c r="AH137" i="15"/>
  <c r="AM137" i="15"/>
  <c r="T138" i="15"/>
  <c r="AA138" i="15"/>
  <c r="R139" i="15"/>
  <c r="N59" i="17"/>
  <c r="O59" i="17" s="1"/>
  <c r="P59" i="17" s="1"/>
  <c r="W28" i="17"/>
  <c r="J29" i="17"/>
  <c r="B57" i="13"/>
  <c r="J42" i="13"/>
  <c r="K42" i="13" s="1"/>
  <c r="M42" i="13"/>
  <c r="N42" i="13" s="1"/>
  <c r="T76" i="15"/>
  <c r="AH75" i="15"/>
  <c r="AM75" i="15"/>
  <c r="P73" i="15"/>
  <c r="S72" i="15"/>
  <c r="M47" i="13"/>
  <c r="J47" i="13"/>
  <c r="P120" i="15"/>
  <c r="S119" i="15"/>
  <c r="Q84" i="17"/>
  <c r="P84" i="17"/>
  <c r="V117" i="15"/>
  <c r="W117" i="15"/>
  <c r="W118" i="15" s="1"/>
  <c r="W119" i="15" s="1"/>
  <c r="W120" i="15" s="1"/>
  <c r="W121" i="15" s="1"/>
  <c r="W122" i="15" s="1"/>
  <c r="W123" i="15" s="1"/>
  <c r="W124" i="15" s="1"/>
  <c r="W125" i="15" s="1"/>
  <c r="W126" i="15" s="1"/>
  <c r="W127" i="15" s="1"/>
  <c r="W128" i="15" s="1"/>
  <c r="W129" i="15" s="1"/>
  <c r="W130" i="15" s="1"/>
  <c r="W131" i="15" s="1"/>
  <c r="W132" i="15" s="1"/>
  <c r="W133" i="15" s="1"/>
  <c r="W134" i="15" s="1"/>
  <c r="W135" i="15" s="1"/>
  <c r="W136" i="15" s="1"/>
  <c r="W137" i="15" s="1"/>
  <c r="W138" i="15" s="1"/>
  <c r="W139" i="15" s="1"/>
  <c r="W140" i="15" s="1"/>
  <c r="W141" i="15" s="1"/>
  <c r="W142" i="15" s="1"/>
  <c r="W143" i="15" s="1"/>
  <c r="W144" i="15" s="1"/>
  <c r="W145" i="15" s="1"/>
  <c r="W146" i="15" s="1"/>
  <c r="M27" i="17"/>
  <c r="N27" i="17"/>
  <c r="O27" i="17" s="1"/>
  <c r="P27" i="17" s="1"/>
  <c r="M41" i="13"/>
  <c r="J41" i="13"/>
  <c r="D77" i="20"/>
  <c r="C78" i="20"/>
  <c r="R77" i="15"/>
  <c r="AA76" i="15"/>
  <c r="D56" i="19"/>
  <c r="C57" i="19"/>
  <c r="J86" i="17"/>
  <c r="L85" i="17"/>
  <c r="M85" i="17" s="1"/>
  <c r="N58" i="17"/>
  <c r="O58" i="17" s="1"/>
  <c r="P58" i="17" s="1"/>
  <c r="R54" i="4"/>
  <c r="Q53" i="4"/>
  <c r="N54" i="4"/>
  <c r="O54" i="4" s="1"/>
  <c r="Q73" i="4"/>
  <c r="N74" i="4"/>
  <c r="O74" i="4" s="1"/>
  <c r="R74" i="4"/>
  <c r="M48" i="44" l="1"/>
  <c r="N48" i="44" s="1"/>
  <c r="N50" i="44"/>
  <c r="N53" i="44" s="1"/>
  <c r="U45" i="39"/>
  <c r="V45" i="39"/>
  <c r="W45" i="39" s="1"/>
  <c r="R54" i="39" s="1"/>
  <c r="S54" i="39" s="1"/>
  <c r="S56" i="39" s="1"/>
  <c r="U21" i="27"/>
  <c r="V21" i="27"/>
  <c r="AB19" i="27"/>
  <c r="AC19" i="27" s="1"/>
  <c r="AD19" i="27" s="1"/>
  <c r="O23" i="27"/>
  <c r="P23" i="27" s="1"/>
  <c r="N24" i="27"/>
  <c r="T45" i="27"/>
  <c r="U44" i="27"/>
  <c r="V44" i="27"/>
  <c r="X22" i="27"/>
  <c r="Y21" i="27"/>
  <c r="Z21" i="27" s="1"/>
  <c r="AA21" i="27" s="1"/>
  <c r="S22" i="27"/>
  <c r="T22" i="27" s="1"/>
  <c r="M23" i="27"/>
  <c r="Z20" i="27"/>
  <c r="AA20" i="27" s="1"/>
  <c r="N130" i="12"/>
  <c r="P130" i="12" s="1"/>
  <c r="C282" i="12" s="1"/>
  <c r="P129" i="12"/>
  <c r="C281" i="12" s="1"/>
  <c r="O148" i="12"/>
  <c r="P148" i="12" s="1"/>
  <c r="C288" i="12" s="1"/>
  <c r="T48" i="13"/>
  <c r="Q49" i="13"/>
  <c r="A90" i="13"/>
  <c r="D89" i="13"/>
  <c r="B58" i="13"/>
  <c r="S120" i="15"/>
  <c r="P121" i="15"/>
  <c r="AH76" i="15"/>
  <c r="T77" i="15"/>
  <c r="AM76" i="15"/>
  <c r="C79" i="20"/>
  <c r="D78" i="20"/>
  <c r="D23" i="13"/>
  <c r="A24" i="13"/>
  <c r="W29" i="17"/>
  <c r="J30" i="17"/>
  <c r="N38" i="12"/>
  <c r="K41" i="13"/>
  <c r="K43" i="13" s="1"/>
  <c r="N83" i="12" s="1"/>
  <c r="J43" i="13"/>
  <c r="N79" i="12" s="1"/>
  <c r="N81" i="12" s="1"/>
  <c r="N105" i="12" s="1"/>
  <c r="J49" i="13"/>
  <c r="K47" i="13"/>
  <c r="K49" i="13" s="1"/>
  <c r="N153" i="12"/>
  <c r="C217" i="12"/>
  <c r="R78" i="15"/>
  <c r="AA77" i="15"/>
  <c r="Q85" i="17"/>
  <c r="Q74" i="17" s="1"/>
  <c r="P85" i="17"/>
  <c r="P74" i="17" s="1"/>
  <c r="N47" i="13"/>
  <c r="N49" i="13" s="1"/>
  <c r="M49" i="13"/>
  <c r="X59" i="17"/>
  <c r="X60" i="17" s="1"/>
  <c r="Y59" i="17"/>
  <c r="Y60" i="17" s="1"/>
  <c r="N67" i="12"/>
  <c r="D77" i="19"/>
  <c r="C78" i="19"/>
  <c r="M43" i="13"/>
  <c r="O79" i="12" s="1"/>
  <c r="O81" i="12" s="1"/>
  <c r="N101" i="12" s="1"/>
  <c r="N41" i="13"/>
  <c r="N43" i="13" s="1"/>
  <c r="O83" i="12" s="1"/>
  <c r="J87" i="17"/>
  <c r="L86" i="17"/>
  <c r="M86" i="17" s="1"/>
  <c r="R140" i="15"/>
  <c r="AA139" i="15"/>
  <c r="X117" i="15"/>
  <c r="V118" i="15"/>
  <c r="D57" i="19"/>
  <c r="C58" i="19"/>
  <c r="P74" i="15"/>
  <c r="AB73" i="15"/>
  <c r="AD73" i="15" s="1"/>
  <c r="S73" i="15"/>
  <c r="AC73" i="15" s="1"/>
  <c r="X70" i="15"/>
  <c r="V71" i="15"/>
  <c r="D61" i="20"/>
  <c r="C62" i="20"/>
  <c r="M28" i="17"/>
  <c r="N28" i="17"/>
  <c r="O28" i="17" s="1"/>
  <c r="P28" i="17" s="1"/>
  <c r="AM138" i="15"/>
  <c r="T139" i="15"/>
  <c r="AH138" i="15"/>
  <c r="R73" i="4"/>
  <c r="N73" i="4"/>
  <c r="O73" i="4" s="1"/>
  <c r="Q72" i="4"/>
  <c r="N53" i="4"/>
  <c r="O53" i="4" s="1"/>
  <c r="R53" i="4"/>
  <c r="Q52" i="4"/>
  <c r="M50" i="44" l="1"/>
  <c r="M53" i="44" s="1"/>
  <c r="O53" i="44" s="1"/>
  <c r="U22" i="27"/>
  <c r="V22" i="27" s="1"/>
  <c r="X23" i="27"/>
  <c r="Y22" i="27"/>
  <c r="N25" i="27"/>
  <c r="O24" i="27"/>
  <c r="P24" i="27" s="1"/>
  <c r="Q23" i="27"/>
  <c r="Q24" i="27" s="1"/>
  <c r="T46" i="27"/>
  <c r="U45" i="27"/>
  <c r="V45" i="27"/>
  <c r="AB20" i="27"/>
  <c r="AC20" i="27" s="1"/>
  <c r="AD20" i="27" s="1"/>
  <c r="AB21" i="27"/>
  <c r="M24" i="27"/>
  <c r="S23" i="27"/>
  <c r="T23" i="27" s="1"/>
  <c r="B59" i="13"/>
  <c r="R79" i="15"/>
  <c r="AA78" i="15"/>
  <c r="A91" i="13"/>
  <c r="D90" i="13"/>
  <c r="D58" i="19"/>
  <c r="C59" i="19"/>
  <c r="C80" i="20"/>
  <c r="D79" i="20"/>
  <c r="AM77" i="15"/>
  <c r="T78" i="15"/>
  <c r="AH77" i="15"/>
  <c r="N157" i="12"/>
  <c r="N106" i="12"/>
  <c r="C272" i="12" s="1"/>
  <c r="E218" i="12" s="1"/>
  <c r="M29" i="17"/>
  <c r="N29" i="17"/>
  <c r="O29" i="17" s="1"/>
  <c r="P29" i="17" s="1"/>
  <c r="N155" i="12"/>
  <c r="N156" i="12" s="1"/>
  <c r="N158" i="12" s="1"/>
  <c r="N140" i="12" s="1"/>
  <c r="P140" i="12" s="1"/>
  <c r="C294" i="12" s="1"/>
  <c r="L10" i="17"/>
  <c r="Y61" i="17"/>
  <c r="N10" i="17" s="1"/>
  <c r="N121" i="12"/>
  <c r="N142" i="12" s="1"/>
  <c r="P142" i="12" s="1"/>
  <c r="C289" i="12" s="1"/>
  <c r="N145" i="12"/>
  <c r="P145" i="12" s="1"/>
  <c r="C292" i="12" s="1"/>
  <c r="N132" i="12"/>
  <c r="P132" i="12" s="1"/>
  <c r="X61" i="17"/>
  <c r="M10" i="17" s="1"/>
  <c r="K10" i="17"/>
  <c r="P122" i="15"/>
  <c r="S121" i="15"/>
  <c r="X118" i="15"/>
  <c r="V119" i="15"/>
  <c r="X71" i="15"/>
  <c r="V72" i="15"/>
  <c r="AA140" i="15"/>
  <c r="R141" i="15"/>
  <c r="Q86" i="17"/>
  <c r="P86" i="17"/>
  <c r="W30" i="17"/>
  <c r="J31" i="17"/>
  <c r="T140" i="15"/>
  <c r="AH139" i="15"/>
  <c r="AM139" i="15"/>
  <c r="AB74" i="15"/>
  <c r="S74" i="15"/>
  <c r="AC74" i="15" s="1"/>
  <c r="P75" i="15"/>
  <c r="A25" i="13"/>
  <c r="D24" i="13"/>
  <c r="C79" i="19"/>
  <c r="D78" i="19"/>
  <c r="T49" i="13"/>
  <c r="Q50" i="13"/>
  <c r="D217" i="12"/>
  <c r="E220" i="12" s="1"/>
  <c r="D62" i="20"/>
  <c r="C63" i="20"/>
  <c r="N150" i="12"/>
  <c r="C271" i="12"/>
  <c r="J88" i="17"/>
  <c r="L87" i="17"/>
  <c r="M87" i="17" s="1"/>
  <c r="C219" i="12"/>
  <c r="Q51" i="4"/>
  <c r="N52" i="4"/>
  <c r="O52" i="4" s="1"/>
  <c r="R52" i="4"/>
  <c r="Q71" i="4"/>
  <c r="R72" i="4"/>
  <c r="N72" i="4"/>
  <c r="O72" i="4" s="1"/>
  <c r="AC21" i="27" l="1"/>
  <c r="AD21" i="27" s="1"/>
  <c r="U46" i="27"/>
  <c r="T47" i="27"/>
  <c r="V46" i="27"/>
  <c r="N26" i="27"/>
  <c r="O25" i="27"/>
  <c r="P25" i="27" s="1"/>
  <c r="Z22" i="27"/>
  <c r="AA22" i="27" s="1"/>
  <c r="Y23" i="27"/>
  <c r="Z23" i="27" s="1"/>
  <c r="AA23" i="27" s="1"/>
  <c r="X24" i="27"/>
  <c r="V23" i="27"/>
  <c r="U23" i="27"/>
  <c r="S24" i="27"/>
  <c r="T24" i="27" s="1"/>
  <c r="M25" i="27"/>
  <c r="C296" i="12"/>
  <c r="W31" i="17"/>
  <c r="J32" i="17"/>
  <c r="S122" i="15"/>
  <c r="P123" i="15"/>
  <c r="M30" i="17"/>
  <c r="V120" i="15"/>
  <c r="X119" i="15"/>
  <c r="E108" i="13"/>
  <c r="F108" i="13" s="1"/>
  <c r="E109" i="13"/>
  <c r="F109" i="13" s="1"/>
  <c r="E110" i="13"/>
  <c r="F110" i="13" s="1"/>
  <c r="E111" i="13"/>
  <c r="F111" i="13" s="1"/>
  <c r="E112" i="13"/>
  <c r="F112" i="13" s="1"/>
  <c r="E89" i="13"/>
  <c r="F89" i="13" s="1"/>
  <c r="E90" i="13"/>
  <c r="F90" i="13" s="1"/>
  <c r="E88" i="13"/>
  <c r="F88" i="13" s="1"/>
  <c r="E87" i="13"/>
  <c r="F87" i="13" s="1"/>
  <c r="E86" i="13"/>
  <c r="F86" i="13" s="1"/>
  <c r="D91" i="13"/>
  <c r="E91" i="13"/>
  <c r="F91" i="13" s="1"/>
  <c r="D59" i="19"/>
  <c r="C60" i="19"/>
  <c r="Q87" i="17"/>
  <c r="P87" i="17"/>
  <c r="J89" i="17"/>
  <c r="L88" i="17"/>
  <c r="M88" i="17" s="1"/>
  <c r="C285" i="12"/>
  <c r="T79" i="15"/>
  <c r="AM78" i="15"/>
  <c r="AH78" i="15"/>
  <c r="N149" i="12"/>
  <c r="P149" i="12" s="1"/>
  <c r="P152" i="12" s="1"/>
  <c r="P150" i="12"/>
  <c r="S75" i="15"/>
  <c r="AC75" i="15" s="1"/>
  <c r="P76" i="15"/>
  <c r="AB75" i="15"/>
  <c r="AD75" i="15" s="1"/>
  <c r="X72" i="15"/>
  <c r="V73" i="15"/>
  <c r="Q51" i="13"/>
  <c r="T50" i="13"/>
  <c r="T141" i="15"/>
  <c r="AH140" i="15"/>
  <c r="AM140" i="15"/>
  <c r="A26" i="13"/>
  <c r="D25" i="13"/>
  <c r="AA141" i="15"/>
  <c r="R142" i="15"/>
  <c r="B60" i="13"/>
  <c r="D80" i="20"/>
  <c r="C81" i="20"/>
  <c r="D79" i="19"/>
  <c r="C80" i="19"/>
  <c r="N107" i="12"/>
  <c r="C274" i="12" s="1"/>
  <c r="AA79" i="15"/>
  <c r="R80" i="15"/>
  <c r="C64" i="20"/>
  <c r="D63" i="20"/>
  <c r="AD74" i="15"/>
  <c r="N30" i="17"/>
  <c r="O30" i="17" s="1"/>
  <c r="P30" i="17" s="1"/>
  <c r="Q70" i="4"/>
  <c r="R71" i="4"/>
  <c r="N71" i="4"/>
  <c r="O71" i="4" s="1"/>
  <c r="N51" i="4"/>
  <c r="O51" i="4" s="1"/>
  <c r="R51" i="4"/>
  <c r="Q50" i="4"/>
  <c r="AB23" i="27" l="1"/>
  <c r="Y24" i="27"/>
  <c r="X25" i="27"/>
  <c r="T48" i="27"/>
  <c r="U47" i="27"/>
  <c r="V47" i="27"/>
  <c r="N27" i="27"/>
  <c r="O26" i="27"/>
  <c r="P26" i="27" s="1"/>
  <c r="Q25" i="27"/>
  <c r="S25" i="27"/>
  <c r="T25" i="27" s="1"/>
  <c r="M26" i="27"/>
  <c r="U24" i="27"/>
  <c r="V24" i="27" s="1"/>
  <c r="AB22" i="27"/>
  <c r="AC22" i="27" s="1"/>
  <c r="AD22" i="27" s="1"/>
  <c r="H109" i="13"/>
  <c r="J109" i="13"/>
  <c r="D80" i="19"/>
  <c r="C81" i="19"/>
  <c r="H91" i="13"/>
  <c r="H94" i="13" s="1"/>
  <c r="J91" i="13"/>
  <c r="J94" i="13" s="1"/>
  <c r="J108" i="13"/>
  <c r="H108" i="13"/>
  <c r="AH141" i="15"/>
  <c r="AM141" i="15"/>
  <c r="T142" i="15"/>
  <c r="T80" i="15"/>
  <c r="AH79" i="15"/>
  <c r="AM79" i="15"/>
  <c r="V121" i="15"/>
  <c r="X120" i="15"/>
  <c r="AE73" i="15"/>
  <c r="X73" i="15"/>
  <c r="V74" i="15"/>
  <c r="H88" i="13"/>
  <c r="J88" i="13"/>
  <c r="P124" i="15"/>
  <c r="S123" i="15"/>
  <c r="D26" i="13"/>
  <c r="A27" i="13"/>
  <c r="D27" i="13" s="1"/>
  <c r="M31" i="17"/>
  <c r="N31" i="17"/>
  <c r="O31" i="17" s="1"/>
  <c r="P31" i="17" s="1"/>
  <c r="H87" i="13"/>
  <c r="J87" i="13"/>
  <c r="L89" i="17"/>
  <c r="M89" i="17" s="1"/>
  <c r="J90" i="17"/>
  <c r="L90" i="17" s="1"/>
  <c r="M90" i="17" s="1"/>
  <c r="H89" i="13"/>
  <c r="J89" i="13"/>
  <c r="W32" i="17"/>
  <c r="J33" i="17"/>
  <c r="AB76" i="15"/>
  <c r="S76" i="15"/>
  <c r="AC76" i="15" s="1"/>
  <c r="P77" i="15"/>
  <c r="H112" i="13"/>
  <c r="H115" i="13" s="1"/>
  <c r="J112" i="13"/>
  <c r="J115" i="13" s="1"/>
  <c r="H86" i="13"/>
  <c r="J86" i="13"/>
  <c r="T51" i="13"/>
  <c r="Q52" i="13"/>
  <c r="Q88" i="17"/>
  <c r="P88" i="17"/>
  <c r="AA142" i="15"/>
  <c r="R143" i="15"/>
  <c r="D64" i="20"/>
  <c r="C65" i="20"/>
  <c r="D65" i="20" s="1"/>
  <c r="N85" i="20" s="1"/>
  <c r="P85" i="20" s="1"/>
  <c r="O77" i="20" s="1"/>
  <c r="H111" i="13"/>
  <c r="J111" i="13"/>
  <c r="C82" i="20"/>
  <c r="D81" i="20"/>
  <c r="B61" i="13"/>
  <c r="H90" i="13"/>
  <c r="J90" i="13"/>
  <c r="R81" i="15"/>
  <c r="AA80" i="15"/>
  <c r="C61" i="19"/>
  <c r="D60" i="19"/>
  <c r="J110" i="13"/>
  <c r="H110" i="13"/>
  <c r="C298" i="12"/>
  <c r="N50" i="4"/>
  <c r="O50" i="4" s="1"/>
  <c r="Q49" i="4"/>
  <c r="R50" i="4"/>
  <c r="N70" i="4"/>
  <c r="O70" i="4" s="1"/>
  <c r="L85" i="4" s="1"/>
  <c r="M85" i="4" s="1"/>
  <c r="R70" i="4"/>
  <c r="U25" i="27" l="1"/>
  <c r="V25" i="27" s="1"/>
  <c r="S26" i="27"/>
  <c r="T26" i="27" s="1"/>
  <c r="M27" i="27"/>
  <c r="Q26" i="27"/>
  <c r="V48" i="27"/>
  <c r="U48" i="27"/>
  <c r="T49" i="27"/>
  <c r="X26" i="27"/>
  <c r="Y25" i="27"/>
  <c r="O27" i="27"/>
  <c r="P27" i="27" s="1"/>
  <c r="N28" i="27"/>
  <c r="Z24" i="27"/>
  <c r="AA24" i="27" s="1"/>
  <c r="AC23" i="27"/>
  <c r="AD23" i="27" s="1"/>
  <c r="T52" i="13"/>
  <c r="Q53" i="13"/>
  <c r="J93" i="13"/>
  <c r="J95" i="13" s="1"/>
  <c r="Q89" i="17"/>
  <c r="P89" i="17"/>
  <c r="H114" i="13"/>
  <c r="H116" i="13" s="1"/>
  <c r="H93" i="13"/>
  <c r="H95" i="13" s="1"/>
  <c r="AE74" i="15"/>
  <c r="X74" i="15"/>
  <c r="V75" i="15"/>
  <c r="J114" i="13"/>
  <c r="J116" i="13" s="1"/>
  <c r="Q90" i="17"/>
  <c r="P90" i="17"/>
  <c r="AD76" i="15"/>
  <c r="AA81" i="15"/>
  <c r="R82" i="15"/>
  <c r="S77" i="15"/>
  <c r="AC77" i="15" s="1"/>
  <c r="P78" i="15"/>
  <c r="AB77" i="15"/>
  <c r="AD77" i="15" s="1"/>
  <c r="D81" i="19"/>
  <c r="C82" i="19"/>
  <c r="D82" i="19" s="1"/>
  <c r="S124" i="15"/>
  <c r="P125" i="15"/>
  <c r="D61" i="19"/>
  <c r="C62" i="19"/>
  <c r="X121" i="15"/>
  <c r="V122" i="15"/>
  <c r="W33" i="17"/>
  <c r="J34" i="17"/>
  <c r="B62" i="13"/>
  <c r="F61" i="13"/>
  <c r="E19" i="13"/>
  <c r="F19" i="13" s="1"/>
  <c r="E23" i="13"/>
  <c r="F23" i="13" s="1"/>
  <c r="E27" i="13"/>
  <c r="F27" i="13" s="1"/>
  <c r="E55" i="13"/>
  <c r="F55" i="13" s="1"/>
  <c r="E63" i="13"/>
  <c r="E56" i="13"/>
  <c r="F56" i="13" s="1"/>
  <c r="E62" i="13"/>
  <c r="E65" i="13"/>
  <c r="E24" i="13"/>
  <c r="F24" i="13" s="1"/>
  <c r="E21" i="13"/>
  <c r="F21" i="13" s="1"/>
  <c r="E18" i="13"/>
  <c r="F18" i="13" s="1"/>
  <c r="E26" i="13"/>
  <c r="F26" i="13" s="1"/>
  <c r="E57" i="13"/>
  <c r="F57" i="13" s="1"/>
  <c r="E59" i="13"/>
  <c r="F59" i="13" s="1"/>
  <c r="E58" i="13"/>
  <c r="F58" i="13" s="1"/>
  <c r="E20" i="13"/>
  <c r="F20" i="13" s="1"/>
  <c r="E60" i="13"/>
  <c r="F60" i="13" s="1"/>
  <c r="E17" i="13"/>
  <c r="F17" i="13" s="1"/>
  <c r="E22" i="13"/>
  <c r="F22" i="13" s="1"/>
  <c r="E64" i="13"/>
  <c r="E25" i="13"/>
  <c r="F25" i="13" s="1"/>
  <c r="E61" i="13"/>
  <c r="T81" i="15"/>
  <c r="AH80" i="15"/>
  <c r="AM80" i="15"/>
  <c r="D82" i="20"/>
  <c r="C83" i="20"/>
  <c r="AN73" i="15"/>
  <c r="AP73" i="15" s="1"/>
  <c r="AI73" i="15"/>
  <c r="AK73" i="15" s="1"/>
  <c r="AA143" i="15"/>
  <c r="R144" i="15"/>
  <c r="M32" i="17"/>
  <c r="N32" i="17"/>
  <c r="O32" i="17" s="1"/>
  <c r="P32" i="17" s="1"/>
  <c r="T143" i="15"/>
  <c r="AH142" i="15"/>
  <c r="AM142" i="15"/>
  <c r="N49" i="4"/>
  <c r="O49" i="4" s="1"/>
  <c r="L66" i="4" s="1"/>
  <c r="R49" i="4"/>
  <c r="M66" i="4" s="1"/>
  <c r="Z25" i="27" l="1"/>
  <c r="AA25" i="27" s="1"/>
  <c r="X27" i="27"/>
  <c r="Y26" i="27"/>
  <c r="T50" i="27"/>
  <c r="U49" i="27"/>
  <c r="V49" i="27"/>
  <c r="S27" i="27"/>
  <c r="T27" i="27" s="1"/>
  <c r="M28" i="27"/>
  <c r="U26" i="27"/>
  <c r="V26" i="27"/>
  <c r="Q27" i="27"/>
  <c r="Q28" i="27" s="1"/>
  <c r="Q29" i="27" s="1"/>
  <c r="Q30" i="27" s="1"/>
  <c r="N32" i="27" s="1"/>
  <c r="N29" i="27"/>
  <c r="O29" i="27" s="1"/>
  <c r="P29" i="27" s="1"/>
  <c r="O28" i="27"/>
  <c r="P28" i="27" s="1"/>
  <c r="AB24" i="27"/>
  <c r="AC24" i="27" s="1"/>
  <c r="AD24" i="27" s="1"/>
  <c r="H57" i="13"/>
  <c r="J57" i="13"/>
  <c r="J61" i="13"/>
  <c r="H61" i="13"/>
  <c r="AH81" i="15"/>
  <c r="AM81" i="15"/>
  <c r="T82" i="15"/>
  <c r="H18" i="13"/>
  <c r="J18" i="13"/>
  <c r="F62" i="13"/>
  <c r="B63" i="13"/>
  <c r="S78" i="15"/>
  <c r="AC78" i="15" s="1"/>
  <c r="AB78" i="15"/>
  <c r="P79" i="15"/>
  <c r="H19" i="13"/>
  <c r="J19" i="13"/>
  <c r="AH143" i="15"/>
  <c r="AM143" i="15"/>
  <c r="T144" i="15"/>
  <c r="X75" i="15"/>
  <c r="AE75" i="15"/>
  <c r="V76" i="15"/>
  <c r="H21" i="13"/>
  <c r="J21" i="13"/>
  <c r="W34" i="17"/>
  <c r="J35" i="17"/>
  <c r="AI74" i="15"/>
  <c r="AK74" i="15" s="1"/>
  <c r="AN74" i="15"/>
  <c r="AP74" i="15" s="1"/>
  <c r="M33" i="17"/>
  <c r="N33" i="17"/>
  <c r="O33" i="17" s="1"/>
  <c r="P33" i="17" s="1"/>
  <c r="R83" i="15"/>
  <c r="AA83" i="15" s="1"/>
  <c r="AA82" i="15"/>
  <c r="H24" i="13"/>
  <c r="J24" i="13"/>
  <c r="V123" i="15"/>
  <c r="X122" i="15"/>
  <c r="H26" i="13"/>
  <c r="H30" i="13" s="1"/>
  <c r="J26" i="13"/>
  <c r="J30" i="13" s="1"/>
  <c r="N34" i="17"/>
  <c r="O34" i="17" s="1"/>
  <c r="P34" i="17" s="1"/>
  <c r="R145" i="15"/>
  <c r="AA144" i="15"/>
  <c r="H17" i="13"/>
  <c r="J17" i="13"/>
  <c r="H20" i="13"/>
  <c r="J20" i="13"/>
  <c r="H55" i="13"/>
  <c r="J55" i="13"/>
  <c r="P126" i="15"/>
  <c r="S125" i="15"/>
  <c r="H22" i="13"/>
  <c r="J22" i="13"/>
  <c r="H56" i="13"/>
  <c r="J56" i="13"/>
  <c r="D62" i="19"/>
  <c r="C63" i="19"/>
  <c r="D63" i="19" s="1"/>
  <c r="H60" i="13"/>
  <c r="J60" i="13"/>
  <c r="C84" i="20"/>
  <c r="D84" i="20" s="1"/>
  <c r="O85" i="20" s="1"/>
  <c r="Q85" i="20" s="1"/>
  <c r="D83" i="20"/>
  <c r="H58" i="13"/>
  <c r="J58" i="13"/>
  <c r="H27" i="13"/>
  <c r="J27" i="13"/>
  <c r="P73" i="17"/>
  <c r="P75" i="17" s="1"/>
  <c r="O9" i="17" s="1"/>
  <c r="P91" i="17"/>
  <c r="T53" i="13"/>
  <c r="Q54" i="13"/>
  <c r="H25" i="13"/>
  <c r="J25" i="13"/>
  <c r="H59" i="13"/>
  <c r="J59" i="13"/>
  <c r="H23" i="13"/>
  <c r="J23" i="13"/>
  <c r="Q73" i="17"/>
  <c r="Q75" i="17" s="1"/>
  <c r="P9" i="17" s="1"/>
  <c r="Q91" i="17"/>
  <c r="L2" i="1"/>
  <c r="L1" i="1"/>
  <c r="S28" i="27" l="1"/>
  <c r="T28" i="27" s="1"/>
  <c r="M29" i="27"/>
  <c r="S29" i="27" s="1"/>
  <c r="T29" i="27" s="1"/>
  <c r="U27" i="27"/>
  <c r="V27" i="27" s="1"/>
  <c r="U50" i="27"/>
  <c r="T51" i="27"/>
  <c r="V50" i="27"/>
  <c r="Z26" i="27"/>
  <c r="AA26" i="27" s="1"/>
  <c r="AB26" i="27"/>
  <c r="AC26" i="27" s="1"/>
  <c r="AD26" i="27" s="1"/>
  <c r="Y27" i="27"/>
  <c r="X28" i="27"/>
  <c r="AB25" i="27"/>
  <c r="AC25" i="27" s="1"/>
  <c r="AD25" i="27" s="1"/>
  <c r="P13" i="17"/>
  <c r="E181" i="17"/>
  <c r="E184" i="17" s="1"/>
  <c r="J62" i="13"/>
  <c r="H62" i="13"/>
  <c r="AI75" i="15"/>
  <c r="AK75" i="15" s="1"/>
  <c r="AN75" i="15"/>
  <c r="AP75" i="15" s="1"/>
  <c r="R146" i="15"/>
  <c r="AA146" i="15" s="1"/>
  <c r="AA145" i="15"/>
  <c r="P127" i="15"/>
  <c r="S126" i="15"/>
  <c r="M34" i="17"/>
  <c r="H29" i="13"/>
  <c r="H31" i="13" s="1"/>
  <c r="N17" i="12" s="1"/>
  <c r="N19" i="12" s="1"/>
  <c r="N45" i="12" s="1"/>
  <c r="O79" i="20"/>
  <c r="O78" i="20"/>
  <c r="O80" i="20" s="1"/>
  <c r="O82" i="20" s="1"/>
  <c r="N92" i="20" s="1"/>
  <c r="N94" i="20" s="1"/>
  <c r="N96" i="20" s="1"/>
  <c r="O13" i="17"/>
  <c r="E191" i="17"/>
  <c r="F63" i="13"/>
  <c r="B64" i="13"/>
  <c r="AE76" i="15"/>
  <c r="V77" i="15"/>
  <c r="X76" i="15"/>
  <c r="T145" i="15"/>
  <c r="AH144" i="15"/>
  <c r="AM144" i="15"/>
  <c r="T54" i="13"/>
  <c r="Q55" i="13"/>
  <c r="X123" i="15"/>
  <c r="V124" i="15"/>
  <c r="W35" i="17"/>
  <c r="J36" i="17"/>
  <c r="P80" i="15"/>
  <c r="AB79" i="15"/>
  <c r="AD79" i="15" s="1"/>
  <c r="S79" i="15"/>
  <c r="AC79" i="15" s="1"/>
  <c r="J29" i="13"/>
  <c r="J31" i="13" s="1"/>
  <c r="O23" i="12" s="1"/>
  <c r="O25" i="12" s="1"/>
  <c r="O45" i="12" s="1"/>
  <c r="AH82" i="15"/>
  <c r="T83" i="15"/>
  <c r="AM82" i="15"/>
  <c r="AD78" i="15"/>
  <c r="Y28" i="27" l="1"/>
  <c r="X29" i="27"/>
  <c r="Y29" i="27" s="1"/>
  <c r="T52" i="27"/>
  <c r="U51" i="27"/>
  <c r="V51" i="27"/>
  <c r="Z27" i="27"/>
  <c r="AA27" i="27" s="1"/>
  <c r="U29" i="27"/>
  <c r="V29" i="27" s="1"/>
  <c r="U28" i="27"/>
  <c r="V28" i="27" s="1"/>
  <c r="F64" i="13"/>
  <c r="B65" i="13"/>
  <c r="F65" i="13" s="1"/>
  <c r="O246" i="17"/>
  <c r="T146" i="15"/>
  <c r="AH145" i="15"/>
  <c r="AM145" i="15"/>
  <c r="N47" i="12"/>
  <c r="C231" i="12"/>
  <c r="N46" i="12"/>
  <c r="Q56" i="13"/>
  <c r="T55" i="13"/>
  <c r="AH83" i="15"/>
  <c r="AM83" i="15"/>
  <c r="H63" i="13"/>
  <c r="J63" i="13"/>
  <c r="E194" i="17"/>
  <c r="L243" i="17"/>
  <c r="C224" i="12"/>
  <c r="C226" i="12" s="1"/>
  <c r="O46" i="12"/>
  <c r="O47" i="12"/>
  <c r="O48" i="12" s="1"/>
  <c r="N63" i="12" s="1"/>
  <c r="N64" i="12" s="1"/>
  <c r="C241" i="12" s="1"/>
  <c r="AB80" i="15"/>
  <c r="P81" i="15"/>
  <c r="S80" i="15"/>
  <c r="AC80" i="15" s="1"/>
  <c r="AI76" i="15"/>
  <c r="AK76" i="15" s="1"/>
  <c r="AN76" i="15"/>
  <c r="AP76" i="15" s="1"/>
  <c r="E187" i="17"/>
  <c r="E186" i="17"/>
  <c r="V125" i="15"/>
  <c r="X124" i="15"/>
  <c r="S127" i="15"/>
  <c r="P128" i="15"/>
  <c r="V78" i="15"/>
  <c r="AE77" i="15"/>
  <c r="X77" i="15"/>
  <c r="M35" i="17"/>
  <c r="N35" i="17"/>
  <c r="O35" i="17" s="1"/>
  <c r="P35" i="17" s="1"/>
  <c r="W36" i="17"/>
  <c r="J37" i="17"/>
  <c r="Z29" i="27" l="1"/>
  <c r="Z28" i="27"/>
  <c r="AA28" i="27" s="1"/>
  <c r="U52" i="27"/>
  <c r="V52" i="27"/>
  <c r="T53" i="27"/>
  <c r="AB27" i="27"/>
  <c r="AC27" i="27" s="1"/>
  <c r="AD27" i="27" s="1"/>
  <c r="S128" i="15"/>
  <c r="P129" i="15"/>
  <c r="X125" i="15"/>
  <c r="V126" i="15"/>
  <c r="E197" i="17"/>
  <c r="E196" i="17"/>
  <c r="K206" i="17"/>
  <c r="AH146" i="15"/>
  <c r="AM146" i="15"/>
  <c r="M36" i="17"/>
  <c r="AI77" i="15"/>
  <c r="AK77" i="15" s="1"/>
  <c r="AN77" i="15"/>
  <c r="AP77" i="15" s="1"/>
  <c r="H65" i="13"/>
  <c r="H67" i="13" s="1"/>
  <c r="H69" i="13" s="1"/>
  <c r="N86" i="12" s="1"/>
  <c r="N88" i="12" s="1"/>
  <c r="N114" i="12" s="1"/>
  <c r="J65" i="13"/>
  <c r="E247" i="17"/>
  <c r="O251" i="17"/>
  <c r="H64" i="13"/>
  <c r="H68" i="13" s="1"/>
  <c r="J64" i="13"/>
  <c r="J68" i="13" s="1"/>
  <c r="W37" i="17"/>
  <c r="J38" i="17"/>
  <c r="N37" i="17"/>
  <c r="O37" i="17" s="1"/>
  <c r="P37" i="17" s="1"/>
  <c r="P82" i="15"/>
  <c r="S81" i="15"/>
  <c r="AC81" i="15" s="1"/>
  <c r="AB81" i="15"/>
  <c r="T56" i="13"/>
  <c r="Q57" i="13"/>
  <c r="AE78" i="15"/>
  <c r="V79" i="15"/>
  <c r="X78" i="15"/>
  <c r="AD80" i="15"/>
  <c r="N68" i="12"/>
  <c r="N69" i="12" s="1"/>
  <c r="C243" i="12" s="1"/>
  <c r="C233" i="12"/>
  <c r="N36" i="17"/>
  <c r="O36" i="17" s="1"/>
  <c r="P36" i="17" s="1"/>
  <c r="T54" i="27" l="1"/>
  <c r="U53" i="27"/>
  <c r="V53" i="27"/>
  <c r="AA29" i="27"/>
  <c r="AA30" i="27" s="1"/>
  <c r="N33" i="27" s="1"/>
  <c r="AB29" i="27"/>
  <c r="AB28" i="27"/>
  <c r="AC28" i="27" s="1"/>
  <c r="AD28" i="27" s="1"/>
  <c r="N116" i="12"/>
  <c r="N115" i="12"/>
  <c r="V80" i="15"/>
  <c r="AE79" i="15"/>
  <c r="X79" i="15"/>
  <c r="AN78" i="15"/>
  <c r="AP78" i="15" s="1"/>
  <c r="AI78" i="15"/>
  <c r="AK78" i="15" s="1"/>
  <c r="L206" i="17"/>
  <c r="E250" i="17"/>
  <c r="E249" i="17"/>
  <c r="AD81" i="15"/>
  <c r="S129" i="15"/>
  <c r="P130" i="15"/>
  <c r="J67" i="13"/>
  <c r="J69" i="13" s="1"/>
  <c r="O92" i="12" s="1"/>
  <c r="O94" i="12" s="1"/>
  <c r="O114" i="12" s="1"/>
  <c r="V127" i="15"/>
  <c r="X126" i="15"/>
  <c r="T57" i="13"/>
  <c r="Q58" i="13"/>
  <c r="T58" i="13" s="1"/>
  <c r="P83" i="15"/>
  <c r="AB82" i="15"/>
  <c r="S82" i="15"/>
  <c r="AC82" i="15" s="1"/>
  <c r="M37" i="17"/>
  <c r="W38" i="17"/>
  <c r="J39" i="17"/>
  <c r="AC29" i="27" l="1"/>
  <c r="U54" i="27"/>
  <c r="U56" i="27" s="1"/>
  <c r="N37" i="27" s="1"/>
  <c r="N39" i="27" s="1"/>
  <c r="T55" i="27"/>
  <c r="V54" i="27"/>
  <c r="V56" i="27" s="1"/>
  <c r="O37" i="27" s="1"/>
  <c r="S83" i="15"/>
  <c r="AC83" i="15" s="1"/>
  <c r="AB83" i="15"/>
  <c r="AD83" i="15" s="1"/>
  <c r="AP86" i="15" s="1"/>
  <c r="X127" i="15"/>
  <c r="V128" i="15"/>
  <c r="AD82" i="15"/>
  <c r="O116" i="12"/>
  <c r="O115" i="12"/>
  <c r="AI79" i="15"/>
  <c r="AK79" i="15" s="1"/>
  <c r="AK86" i="15" s="1"/>
  <c r="AN79" i="15"/>
  <c r="AP79" i="15" s="1"/>
  <c r="W39" i="17"/>
  <c r="J40" i="17"/>
  <c r="S130" i="15"/>
  <c r="P131" i="15"/>
  <c r="X80" i="15"/>
  <c r="AE80" i="15"/>
  <c r="V81" i="15"/>
  <c r="M38" i="17"/>
  <c r="N38" i="17"/>
  <c r="O38" i="17" s="1"/>
  <c r="P38" i="17" s="1"/>
  <c r="N41" i="27" l="1"/>
  <c r="AD29" i="27"/>
  <c r="AD30" i="27" s="1"/>
  <c r="AC30" i="27"/>
  <c r="N34" i="27" s="1"/>
  <c r="N42" i="27" s="1"/>
  <c r="W40" i="17"/>
  <c r="J41" i="17"/>
  <c r="V129" i="15"/>
  <c r="X128" i="15"/>
  <c r="AF80" i="15"/>
  <c r="AO80" i="15" s="1"/>
  <c r="P132" i="15"/>
  <c r="S131" i="15"/>
  <c r="M39" i="17"/>
  <c r="V82" i="15"/>
  <c r="X81" i="15"/>
  <c r="AE81" i="15"/>
  <c r="AI80" i="15"/>
  <c r="AK80" i="15" s="1"/>
  <c r="AN80" i="15"/>
  <c r="AP80" i="15" s="1"/>
  <c r="N39" i="17"/>
  <c r="O39" i="17" s="1"/>
  <c r="P39" i="17" s="1"/>
  <c r="N43" i="27" l="1"/>
  <c r="AF81" i="15"/>
  <c r="AO81" i="15" s="1"/>
  <c r="AI81" i="15"/>
  <c r="AK81" i="15" s="1"/>
  <c r="AN81" i="15"/>
  <c r="AP81" i="15" s="1"/>
  <c r="V83" i="15"/>
  <c r="X82" i="15"/>
  <c r="AF82" i="15" s="1"/>
  <c r="AO82" i="15" s="1"/>
  <c r="AE82" i="15"/>
  <c r="M40" i="17"/>
  <c r="N40" i="17"/>
  <c r="O40" i="17" s="1"/>
  <c r="P40" i="17" s="1"/>
  <c r="V130" i="15"/>
  <c r="X129" i="15"/>
  <c r="S132" i="15"/>
  <c r="P133" i="15"/>
  <c r="W41" i="17"/>
  <c r="J42" i="17"/>
  <c r="M41" i="17" l="1"/>
  <c r="N41" i="17"/>
  <c r="O41" i="17" s="1"/>
  <c r="P41" i="17" s="1"/>
  <c r="AN82" i="15"/>
  <c r="AP82" i="15" s="1"/>
  <c r="AI82" i="15"/>
  <c r="AK82" i="15" s="1"/>
  <c r="X83" i="15"/>
  <c r="AF83" i="15" s="1"/>
  <c r="AO83" i="15" s="1"/>
  <c r="AE83" i="15"/>
  <c r="X130" i="15"/>
  <c r="V131" i="15"/>
  <c r="W42" i="17"/>
  <c r="J43" i="17"/>
  <c r="S133" i="15"/>
  <c r="P134" i="15"/>
  <c r="X131" i="15" l="1"/>
  <c r="V132" i="15"/>
  <c r="AN83" i="15"/>
  <c r="AP83" i="15" s="1"/>
  <c r="AP85" i="15" s="1"/>
  <c r="AP87" i="15" s="1"/>
  <c r="AI83" i="15"/>
  <c r="AK83" i="15" s="1"/>
  <c r="AK85" i="15" s="1"/>
  <c r="AK87" i="15" s="1"/>
  <c r="Y41" i="17"/>
  <c r="X41" i="17"/>
  <c r="W43" i="17"/>
  <c r="J44" i="17"/>
  <c r="W44" i="17" s="1"/>
  <c r="M42" i="17"/>
  <c r="M43" i="17" s="1"/>
  <c r="M44" i="17" s="1"/>
  <c r="N42" i="17"/>
  <c r="O42" i="17" s="1"/>
  <c r="P42" i="17" s="1"/>
  <c r="P135" i="15"/>
  <c r="S134" i="15"/>
  <c r="Y23" i="17" l="1"/>
  <c r="X23" i="17"/>
  <c r="X22" i="17"/>
  <c r="Y22" i="17"/>
  <c r="AK89" i="15"/>
  <c r="AK90" i="15" s="1"/>
  <c r="AK91" i="15" s="1"/>
  <c r="P136" i="15"/>
  <c r="S135" i="15"/>
  <c r="N44" i="17"/>
  <c r="O44" i="17" s="1"/>
  <c r="P44" i="17" s="1"/>
  <c r="V133" i="15"/>
  <c r="X132" i="15"/>
  <c r="AP91" i="15"/>
  <c r="AP89" i="15"/>
  <c r="AP90" i="15" s="1"/>
  <c r="N43" i="17"/>
  <c r="O43" i="17" s="1"/>
  <c r="P43" i="17" s="1"/>
  <c r="V134" i="15" l="1"/>
  <c r="X133" i="15"/>
  <c r="S136" i="15"/>
  <c r="AC136" i="15" s="1"/>
  <c r="AB136" i="15"/>
  <c r="AD136" i="15" s="1"/>
  <c r="P137" i="15"/>
  <c r="Y44" i="17"/>
  <c r="Y45" i="17" s="1"/>
  <c r="X44" i="17"/>
  <c r="X45" i="17" s="1"/>
  <c r="K9" i="17" l="1"/>
  <c r="X46" i="17"/>
  <c r="M9" i="17" s="1"/>
  <c r="M13" i="17" s="1"/>
  <c r="K209" i="17" s="1"/>
  <c r="Y46" i="17"/>
  <c r="N9" i="17" s="1"/>
  <c r="N13" i="17" s="1"/>
  <c r="K210" i="17" s="1"/>
  <c r="L210" i="17" s="1"/>
  <c r="L9" i="17"/>
  <c r="L13" i="17" s="1"/>
  <c r="S137" i="15"/>
  <c r="AC137" i="15" s="1"/>
  <c r="P138" i="15"/>
  <c r="AB137" i="15"/>
  <c r="AD137" i="15" s="1"/>
  <c r="X134" i="15"/>
  <c r="V135" i="15"/>
  <c r="L246" i="17" l="1"/>
  <c r="L247" i="17" s="1"/>
  <c r="E173" i="17"/>
  <c r="V136" i="15"/>
  <c r="X135" i="15"/>
  <c r="AB138" i="15"/>
  <c r="P139" i="15"/>
  <c r="S138" i="15"/>
  <c r="AC138" i="15" s="1"/>
  <c r="K213" i="17"/>
  <c r="E236" i="17"/>
  <c r="L209" i="17"/>
  <c r="L213" i="17" s="1"/>
  <c r="K13" i="17"/>
  <c r="K246" i="17" s="1"/>
  <c r="K248" i="17" s="1"/>
  <c r="E169" i="17"/>
  <c r="E172" i="17" s="1"/>
  <c r="E174" i="17" s="1"/>
  <c r="L215" i="17" l="1"/>
  <c r="K221" i="17"/>
  <c r="K222" i="17" s="1"/>
  <c r="K223" i="17" s="1"/>
  <c r="F209" i="17" s="1"/>
  <c r="E176" i="17"/>
  <c r="K205" i="17" s="1"/>
  <c r="K207" i="17" s="1"/>
  <c r="AD138" i="15"/>
  <c r="AE136" i="15"/>
  <c r="AI136" i="15" s="1"/>
  <c r="AK136" i="15" s="1"/>
  <c r="V137" i="15"/>
  <c r="X136" i="15"/>
  <c r="E240" i="17"/>
  <c r="K251" i="17"/>
  <c r="K250" i="17"/>
  <c r="K216" i="17"/>
  <c r="K219" i="17" s="1"/>
  <c r="F207" i="17" s="1"/>
  <c r="K215" i="17"/>
  <c r="AB139" i="15"/>
  <c r="P140" i="15"/>
  <c r="S139" i="15"/>
  <c r="AC139" i="15" s="1"/>
  <c r="AN136" i="15" l="1"/>
  <c r="AP136" i="15" s="1"/>
  <c r="S140" i="15"/>
  <c r="AC140" i="15" s="1"/>
  <c r="P141" i="15"/>
  <c r="AB140" i="15"/>
  <c r="AD140" i="15" s="1"/>
  <c r="F205" i="17"/>
  <c r="K217" i="17"/>
  <c r="X137" i="15"/>
  <c r="AE137" i="15"/>
  <c r="AI137" i="15" s="1"/>
  <c r="AK137" i="15" s="1"/>
  <c r="AN137" i="15" s="1"/>
  <c r="AP137" i="15" s="1"/>
  <c r="V138" i="15"/>
  <c r="L219" i="17"/>
  <c r="F258" i="17" s="1"/>
  <c r="L221" i="17"/>
  <c r="L222" i="17" s="1"/>
  <c r="L223" i="17" s="1"/>
  <c r="F260" i="17" s="1"/>
  <c r="E242" i="17"/>
  <c r="L205" i="17" s="1"/>
  <c r="L207" i="17" s="1"/>
  <c r="L216" i="17" s="1"/>
  <c r="AD139" i="15"/>
  <c r="AB141" i="15" l="1"/>
  <c r="P142" i="15"/>
  <c r="S141" i="15"/>
  <c r="AC141" i="15" s="1"/>
  <c r="V139" i="15"/>
  <c r="X138" i="15"/>
  <c r="AE138" i="15"/>
  <c r="AI138" i="15" s="1"/>
  <c r="AK138" i="15" s="1"/>
  <c r="AN138" i="15" s="1"/>
  <c r="AP138" i="15" s="1"/>
  <c r="L217" i="17"/>
  <c r="F256" i="17" s="1"/>
  <c r="AE139" i="15" l="1"/>
  <c r="AI139" i="15" s="1"/>
  <c r="AK139" i="15" s="1"/>
  <c r="AN139" i="15" s="1"/>
  <c r="AP139" i="15" s="1"/>
  <c r="V140" i="15"/>
  <c r="X139" i="15"/>
  <c r="AB142" i="15"/>
  <c r="S142" i="15"/>
  <c r="AC142" i="15" s="1"/>
  <c r="P143" i="15"/>
  <c r="AD141" i="15"/>
  <c r="AB143" i="15" l="1"/>
  <c r="AD143" i="15" s="1"/>
  <c r="S143" i="15"/>
  <c r="AC143" i="15" s="1"/>
  <c r="P144" i="15"/>
  <c r="AD142" i="15"/>
  <c r="AE140" i="15"/>
  <c r="AI140" i="15" s="1"/>
  <c r="AK140" i="15" s="1"/>
  <c r="AN140" i="15" s="1"/>
  <c r="AP140" i="15" s="1"/>
  <c r="V141" i="15"/>
  <c r="X140" i="15"/>
  <c r="V142" i="15" l="1"/>
  <c r="X141" i="15"/>
  <c r="AE141" i="15"/>
  <c r="AI141" i="15" s="1"/>
  <c r="AK141" i="15" s="1"/>
  <c r="S144" i="15"/>
  <c r="AC144" i="15" s="1"/>
  <c r="P145" i="15"/>
  <c r="AB144" i="15"/>
  <c r="AD144" i="15" s="1"/>
  <c r="S145" i="15" l="1"/>
  <c r="AC145" i="15" s="1"/>
  <c r="P146" i="15"/>
  <c r="AB145" i="15"/>
  <c r="AD145" i="15" s="1"/>
  <c r="AN141" i="15"/>
  <c r="AP141" i="15" s="1"/>
  <c r="V143" i="15"/>
  <c r="X142" i="15"/>
  <c r="AE142" i="15"/>
  <c r="AI142" i="15" s="1"/>
  <c r="AK142" i="15" s="1"/>
  <c r="AN142" i="15" s="1"/>
  <c r="AP142" i="15" s="1"/>
  <c r="S146" i="15" l="1"/>
  <c r="AC146" i="15" s="1"/>
  <c r="AB146" i="15"/>
  <c r="AD146" i="15" s="1"/>
  <c r="V144" i="15"/>
  <c r="X143" i="15"/>
  <c r="AE143" i="15"/>
  <c r="AI143" i="15" s="1"/>
  <c r="AK143" i="15" s="1"/>
  <c r="AN143" i="15" s="1"/>
  <c r="AP143" i="15" s="1"/>
  <c r="V145" i="15" l="1"/>
  <c r="AE144" i="15"/>
  <c r="AI144" i="15" s="1"/>
  <c r="AK144" i="15" s="1"/>
  <c r="AN144" i="15" s="1"/>
  <c r="AP144" i="15" s="1"/>
  <c r="X144" i="15"/>
  <c r="AF144" i="15" s="1"/>
  <c r="AF143" i="15"/>
  <c r="X145" i="15" l="1"/>
  <c r="V146" i="15"/>
  <c r="AE145" i="15"/>
  <c r="AI145" i="15" s="1"/>
  <c r="AK145" i="15" s="1"/>
  <c r="AN145" i="15" s="1"/>
  <c r="AP145" i="15" s="1"/>
  <c r="AE146" i="15" l="1"/>
  <c r="AI146" i="15" s="1"/>
  <c r="AK146" i="15" s="1"/>
  <c r="X146" i="15"/>
  <c r="AF146" i="15" s="1"/>
  <c r="AF145" i="15"/>
  <c r="AK149" i="15" l="1"/>
  <c r="AN146" i="15"/>
  <c r="AP146" i="15" s="1"/>
  <c r="AK148" i="15"/>
  <c r="AK150" i="15" l="1"/>
  <c r="AK152" i="15" l="1"/>
  <c r="AK153" i="15" s="1"/>
  <c r="AK154" i="15" s="1"/>
</calcChain>
</file>

<file path=xl/sharedStrings.xml><?xml version="1.0" encoding="utf-8"?>
<sst xmlns="http://schemas.openxmlformats.org/spreadsheetml/2006/main" count="4724" uniqueCount="2064">
  <si>
    <t>RETFRC Spring 2024</t>
  </si>
  <si>
    <t>Question 3</t>
  </si>
  <si>
    <t>Answer question here:</t>
  </si>
  <si>
    <t>(9 points)</t>
  </si>
  <si>
    <t>Company ABC sponsors a defined benefit pension plan registered in Ontario that is closed to new participants.  You are setting the</t>
  </si>
  <si>
    <t>going concern discount rate assumption for the actuarial valuation as at December 31, 2023.</t>
  </si>
  <si>
    <t>The plan’s target asset mix as stipulated in its Statement of Investment Policies and Procedures (SIPP) is as follows:</t>
  </si>
  <si>
    <t>Asset class</t>
  </si>
  <si>
    <t>Target asset
allocation</t>
  </si>
  <si>
    <t>Long-term bonds</t>
  </si>
  <si>
    <t>Canadian equities</t>
  </si>
  <si>
    <t>Global equities</t>
  </si>
  <si>
    <t>Real estate</t>
  </si>
  <si>
    <t>You are given the following information:</t>
  </si>
  <si>
    <r>
      <rPr>
        <sz val="12"/>
        <color rgb="FF002060"/>
        <rFont val="Verdana"/>
        <family val="2"/>
      </rPr>
      <t>•</t>
    </r>
    <r>
      <rPr>
        <sz val="12"/>
        <color rgb="FF002060"/>
        <rFont val="Times New Roman"/>
        <family val="1"/>
      </rPr>
      <t xml:space="preserve">   The total investment management fees are expected to be 0.5%, of which 0.2% are for passive investment management only</t>
    </r>
  </si>
  <si>
    <r>
      <rPr>
        <sz val="12"/>
        <color rgb="FF002060"/>
        <rFont val="Verdana"/>
        <family val="2"/>
      </rPr>
      <t>•</t>
    </r>
    <r>
      <rPr>
        <sz val="12"/>
        <color rgb="FF002060"/>
        <rFont val="Times New Roman"/>
        <family val="1"/>
      </rPr>
      <t xml:space="preserve">   The non-investment related administrative expenses are expected to be 0.4%</t>
    </r>
  </si>
  <si>
    <r>
      <rPr>
        <sz val="12"/>
        <color rgb="FF002060"/>
        <rFont val="Verdana"/>
        <family val="2"/>
      </rPr>
      <t>•</t>
    </r>
    <r>
      <rPr>
        <sz val="12"/>
        <color rgb="FF002060"/>
        <rFont val="Times New Roman"/>
        <family val="1"/>
      </rPr>
      <t xml:space="preserve">   Long-term expected inflation of 2.2% per year</t>
    </r>
  </si>
  <si>
    <r>
      <rPr>
        <sz val="12"/>
        <color rgb="FF002060"/>
        <rFont val="Verdana"/>
        <family val="2"/>
      </rPr>
      <t>•</t>
    </r>
    <r>
      <rPr>
        <sz val="12"/>
        <color rgb="FF002060"/>
        <rFont val="Times New Roman"/>
        <family val="1"/>
      </rPr>
      <t xml:space="preserve">   Long-term expected real returns of the various asset classes are as follows:</t>
    </r>
  </si>
  <si>
    <t>Long-term expected
real return</t>
  </si>
  <si>
    <r>
      <rPr>
        <sz val="12"/>
        <color rgb="FF002060"/>
        <rFont val="Verdana"/>
        <family val="2"/>
      </rPr>
      <t>•</t>
    </r>
    <r>
      <rPr>
        <sz val="12"/>
        <color rgb="FF002060"/>
        <rFont val="Times New Roman"/>
        <family val="1"/>
      </rPr>
      <t xml:space="preserve">   75% of the target allocation to long-term bonds meets the minimum credit rating per Ontario regulations</t>
    </r>
  </si>
  <si>
    <r>
      <rPr>
        <sz val="12"/>
        <color rgb="FF002060"/>
        <rFont val="Verdana"/>
        <family val="2"/>
      </rPr>
      <t>•</t>
    </r>
    <r>
      <rPr>
        <sz val="12"/>
        <color rgb="FF002060"/>
        <rFont val="Times New Roman"/>
        <family val="1"/>
      </rPr>
      <t xml:space="preserve">   </t>
    </r>
    <r>
      <rPr>
        <sz val="12"/>
        <color rgb="FF002060"/>
        <rFont val="Times New Roman"/>
        <family val="1"/>
      </rPr>
      <t>Duration of the going concern liabilities is 15</t>
    </r>
  </si>
  <si>
    <t>Non-fixed income component of the Provision for Adverse Deviations (PfAD):</t>
  </si>
  <si>
    <t>% of non-fixed income assets</t>
  </si>
  <si>
    <t>Closed plans</t>
  </si>
  <si>
    <t>Open plans</t>
  </si>
  <si>
    <r>
      <rPr>
        <sz val="12"/>
        <color rgb="FF002060"/>
        <rFont val="Verdana"/>
        <family val="2"/>
      </rPr>
      <t>•</t>
    </r>
    <r>
      <rPr>
        <sz val="12"/>
        <color rgb="FF002060"/>
        <rFont val="Times New Roman"/>
        <family val="1"/>
      </rPr>
      <t xml:space="preserve">   Benchmark Yield of Government of Canada Long-Term Bonds (V39056) at December 31, 2023 is 3.0%</t>
    </r>
  </si>
  <si>
    <t>(a)</t>
  </si>
  <si>
    <t>(3 points)</t>
  </si>
  <si>
    <t xml:space="preserve">Calculate the best estimate going concern discount rate using the building block approach. </t>
  </si>
  <si>
    <t>Show all work, including each step of the calculation separately, in the workspace provided to the right (in Excel).</t>
  </si>
  <si>
    <t>Company ABC is considering a de-risking glide-path investment strategy whereby the asset mix will be gradually shifted from equities into</t>
  </si>
  <si>
    <t>bonds, dependent on the solvency funded status of the plan. The final trigger in the de-risking glide-path is scheduled to occur when the plan</t>
  </si>
  <si>
    <t>is 100% funded on a solvency basis, at which point the asset mix of the plan would become:</t>
  </si>
  <si>
    <t>End state target asset
allocation</t>
  </si>
  <si>
    <t>(b)</t>
  </si>
  <si>
    <t>Describe the considerations for establishing a going concern discount rate for the next valuation if the de-risking</t>
  </si>
  <si>
    <t>glide-path investment strategy is adopted by Company ABC.</t>
  </si>
  <si>
    <t>Provide the response in Word.</t>
  </si>
  <si>
    <t>(c)</t>
  </si>
  <si>
    <t>Determine the PfAD applicable for a valuation at December 31, 2023 assuming Company ABC adopted the de-risking</t>
  </si>
  <si>
    <t>glide-path investment strategy and that the current target asset allocation in the SIPP has not changed.</t>
  </si>
  <si>
    <t>CV</t>
  </si>
  <si>
    <t>EURA</t>
  </si>
  <si>
    <t>Best Age</t>
  </si>
  <si>
    <t>Voluntary Term</t>
  </si>
  <si>
    <t>Involuntary term</t>
  </si>
  <si>
    <t>Deferred to 65</t>
  </si>
  <si>
    <t>Deferred to 64</t>
  </si>
  <si>
    <t>Deferred to 63</t>
  </si>
  <si>
    <t>Deferred to 62</t>
  </si>
  <si>
    <t>Deferred to 61</t>
  </si>
  <si>
    <t>Deferred to 60</t>
  </si>
  <si>
    <t>(ii) Involuntarily</t>
  </si>
  <si>
    <t>Deferred to 59</t>
  </si>
  <si>
    <t>(i) Voluntarily; and</t>
  </si>
  <si>
    <t>Deferred to 58</t>
  </si>
  <si>
    <t>the members terminated:</t>
  </si>
  <si>
    <t>Deferred to 57</t>
  </si>
  <si>
    <t>Calculate the commuted value for Member A and Member B at their date of termination assuming</t>
  </si>
  <si>
    <t>(5 points)</t>
  </si>
  <si>
    <t>Deferred to 56</t>
  </si>
  <si>
    <t>Deferred to 55</t>
  </si>
  <si>
    <t>Reduced factor</t>
  </si>
  <si>
    <t>Reduction</t>
  </si>
  <si>
    <t>Points</t>
  </si>
  <si>
    <t>Annuity Factor</t>
  </si>
  <si>
    <t>Member B</t>
  </si>
  <si>
    <t>No Grow-In</t>
  </si>
  <si>
    <t>Not grow-in eligible (involuntary)</t>
  </si>
  <si>
    <t>Standards of Practice as at the members’ date of termination.</t>
  </si>
  <si>
    <t>Calculate the commuted value discount rates under section 3500 of the Canadian Institute of Actuaries</t>
  </si>
  <si>
    <t>(4 points)</t>
  </si>
  <si>
    <r>
      <rPr>
        <vertAlign val="subscript"/>
        <sz val="12"/>
        <color rgb="FF002060"/>
        <rFont val="Times New Roman"/>
        <family val="1"/>
      </rPr>
      <t>13|</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</si>
  <si>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18|</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</si>
  <si>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12|</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</si>
  <si>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17|</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</si>
  <si>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11|</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</si>
  <si>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16|</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</si>
  <si>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10|</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t>
    </r>
  </si>
  <si>
    <r>
      <rPr>
        <vertAlign val="subscript"/>
        <sz val="12"/>
        <color rgb="FF002060"/>
        <rFont val="Times New Roman"/>
        <family val="1"/>
      </rPr>
      <t>15|</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</si>
  <si>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9|</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</si>
  <si>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14|</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</si>
  <si>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8|</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</si>
  <si>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13|</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</si>
  <si>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7|</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</si>
  <si>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12|</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</si>
  <si>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6|</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</si>
  <si>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11|</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</si>
  <si>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5|</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</si>
  <si>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10|</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</si>
  <si>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4|</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</si>
  <si>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9|</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</si>
  <si>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3|</t>
    </r>
    <r>
      <rPr>
        <sz val="12"/>
        <color rgb="FF002060"/>
        <rFont val="Times New Roman"/>
        <family val="1"/>
      </rPr>
      <t>ä</t>
    </r>
    <r>
      <rPr>
        <vertAlign val="subscript"/>
        <sz val="12"/>
        <color rgb="FF002060"/>
        <rFont val="Times New Roman"/>
        <family val="1"/>
      </rPr>
      <t xml:space="preserve"> 52</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</si>
  <si>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8|</t>
    </r>
    <r>
      <rPr>
        <sz val="12"/>
        <color rgb="FF002060"/>
        <rFont val="Times New Roman"/>
        <family val="1"/>
      </rPr>
      <t>ä</t>
    </r>
    <r>
      <rPr>
        <vertAlign val="subscript"/>
        <sz val="12"/>
        <color rgb="FF002060"/>
        <rFont val="Times New Roman"/>
        <family val="1"/>
      </rPr>
      <t xml:space="preserve"> 47</t>
    </r>
    <r>
      <rPr>
        <vertAlign val="superscript"/>
        <sz val="12"/>
        <color rgb="FF002060"/>
        <rFont val="Times New Roman"/>
        <family val="1"/>
      </rPr>
      <t>(12)</t>
    </r>
    <r>
      <rPr>
        <sz val="12"/>
        <color rgb="FF002060"/>
        <rFont val="Times New Roman"/>
        <family val="1"/>
      </rPr>
      <t xml:space="preserve"> =</t>
    </r>
  </si>
  <si>
    <t>Factor</t>
  </si>
  <si>
    <t>Grow-In Factor</t>
  </si>
  <si>
    <t>Member A</t>
  </si>
  <si>
    <t>You are given the following annuity factors:</t>
  </si>
  <si>
    <t>Grow-In (involuntary)</t>
  </si>
  <si>
    <t>Part b)</t>
  </si>
  <si>
    <t>Long-Term Federal Non-Agency Bond Index</t>
  </si>
  <si>
    <t>Long-Term Corporate Bond Index</t>
  </si>
  <si>
    <t>Long-Term Provincial Bond Index</t>
  </si>
  <si>
    <t>Month</t>
  </si>
  <si>
    <t>Ultimate</t>
  </si>
  <si>
    <t>Select</t>
  </si>
  <si>
    <t>50% Indexed</t>
  </si>
  <si>
    <t>Non-Indexed</t>
  </si>
  <si>
    <t>Implied CPI</t>
  </si>
  <si>
    <t>Non Indexed</t>
  </si>
  <si>
    <t>March CIA rates</t>
  </si>
  <si>
    <t>March 2022 Rates (Raw)</t>
  </si>
  <si>
    <t>Real Mid-Term</t>
  </si>
  <si>
    <t>Mid-Term Federal Non-Agency Bond Index</t>
  </si>
  <si>
    <t>Mid-Term Corporate Bond Index</t>
  </si>
  <si>
    <t>Mid-Term Provincial Bond Index</t>
  </si>
  <si>
    <t>S10</t>
  </si>
  <si>
    <t>S</t>
  </si>
  <si>
    <t>CS10</t>
  </si>
  <si>
    <t>PS10</t>
  </si>
  <si>
    <t>CS</t>
  </si>
  <si>
    <t>Government of Canada 10-year Bond (V122553)</t>
  </si>
  <si>
    <t>Government of Canada Long-term Bond (V122544)</t>
  </si>
  <si>
    <t>Government of Canada 7-year Bond (V122542)</t>
  </si>
  <si>
    <t>PS</t>
  </si>
  <si>
    <t>Spreads</t>
  </si>
  <si>
    <t>You are given the following bond yields:</t>
  </si>
  <si>
    <t>Age 65</t>
  </si>
  <si>
    <t>Normal Retirement Age</t>
  </si>
  <si>
    <t>2% per year from 65</t>
  </si>
  <si>
    <t>Early Retirement Reductions</t>
  </si>
  <si>
    <t>All ages</t>
  </si>
  <si>
    <t>Eligibility for Portability</t>
  </si>
  <si>
    <t>85 Points (Age plus Eligibility Service)</t>
  </si>
  <si>
    <t>Eligibility for Unreduced Early Retirement</t>
  </si>
  <si>
    <t>Age 55</t>
  </si>
  <si>
    <t>Eligibility for Early Retirement</t>
  </si>
  <si>
    <t>50% of inflation (pre- and post- retirement)</t>
  </si>
  <si>
    <t>Indexation</t>
  </si>
  <si>
    <t>Plan Details:</t>
  </si>
  <si>
    <t>Accrued Benefit (annual)</t>
  </si>
  <si>
    <t>Eligibility Service (Years)</t>
  </si>
  <si>
    <t>Pensionable Service (years)</t>
  </si>
  <si>
    <t>Date of Termination</t>
  </si>
  <si>
    <t>Date of Birth</t>
  </si>
  <si>
    <t xml:space="preserve">Published rates need to be annualized </t>
  </si>
  <si>
    <t>Personal Information:</t>
  </si>
  <si>
    <t xml:space="preserve">Rates for March termination, reflect a one month lag - Use February 2022 rates </t>
  </si>
  <si>
    <t>single-employer defined benefit pension plan registered in Ontario:</t>
  </si>
  <si>
    <t>Part a)</t>
  </si>
  <si>
    <t>You are given the following information for two members who have terminated from a</t>
  </si>
  <si>
    <t>Question 7 (Idea G)</t>
  </si>
  <si>
    <t>RETFRC Fall 2022</t>
  </si>
  <si>
    <t>Show all work including formulas in the workspace provided to the right (in Excel).</t>
  </si>
  <si>
    <t>ii) Involuntarily.</t>
  </si>
  <si>
    <t>i) Voluntarily; and</t>
  </si>
  <si>
    <t>member terminated:</t>
  </si>
  <si>
    <t xml:space="preserve">Calculate the commuted value at the member's date of termination assuming the </t>
  </si>
  <si>
    <t>Actuaries' Standards of Practice as at the member's date of termination.</t>
  </si>
  <si>
    <t>Calculate the commuted value interest rates under Section 3500 of the Canadian Institute of</t>
  </si>
  <si>
    <r>
      <rPr>
        <vertAlign val="subscript"/>
        <sz val="12"/>
        <color theme="4" tint="-0.249977111117893"/>
        <rFont val="Times New Roman"/>
        <family val="1"/>
      </rPr>
      <t>10|</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</si>
  <si>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9|</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</si>
  <si>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8|</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</si>
  <si>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7|</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</si>
  <si>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6|</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</si>
  <si>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5|</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</si>
  <si>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4|</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</si>
  <si>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3|</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</si>
  <si>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2|</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</si>
  <si>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rPr>
        <vertAlign val="subscript"/>
        <sz val="12"/>
        <color theme="4" tint="-0.249977111117893"/>
        <rFont val="Times New Roman"/>
        <family val="1"/>
      </rPr>
      <t>1|</t>
    </r>
    <r>
      <rPr>
        <sz val="12"/>
        <color theme="4" tint="-0.249977111117893"/>
        <rFont val="Times New Roman"/>
        <family val="1"/>
      </rPr>
      <t xml:space="preserve">ä </t>
    </r>
    <r>
      <rPr>
        <vertAlign val="subscript"/>
        <sz val="12"/>
        <color theme="4" tint="-0.249977111117893"/>
        <rFont val="Times New Roman"/>
        <family val="1"/>
      </rPr>
      <t>55</t>
    </r>
    <r>
      <rPr>
        <vertAlign val="superscript"/>
        <sz val="12"/>
        <color theme="4" tint="-0.249977111117893"/>
        <rFont val="Times New Roman"/>
        <family val="1"/>
      </rPr>
      <t>(12)</t>
    </r>
  </si>
  <si>
    <r>
      <t xml:space="preserve">ä </t>
    </r>
    <r>
      <rPr>
        <vertAlign val="subscript"/>
        <sz val="12"/>
        <color theme="4" tint="-0.249977111117893"/>
        <rFont val="Times New Roman"/>
        <family val="1"/>
      </rPr>
      <t>55</t>
    </r>
    <r>
      <rPr>
        <vertAlign val="superscript"/>
        <sz val="12"/>
        <color theme="4" tint="-0.249977111117893"/>
        <rFont val="Times New Roman"/>
        <family val="1"/>
      </rPr>
      <t>(12)</t>
    </r>
  </si>
  <si>
    <t>Annuity factors:</t>
  </si>
  <si>
    <t>Nov 2020</t>
  </si>
  <si>
    <t>Dec 2020</t>
  </si>
  <si>
    <t>Jan 2021</t>
  </si>
  <si>
    <t>V122553 (real)</t>
  </si>
  <si>
    <t>V122544 (long)</t>
  </si>
  <si>
    <t>V122542 (7 year)</t>
  </si>
  <si>
    <t>Additional information:</t>
  </si>
  <si>
    <t>50% of CPI, pre- and post-retirement</t>
  </si>
  <si>
    <t>Cost-of-living adjustments</t>
  </si>
  <si>
    <t>Participants may choose a lump-sum commuted value in lieu of an immediate or deferred pension at all ages</t>
  </si>
  <si>
    <t>Portability</t>
  </si>
  <si>
    <t>Deferred pension starting at age 65
Payable from age 55 in accordance with the Early retirement benefit</t>
  </si>
  <si>
    <t>Termination benefit</t>
  </si>
  <si>
    <t>Unreduced with 80 age-plus-service points (service based on Eligibility service);
otherwise 2% per year from age 65</t>
  </si>
  <si>
    <t>Early retirement benefit</t>
  </si>
  <si>
    <t>Eligibility for early retirement</t>
  </si>
  <si>
    <t>1.5% times the sum of earnings for each year of pensionable service</t>
  </si>
  <si>
    <t>Normal retirement benefit</t>
  </si>
  <si>
    <t>Normal retirement age</t>
  </si>
  <si>
    <t>Plan provisions:</t>
  </si>
  <si>
    <t>Accrued benefit</t>
  </si>
  <si>
    <t>Eligibility service (years)</t>
  </si>
  <si>
    <t>Pensionable service (years)</t>
  </si>
  <si>
    <t>January 1, 2021</t>
  </si>
  <si>
    <t>Date of termination</t>
  </si>
  <si>
    <t>January 1, 1966</t>
  </si>
  <si>
    <t>Date of birth</t>
  </si>
  <si>
    <t>Member data:</t>
  </si>
  <si>
    <t>defined benefit pension plan registered in Ontario:</t>
  </si>
  <si>
    <t>You are given the following information for a member terminating from a single-employer</t>
  </si>
  <si>
    <t>(8 points)</t>
  </si>
  <si>
    <t>Answer parts (a) and (b) here:</t>
  </si>
  <si>
    <t>Question 8</t>
  </si>
  <si>
    <t>RETFRC Spring 2021</t>
  </si>
  <si>
    <t>The reponse for this portion of the question is to be provided in the Word document.</t>
  </si>
  <si>
    <t>Standards of Practice.</t>
  </si>
  <si>
    <t>a target benefit plan in accordance with the Canadian Institute of Actuaries'</t>
  </si>
  <si>
    <t>Describe how the calculation of the commuted value would differ if the plan were</t>
  </si>
  <si>
    <t>(2 points)</t>
  </si>
  <si>
    <t>(d)</t>
  </si>
  <si>
    <t>January 1, 2022.</t>
  </si>
  <si>
    <t>Calculate the commuted value for each active member assuming the plan was wound up on</t>
  </si>
  <si>
    <t>employment on January 1, 2022.</t>
  </si>
  <si>
    <t>Calculate the commuted value for each active member assuming they voluntarily terminated</t>
  </si>
  <si>
    <t>January 2022.</t>
  </si>
  <si>
    <t>Calculate the discount rates applicable to commuted value calculations for terminations in</t>
  </si>
  <si>
    <t>Long-Term Federal Non-Agency 
Bond Index</t>
  </si>
  <si>
    <t>Long-Term Corporate 
Bond Index</t>
  </si>
  <si>
    <t>V122542 
(7 year)</t>
  </si>
  <si>
    <r>
      <t>20|</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</si>
  <si>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30|</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</si>
  <si>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19|</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</si>
  <si>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29|</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</si>
  <si>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18|</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</si>
  <si>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28|</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</si>
  <si>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17|</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</si>
  <si>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27|</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</si>
  <si>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16|</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</si>
  <si>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26|</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</si>
  <si>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15|</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</si>
  <si>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25|</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</si>
  <si>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14|</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</si>
  <si>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24|</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</si>
  <si>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13|</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</si>
  <si>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23|</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</si>
  <si>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12|</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</si>
  <si>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22|</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</si>
  <si>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11|</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</si>
  <si>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21|</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</si>
  <si>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r>
      <t>10|</t>
    </r>
    <r>
      <rPr>
        <sz val="12"/>
        <color rgb="FF305496"/>
        <rFont val="Times New Roman"/>
        <family val="1"/>
      </rPr>
      <t xml:space="preserve">ä </t>
    </r>
    <r>
      <rPr>
        <vertAlign val="subscript"/>
        <sz val="12"/>
        <color rgb="FF305496"/>
        <rFont val="Times New Roman"/>
        <family val="1"/>
      </rPr>
      <t>45</t>
    </r>
    <r>
      <rPr>
        <vertAlign val="superscript"/>
        <sz val="12"/>
        <color rgb="FF305496"/>
        <rFont val="Times New Roman"/>
        <family val="1"/>
      </rPr>
      <t>(12)</t>
    </r>
  </si>
  <si>
    <r>
      <t>20|</t>
    </r>
    <r>
      <rPr>
        <sz val="12"/>
        <color rgb="FF305496"/>
        <rFont val="Times New Roman"/>
        <family val="1"/>
      </rPr>
      <t xml:space="preserve">ä </t>
    </r>
    <r>
      <rPr>
        <vertAlign val="subscript"/>
        <sz val="12"/>
        <color rgb="FF305496"/>
        <rFont val="Times New Roman"/>
        <family val="1"/>
      </rPr>
      <t>35</t>
    </r>
    <r>
      <rPr>
        <vertAlign val="superscript"/>
        <sz val="12"/>
        <color rgb="FF305496"/>
        <rFont val="Times New Roman"/>
        <family val="1"/>
      </rPr>
      <t>(12)</t>
    </r>
  </si>
  <si>
    <t>Bridge factor</t>
  </si>
  <si>
    <t>Lifetime factor</t>
  </si>
  <si>
    <t>Member 2</t>
  </si>
  <si>
    <t>Member 1</t>
  </si>
  <si>
    <t>Commuted value annuity factors at January 1, 2022:</t>
  </si>
  <si>
    <t>Years of service</t>
  </si>
  <si>
    <t>2019 salary</t>
  </si>
  <si>
    <t>2020 salary</t>
  </si>
  <si>
    <t>2021 salary</t>
  </si>
  <si>
    <t>Age</t>
  </si>
  <si>
    <t>Lump sum commuted value option permitted at all ages</t>
  </si>
  <si>
    <t>Portability option:</t>
  </si>
  <si>
    <t>Deferred pension payable at age 65 or actuarial equivalent if received earlier</t>
  </si>
  <si>
    <t>Termination benefit:</t>
  </si>
  <si>
    <t>Life only, payable monthly in advance</t>
  </si>
  <si>
    <t>Normal form of payment:</t>
  </si>
  <si>
    <t>3 % per year prior to Age 60</t>
  </si>
  <si>
    <t>Early retirement reduction:</t>
  </si>
  <si>
    <t>Age 60</t>
  </si>
  <si>
    <t>Unreduced early retirement age:</t>
  </si>
  <si>
    <t>Earliest retirement age:</t>
  </si>
  <si>
    <t>Normal retirement age:</t>
  </si>
  <si>
    <t>$800 annual pension multiplied by years of service payable from retirement on or after Age 62 to the earlier of Age 65 or death</t>
  </si>
  <si>
    <t>Bridge benefit</t>
  </si>
  <si>
    <t>1.25 % of final 3-year average salary multiplied by years of service</t>
  </si>
  <si>
    <t>Normal retirement benefit:</t>
  </si>
  <si>
    <t>You are given the following as at January 1, 2022:</t>
  </si>
  <si>
    <t>You are the actuary of a single-employer defined benefit pension plan registered in Ontario.</t>
  </si>
  <si>
    <t>(11 points)</t>
  </si>
  <si>
    <t>Answer parts (a) (b) and (c) here:</t>
  </si>
  <si>
    <t>Question 2</t>
  </si>
  <si>
    <t>RETFRC Fall 2021</t>
  </si>
  <si>
    <t>Calculate the pension adjustment reversals (PARs) for both members.</t>
  </si>
  <si>
    <t>The members terminated their employment voluntarily and elected to receive lump-sum commuted values.</t>
  </si>
  <si>
    <t>(ii) Involuntarily.</t>
  </si>
  <si>
    <t>Calculate the commuted value at the members' date of termination assuming the members terminated:</t>
  </si>
  <si>
    <t>Calculate the commuted value interest rates under Section 3500 of the Canadian Institute of Actuaries' Standards of Practice as at the date of termination.</t>
  </si>
  <si>
    <r>
      <t>30|</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</si>
  <si>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15|</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</si>
  <si>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29|</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</si>
  <si>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14|</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</si>
  <si>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28|</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</si>
  <si>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13|</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</si>
  <si>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27|</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</si>
  <si>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12|</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</si>
  <si>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26|</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</si>
  <si>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11|</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</si>
  <si>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25|</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</si>
  <si>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10|</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</si>
  <si>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24|</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</si>
  <si>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9|</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</si>
  <si>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23|</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</si>
  <si>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8|</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</si>
  <si>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22|</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</si>
  <si>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7|</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</si>
  <si>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21|</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</si>
  <si>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6|</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</si>
  <si>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r>
      <t>20|</t>
    </r>
    <r>
      <rPr>
        <sz val="12"/>
        <color rgb="FF002060"/>
        <rFont val="Times New Roman"/>
        <family val="1"/>
      </rPr>
      <t xml:space="preserve">ä </t>
    </r>
    <r>
      <rPr>
        <vertAlign val="subscript"/>
        <sz val="12"/>
        <color rgb="FF002060"/>
        <rFont val="Times New Roman"/>
        <family val="1"/>
      </rPr>
      <t>35</t>
    </r>
    <r>
      <rPr>
        <vertAlign val="superscript"/>
        <sz val="12"/>
        <color rgb="FF002060"/>
        <rFont val="Times New Roman"/>
        <family val="1"/>
      </rPr>
      <t>(12)</t>
    </r>
  </si>
  <si>
    <r>
      <t>5|</t>
    </r>
    <r>
      <rPr>
        <sz val="12"/>
        <color rgb="FF002060"/>
        <rFont val="Times New Roman"/>
        <family val="1"/>
      </rPr>
      <t xml:space="preserve">ä </t>
    </r>
    <r>
      <rPr>
        <vertAlign val="subscript"/>
        <sz val="12"/>
        <color rgb="FF002060"/>
        <rFont val="Times New Roman"/>
        <family val="1"/>
      </rPr>
      <t>50</t>
    </r>
    <r>
      <rPr>
        <vertAlign val="superscript"/>
        <sz val="12"/>
        <color rgb="FF002060"/>
        <rFont val="Times New Roman"/>
        <family val="1"/>
      </rPr>
      <t>(12)</t>
    </r>
  </si>
  <si>
    <t>Annuity factors exclude pre-retirement indexation.</t>
  </si>
  <si>
    <t>Bond Index</t>
  </si>
  <si>
    <t>Long-Term Federal Non-Agency</t>
  </si>
  <si>
    <t>Mid-Term Federal Non-Agency</t>
  </si>
  <si>
    <t>(7 year)</t>
  </si>
  <si>
    <t>V122542</t>
  </si>
  <si>
    <t>Calculated at pension commencement date</t>
  </si>
  <si>
    <t>ITA Maximum Pension Test:</t>
  </si>
  <si>
    <t>CPI minus 1%, pre- and post-retirement</t>
  </si>
  <si>
    <t>Cost-of-living adjustments:</t>
  </si>
  <si>
    <t>Portability:</t>
  </si>
  <si>
    <t>Payable from age 55, reduced by 4% per year from age 65</t>
  </si>
  <si>
    <t>Deferred pension starting at the Normal Retirement Age</t>
  </si>
  <si>
    <t>Unreduced at age 62; otherwise 3% reduction from age 62</t>
  </si>
  <si>
    <t>Early retirement benefit:</t>
  </si>
  <si>
    <t>Eligibility for early retirement:</t>
  </si>
  <si>
    <t>2.0% per year of service times the average of the best 3 years of salary</t>
  </si>
  <si>
    <t>Salary</t>
  </si>
  <si>
    <t>Service</t>
  </si>
  <si>
    <t>ITA Maximum DB Pension Limit</t>
  </si>
  <si>
    <t>Year</t>
  </si>
  <si>
    <t>You are given:</t>
  </si>
  <si>
    <t>Eligibility service (years):</t>
  </si>
  <si>
    <t>Pensionable service (years):</t>
  </si>
  <si>
    <t>Date of termination:</t>
  </si>
  <si>
    <t>Date of birth:</t>
  </si>
  <si>
    <t xml:space="preserve">You are given the following information for two members terminating from a single-employer defined benefit pension plan registered in Ontario: </t>
  </si>
  <si>
    <t>RETFRC Spring 2022</t>
  </si>
  <si>
    <t xml:space="preserve">Funding excess (shortfall) at December 31, 2022 </t>
  </si>
  <si>
    <t>PfAD at December 31, 2022</t>
  </si>
  <si>
    <t>Funding excess (shortfall) at December 31, 2022 before PfAD</t>
  </si>
  <si>
    <t>Total assumption change gains (losses)</t>
  </si>
  <si>
    <t>Assumption Changes</t>
  </si>
  <si>
    <t>Total experience gains (losses)</t>
  </si>
  <si>
    <t>Net experience gains (losses)</t>
  </si>
  <si>
    <t>PfAD contributions with interest</t>
  </si>
  <si>
    <t>Special Payments to fund the deficit with interest</t>
  </si>
  <si>
    <t>Interest on the excess/deficit</t>
  </si>
  <si>
    <t>Funding excess (shortfall) before PfAD</t>
  </si>
  <si>
    <t>PfAD at December 31, 2021</t>
  </si>
  <si>
    <t>Funding excess (shortfall) at December 31, 2021</t>
  </si>
  <si>
    <t>Link final results below and show all work including formulas in the workspace provided to the right or in the additional worksheets (in Excel).</t>
  </si>
  <si>
    <t>Calculate the sources of gain/(loss) of the going concern liabilities from December 31, 2021 to December 31, 2022.</t>
  </si>
  <si>
    <t>(e)</t>
  </si>
  <si>
    <t>Funding excess (shortfall)</t>
  </si>
  <si>
    <t>Total</t>
  </si>
  <si>
    <t>PfAD</t>
  </si>
  <si>
    <t>Subtotal</t>
  </si>
  <si>
    <t>Pensioners</t>
  </si>
  <si>
    <t>Deferred pensioners</t>
  </si>
  <si>
    <t>Active members</t>
  </si>
  <si>
    <t>Going concern liabilities:</t>
  </si>
  <si>
    <t>Going concern funding target</t>
  </si>
  <si>
    <t>Asset Value</t>
  </si>
  <si>
    <t>Calculate the funded status of the plan on a going concern basis.</t>
  </si>
  <si>
    <t>You are performing the valuation at December 31, 2022.</t>
  </si>
  <si>
    <t>December 31, 2022 market value:</t>
  </si>
  <si>
    <t>Realized and unrealized gains (losses)</t>
  </si>
  <si>
    <t xml:space="preserve">Investment income </t>
  </si>
  <si>
    <t>Investment expenses</t>
  </si>
  <si>
    <t>Administration expenses</t>
  </si>
  <si>
    <t>Lump sums paid</t>
  </si>
  <si>
    <t>Pension paid</t>
  </si>
  <si>
    <t>Member contributions</t>
  </si>
  <si>
    <t>Company special payments</t>
  </si>
  <si>
    <t>Company Current Service Cost, Expense Allowance and PfAD</t>
  </si>
  <si>
    <t>December 31, 2021 market value:</t>
  </si>
  <si>
    <t>Asset information (in $)</t>
  </si>
  <si>
    <t>(per year)</t>
  </si>
  <si>
    <t>Benchmark discount rate (BDR):</t>
  </si>
  <si>
    <t>Salary Scale</t>
  </si>
  <si>
    <t>Discount rate:</t>
  </si>
  <si>
    <t>Going Concern Assumptions Change</t>
  </si>
  <si>
    <t>CPI for 2022</t>
  </si>
  <si>
    <t>Earnings for 2022:</t>
  </si>
  <si>
    <t>ID2</t>
  </si>
  <si>
    <t>Other Data Experience</t>
  </si>
  <si>
    <t>Pensioner deceased June 2022.</t>
  </si>
  <si>
    <t>ID6</t>
  </si>
  <si>
    <t>Pensioner deceased March 2022. Spouse received spousal pension effective April 1, 2022</t>
  </si>
  <si>
    <t>ID5</t>
  </si>
  <si>
    <t>Deferred</t>
  </si>
  <si>
    <t>ID4</t>
  </si>
  <si>
    <t>ID3</t>
  </si>
  <si>
    <t>Active</t>
  </si>
  <si>
    <t>Terminated June 30, 2022, Lump Sum Payout of $215,000 on December 30, 2022</t>
  </si>
  <si>
    <t>ID1</t>
  </si>
  <si>
    <t>Status at December 31, 2022</t>
  </si>
  <si>
    <t>Member ID</t>
  </si>
  <si>
    <t>The next valuation date is December 31, 2022 based on the information provided below:</t>
  </si>
  <si>
    <t>Minimum required contributions for 2023</t>
  </si>
  <si>
    <t>Special payments</t>
  </si>
  <si>
    <t>Employer current service cost contributions</t>
  </si>
  <si>
    <t>2023 Estimated minimum required employer contributions</t>
  </si>
  <si>
    <t>Maximum permissible employer contributions for 2022</t>
  </si>
  <si>
    <t>Minimum required employer contributions for 2022</t>
  </si>
  <si>
    <t>2022 Employer Minimum Contribution Requirements</t>
  </si>
  <si>
    <t>Link final results below and show all work including formulas in the workspace provided to the right (in Excel).</t>
  </si>
  <si>
    <t>employer contributions for 2023.</t>
  </si>
  <si>
    <t>Calculate the minimum required and maximum permissible employer contribuitons for 2022 and the estimated minimum required</t>
  </si>
  <si>
    <t>(6 points)</t>
  </si>
  <si>
    <t>Hypothetical wind-up excess (shortfall)</t>
  </si>
  <si>
    <t>Total hypothetical wind-up liability</t>
  </si>
  <si>
    <t>Present value of accrued benefits for:</t>
  </si>
  <si>
    <t>Hypothetical wind-up assets</t>
  </si>
  <si>
    <t>Solvency excess (shortfall)</t>
  </si>
  <si>
    <t>Total solvency liability</t>
  </si>
  <si>
    <t>Solvency assets</t>
  </si>
  <si>
    <t>Calculate the funded status of the plan on a solvency basis and on a hypothetical wind-up basis.</t>
  </si>
  <si>
    <t>Your are asked to perform the actuarial valuation as at December 31, 2021</t>
  </si>
  <si>
    <t>Annuity purchase rates:</t>
  </si>
  <si>
    <t>Lump sum rates:</t>
  </si>
  <si>
    <t>x = 60</t>
  </si>
  <si>
    <t xml:space="preserve">d = </t>
  </si>
  <si>
    <t>x = 43</t>
  </si>
  <si>
    <t>Solvency/Hypothetical Wind-up Annuity factors without indexation:</t>
  </si>
  <si>
    <t>Solvency/Hypothetical Wind-up Annuity factors with indexation:</t>
  </si>
  <si>
    <t>73 (J&amp;S 60%)</t>
  </si>
  <si>
    <t>72 (J&amp;S 60%)</t>
  </si>
  <si>
    <t>Discount Rate</t>
  </si>
  <si>
    <t>Participant Age</t>
  </si>
  <si>
    <t>Going Concern Immediate Annuity factors (without indexation):</t>
  </si>
  <si>
    <t>Going Concern Immediate Annuity factors (indexed):</t>
  </si>
  <si>
    <t>All annuity factors are for Life guaranteed 5 years except where noted</t>
  </si>
  <si>
    <t>Annuity Factors</t>
  </si>
  <si>
    <t>There are no in-transit amounts as at December 31, 2021 or December, 31, 2022.</t>
  </si>
  <si>
    <t>Market value of assets at December 31, 2021:</t>
  </si>
  <si>
    <t>Asset Information (in $):</t>
  </si>
  <si>
    <t>Life guaranteed for 5 years</t>
  </si>
  <si>
    <t>J&amp;S60%</t>
  </si>
  <si>
    <t>Form of pension:</t>
  </si>
  <si>
    <t>January 1, 2022 Annual Pension</t>
  </si>
  <si>
    <t>Retirement Date:</t>
  </si>
  <si>
    <t>n/a</t>
  </si>
  <si>
    <t>Spouse's age:</t>
  </si>
  <si>
    <t>Age:</t>
  </si>
  <si>
    <t>Pensioners:</t>
  </si>
  <si>
    <t>Annual deferred pension:</t>
  </si>
  <si>
    <t>Voluntary</t>
  </si>
  <si>
    <t>Termination Type:</t>
  </si>
  <si>
    <t>Deferred Members:</t>
  </si>
  <si>
    <t>Full-time</t>
  </si>
  <si>
    <t>Status:</t>
  </si>
  <si>
    <t>Years of service:</t>
  </si>
  <si>
    <t>Earnings for 2021:</t>
  </si>
  <si>
    <t>Earnings for 2020:</t>
  </si>
  <si>
    <t>Earnings for 2019:</t>
  </si>
  <si>
    <t>Active Members:</t>
  </si>
  <si>
    <t>Membership information:</t>
  </si>
  <si>
    <t>Solvency Two</t>
  </si>
  <si>
    <t>Solvency One</t>
  </si>
  <si>
    <t>GC Two</t>
  </si>
  <si>
    <t>GC One</t>
  </si>
  <si>
    <t>Date of Last Payment</t>
  </si>
  <si>
    <t>Start Date</t>
  </si>
  <si>
    <t>Date Established</t>
  </si>
  <si>
    <t>Monthly Amortization Payment</t>
  </si>
  <si>
    <t>Type</t>
  </si>
  <si>
    <t>Amortization Schedules from previous valuation:</t>
  </si>
  <si>
    <t>In accordance with Standards of Practice</t>
  </si>
  <si>
    <t>Retirement age:</t>
  </si>
  <si>
    <t>Termination Expenses:</t>
  </si>
  <si>
    <t>- Inflation rate:</t>
  </si>
  <si>
    <t>- Interest rate:</t>
  </si>
  <si>
    <t>Basis for benefits assumed to be settled through the purchase of an annuity</t>
  </si>
  <si>
    <t>1.50% for 10 years, 2.10% thereafter</t>
  </si>
  <si>
    <t>- Inflation:</t>
  </si>
  <si>
    <t>2.30% for 10 years, 3.40% thereafter</t>
  </si>
  <si>
    <t>- Discount rate:</t>
  </si>
  <si>
    <t>Basis for benefits assumed to be settled through a lump sum</t>
  </si>
  <si>
    <t>100% annuity purchase</t>
  </si>
  <si>
    <t>- Pensioners:</t>
  </si>
  <si>
    <t>100% elect lump sum</t>
  </si>
  <si>
    <t>- Active and Deferred Members:</t>
  </si>
  <si>
    <t>Form of benefit settlement elected by member</t>
  </si>
  <si>
    <t>Solvency excludes indexation</t>
  </si>
  <si>
    <t>Solvency Basis</t>
  </si>
  <si>
    <t>Solvency and Hypothetical Wind-up assumptions:</t>
  </si>
  <si>
    <t>Non-Fixed Income Percentage is 60%. Related PfAD Component:</t>
  </si>
  <si>
    <t>Plan Type (Closed):</t>
  </si>
  <si>
    <t>Information for calculation of the provision for adverse deviations (PfAD):</t>
  </si>
  <si>
    <t>Market Value of assets</t>
  </si>
  <si>
    <t>Assets:</t>
  </si>
  <si>
    <t>Assume 100% of terminations are involuntary</t>
  </si>
  <si>
    <t>Termination Assumption (from Active status):</t>
  </si>
  <si>
    <t>100% of eligible members elect to receive an immediate or deferred pension from the plan</t>
  </si>
  <si>
    <t>Form of benefit elected:</t>
  </si>
  <si>
    <t>50 and over</t>
  </si>
  <si>
    <t>under age 45</t>
  </si>
  <si>
    <t>Rate per year</t>
  </si>
  <si>
    <t>Termination rates:</t>
  </si>
  <si>
    <t>Assume retirement at NRA</t>
  </si>
  <si>
    <t>Retirement age (deferred):</t>
  </si>
  <si>
    <t>Retirement age (actives):</t>
  </si>
  <si>
    <t>Projected Unit Credit, service prorate</t>
  </si>
  <si>
    <t>Actuarial Cost Method:</t>
  </si>
  <si>
    <t>None</t>
  </si>
  <si>
    <t>Pre-retirement mortality:</t>
  </si>
  <si>
    <t>Explicit expense allowance for administrative expenses:</t>
  </si>
  <si>
    <t>Salary increase:</t>
  </si>
  <si>
    <t>Inflation:</t>
  </si>
  <si>
    <t>Going concern assumptions:</t>
  </si>
  <si>
    <t>Actuarial Assumptions and Methods:</t>
  </si>
  <si>
    <t>The following information is as at December 31, 2021:</t>
  </si>
  <si>
    <t>Pensions in payment are increased annually at 100% of CPI capped at 4%</t>
  </si>
  <si>
    <t>Post-retirement cost of living adjustments:</t>
  </si>
  <si>
    <t>Pre-retirement cost of living adjustments:</t>
  </si>
  <si>
    <t>Normal Form of Pension</t>
  </si>
  <si>
    <t>Early commencement with actuarial equivalent benefit</t>
  </si>
  <si>
    <t>Pension deferred to NRA</t>
  </si>
  <si>
    <t>Termination benefits:</t>
  </si>
  <si>
    <r>
      <rPr>
        <i/>
        <sz val="12"/>
        <color rgb="FF002060"/>
        <rFont val="Times New Roman"/>
        <family val="1"/>
      </rPr>
      <t>Otherwise:</t>
    </r>
    <r>
      <rPr>
        <sz val="12"/>
        <color rgb="FF002060"/>
        <rFont val="Times New Roman"/>
        <family val="1"/>
      </rPr>
      <t xml:space="preserve"> Actuarial equivalent to pension deferred to NRA</t>
    </r>
  </si>
  <si>
    <r>
      <rPr>
        <i/>
        <sz val="12"/>
        <color rgb="FF002060"/>
        <rFont val="Times New Roman"/>
        <family val="1"/>
      </rPr>
      <t>With 20 or more years of service:</t>
    </r>
    <r>
      <rPr>
        <sz val="12"/>
        <color rgb="FF002060"/>
        <rFont val="Times New Roman"/>
        <family val="1"/>
      </rPr>
      <t xml:space="preserve">  2% per year prior to age 65</t>
    </r>
  </si>
  <si>
    <t>Age 62 with 20 years of service</t>
  </si>
  <si>
    <t>Unreduced early retirement age (UERA):</t>
  </si>
  <si>
    <t>Normal retirement age (NRA):</t>
  </si>
  <si>
    <t>5.0% of previous year earnings, contributed at the beginning of the year.
Assume employee contribution balances would not trigger the 50% excess contribution rule.</t>
  </si>
  <si>
    <t>Member Contribution requirements:</t>
  </si>
  <si>
    <t>2.00% of Final 3-year Average Earnings multiplied by years of service</t>
  </si>
  <si>
    <t>Retirement benefit:</t>
  </si>
  <si>
    <t>Plan Provisions</t>
  </si>
  <si>
    <t>Your client sponsors a defined benefit pension plan registered in Ontario.</t>
  </si>
  <si>
    <r>
      <rPr>
        <sz val="12"/>
        <color rgb="FF002060"/>
        <rFont val="Times New Roman"/>
        <family val="1"/>
      </rPr>
      <t xml:space="preserve">(35 points) </t>
    </r>
  </si>
  <si>
    <t>Question 7</t>
  </si>
  <si>
    <t>Provide your answer in the workspace provided to the right (in Excel).</t>
  </si>
  <si>
    <t>Describe the considerations in setting the SIC projection assumptions:</t>
  </si>
  <si>
    <t>Calculate the 2023 solvency incremental cost (SIC).</t>
  </si>
  <si>
    <t>Annuity factor (valued at 5%)</t>
  </si>
  <si>
    <t>Annuity factor (valued at 4%)</t>
  </si>
  <si>
    <t>Deferral period</t>
  </si>
  <si>
    <t>Solvency annuity factors:</t>
  </si>
  <si>
    <t>Projected Unit Credit</t>
  </si>
  <si>
    <t>Actuarial cost method</t>
  </si>
  <si>
    <t>Other pre-retirement decrements</t>
  </si>
  <si>
    <t>Termination decrement</t>
  </si>
  <si>
    <t>Retirement age</t>
  </si>
  <si>
    <t>3% per year</t>
  </si>
  <si>
    <t>Salary increase</t>
  </si>
  <si>
    <t>6% per year</t>
  </si>
  <si>
    <t>Discount rate</t>
  </si>
  <si>
    <t>Going concern assumptions and methods:</t>
  </si>
  <si>
    <t>Pre-retirement decrements</t>
  </si>
  <si>
    <t>100% of members under age 55, 0% otherwise</t>
  </si>
  <si>
    <t>Percentage of members electing a commuted value</t>
  </si>
  <si>
    <t>5% per year for 10 years, 5% per year thereafter</t>
  </si>
  <si>
    <t>Discount rate – lump sum payment</t>
  </si>
  <si>
    <t>4% per year</t>
  </si>
  <si>
    <t>Discount rate – annuity purchase</t>
  </si>
  <si>
    <t>Solvency assumptions:</t>
  </si>
  <si>
    <t>Deferred pension payable at age 65. 
Early commencement of pension subject to an actuarial equivalent reduction.</t>
  </si>
  <si>
    <t>4% per year prior to age 60</t>
  </si>
  <si>
    <t>Early retirement reduction</t>
  </si>
  <si>
    <t>Earliest retirement age</t>
  </si>
  <si>
    <t>Life only</t>
  </si>
  <si>
    <t>Normal form of pension</t>
  </si>
  <si>
    <t>2% of final 3-year average earnings multiplied by service</t>
  </si>
  <si>
    <t>Pension plan provisions:</t>
  </si>
  <si>
    <t>B</t>
  </si>
  <si>
    <t>A</t>
  </si>
  <si>
    <t>Service (years)</t>
  </si>
  <si>
    <t>Age (years)</t>
  </si>
  <si>
    <t>Member</t>
  </si>
  <si>
    <t>Earnings</t>
  </si>
  <si>
    <t>Valuation Data:</t>
  </si>
  <si>
    <t>You are given the following information as at January 1, 2023.</t>
  </si>
  <si>
    <t xml:space="preserve">You are the actuary for a company that sponsors a defined benefit pension plan registered in Ontario. </t>
  </si>
  <si>
    <t>(10 points)</t>
  </si>
  <si>
    <t>Question 6</t>
  </si>
  <si>
    <t>RETFRC Fall 2023</t>
  </si>
  <si>
    <t>Provide your answer in the space to the right.</t>
  </si>
  <si>
    <t>Explain why your client may have decided to file the January 1, 2024 valuation.</t>
  </si>
  <si>
    <t xml:space="preserve">(2 points) </t>
  </si>
  <si>
    <t>The plan remains in a solvency surplus at January 1, 2024 and your client decides to file the January 1, 2024 valuation.</t>
  </si>
  <si>
    <t>Funding excess (shortfall) at January 1, 2024</t>
  </si>
  <si>
    <t>Contributions</t>
  </si>
  <si>
    <t>Expense experience</t>
  </si>
  <si>
    <t>Termination</t>
  </si>
  <si>
    <t>Mortality</t>
  </si>
  <si>
    <t>Investment return</t>
  </si>
  <si>
    <t>Experience gains (losses)</t>
  </si>
  <si>
    <t>Expected funding excess (shortfall) at January 1, 2024 after PfAD</t>
  </si>
  <si>
    <t>Deficit Contributions</t>
  </si>
  <si>
    <t>Funding excess (shortfall) at January 1, 2023</t>
  </si>
  <si>
    <t>Link final results below and show all work including formulas in the workspace provided to the right or in additional worksheets (in Excel).</t>
  </si>
  <si>
    <t xml:space="preserve">Calculate the actuarial gains and losses by source for the period between January 1, 2023 and December 31, 2023.
</t>
  </si>
  <si>
    <t xml:space="preserve">(8 points) </t>
  </si>
  <si>
    <t xml:space="preserve">(d) </t>
  </si>
  <si>
    <t>PFAD</t>
  </si>
  <si>
    <t>GC Liabilities</t>
  </si>
  <si>
    <t>Assets</t>
  </si>
  <si>
    <t>Going Concern Funded Position</t>
  </si>
  <si>
    <t xml:space="preserve">Calculate the funded status on a going-concern basis as at the January 1, 2024. </t>
  </si>
  <si>
    <t xml:space="preserve">(5 points) </t>
  </si>
  <si>
    <t>The going concern assumptions for the January 1, 2024 valuation remain unchanged from the prior valuation</t>
  </si>
  <si>
    <t>Cost of living adjustment for pensions in pay of 7% per year effective January 1, 2024</t>
  </si>
  <si>
    <t>Member D died on December 15, 2023</t>
  </si>
  <si>
    <t>Member B received a salary increase of 4.00%</t>
  </si>
  <si>
    <t>Member A received a salary increase of 5.00%</t>
  </si>
  <si>
    <t>Demographic experience in 2023:</t>
  </si>
  <si>
    <t>December 31, 2023 market value of assets:</t>
  </si>
  <si>
    <t>Investment income:</t>
  </si>
  <si>
    <t>Administration fees:</t>
  </si>
  <si>
    <t>Pension paid:</t>
  </si>
  <si>
    <t>Member contributions:</t>
  </si>
  <si>
    <t>Employer contributions:</t>
  </si>
  <si>
    <t>January 1, 2023 market value of assets:</t>
  </si>
  <si>
    <t>2023 asset reconciliation ($):</t>
  </si>
  <si>
    <t>You are provided with the following asset and demographic experience for the period from January 1, 2023 to December 31, 2023</t>
  </si>
  <si>
    <t>Maximum permissible contributions for 2023</t>
  </si>
  <si>
    <t>Calculate the minimum required and maximum permissible contributions for 2023 based on the January 1, 2023 valuation.</t>
  </si>
  <si>
    <t xml:space="preserve">(3 points) </t>
  </si>
  <si>
    <t>Hypothetical wind up excess (shortfall)</t>
  </si>
  <si>
    <t>Liability</t>
  </si>
  <si>
    <t>Wind-up expense</t>
  </si>
  <si>
    <t>Hypothetical wind up</t>
  </si>
  <si>
    <t>Solvency</t>
  </si>
  <si>
    <t>Going concern excess (shortfall)</t>
  </si>
  <si>
    <t>Calculate the funded status of the plan on a going concern, solvency and hypothetical wind up bases as at January 1, 2023.</t>
  </si>
  <si>
    <t xml:space="preserve">(12 points) </t>
  </si>
  <si>
    <t>Commencement age</t>
  </si>
  <si>
    <t>Discount rates</t>
  </si>
  <si>
    <t>Age 61</t>
  </si>
  <si>
    <t>Deferred annuity factors</t>
  </si>
  <si>
    <t>Age 50</t>
  </si>
  <si>
    <t>Age 49</t>
  </si>
  <si>
    <t>Deferred to age 65 life guaranteed 5 years annuity factors</t>
  </si>
  <si>
    <t>Immediate life guaranteed 5 years annuity factors</t>
  </si>
  <si>
    <t>Immediate single life annuity factors</t>
  </si>
  <si>
    <t>Going concern</t>
  </si>
  <si>
    <t>Number of years remaining</t>
  </si>
  <si>
    <t>Monthly amortization payment</t>
  </si>
  <si>
    <t>Amortization schedules from previous valuation:</t>
  </si>
  <si>
    <t>Plan termination expenses:</t>
  </si>
  <si>
    <t>2.1% per year</t>
  </si>
  <si>
    <t>3.8% per year</t>
  </si>
  <si>
    <t>1.9% per year for 10 years; 1.9% per year thereafter</t>
  </si>
  <si>
    <t>4.1% per year for 10 years; 4.1% per year thereafter</t>
  </si>
  <si>
    <t>Solvency and hypothetical wind-up assumptions:</t>
  </si>
  <si>
    <t>PfAD asset mix component:</t>
  </si>
  <si>
    <t>Plan type (Closed):</t>
  </si>
  <si>
    <t>Market value of assets</t>
  </si>
  <si>
    <t>100% of members elect to receive an immediate or deferred pension from the plan</t>
  </si>
  <si>
    <t>under age 50</t>
  </si>
  <si>
    <t>Termination rates (all involuntary):</t>
  </si>
  <si>
    <t>NRA</t>
  </si>
  <si>
    <t>URA</t>
  </si>
  <si>
    <t>Projected Unit Credit, prorated on service</t>
  </si>
  <si>
    <t>Actuarial cost method:</t>
  </si>
  <si>
    <t>Inflation rate:</t>
  </si>
  <si>
    <t>Actuarial assumptions and methods:</t>
  </si>
  <si>
    <t>Life guaranteed 
for 5 years</t>
  </si>
  <si>
    <t>Age at retirement:</t>
  </si>
  <si>
    <t>January 1, 2023 annual pension:</t>
  </si>
  <si>
    <t>Earnings for 2018:</t>
  </si>
  <si>
    <t>Age (in years):</t>
  </si>
  <si>
    <t>Retired</t>
  </si>
  <si>
    <t>Member status:</t>
  </si>
  <si>
    <t>D</t>
  </si>
  <si>
    <t>C</t>
  </si>
  <si>
    <t>Member ID:</t>
  </si>
  <si>
    <t>Market value of assets:</t>
  </si>
  <si>
    <t>Asset Information:</t>
  </si>
  <si>
    <t>You are given the following information as at January 1, 2023:</t>
  </si>
  <si>
    <t>Pensions in payment are increased annually at 100% of CPI</t>
  </si>
  <si>
    <t>Deferred pensions are increased annually at 100% of CPI</t>
  </si>
  <si>
    <t>Normal form of pension:</t>
  </si>
  <si>
    <t>3% per year from earlier of URA and NRA</t>
  </si>
  <si>
    <t>Age 55 and 30 years of service</t>
  </si>
  <si>
    <t>Unreduced retirement age (URA):</t>
  </si>
  <si>
    <t>Earliest retirement age (ERA):</t>
  </si>
  <si>
    <t>8% of earnings</t>
  </si>
  <si>
    <t>2.00% of final 5-year average earnings multiplied by years of service</t>
  </si>
  <si>
    <t>Your client sponsors a single employer contributory defined benefit pension plan registered in Ontario.</t>
  </si>
  <si>
    <t xml:space="preserve">(30 points) </t>
  </si>
  <si>
    <t>Answer in Word document</t>
  </si>
  <si>
    <t>(2 points) Explain why your client may have decided to file the January 1, 2024 valuation.</t>
  </si>
  <si>
    <t>e)</t>
  </si>
  <si>
    <t xml:space="preserve">(8 points) Calculate the actuarial gains and losses by source for the period between January 1, 2023 and December 31, 2023.
</t>
  </si>
  <si>
    <t xml:space="preserve">d) </t>
  </si>
  <si>
    <t xml:space="preserve">(5 points) Calculate the funded status on a going-concern basis as at the January 1, 2024. </t>
  </si>
  <si>
    <t>c)</t>
  </si>
  <si>
    <t>The going concern assumptions for the January 1, 2024 valuation remain. unchanged from the prior valuation</t>
  </si>
  <si>
    <t>Member B received a salary increase of 4.00% (on a nominal basis)</t>
  </si>
  <si>
    <t>Member A received a salary increase of 5.00% (on a nominal basis)</t>
  </si>
  <si>
    <t>Administration fees</t>
  </si>
  <si>
    <t>Employer contributions</t>
  </si>
  <si>
    <t>(3 points) Calculate the minimum required and maximum permissible contributions for 2023 based on the January 1, 2023 valuation.</t>
  </si>
  <si>
    <t>b)</t>
  </si>
  <si>
    <t>(12 points) Calculate the funded status of the plan on a going concern, solvency and hypothetical wind up bases as at January 1, 2023</t>
  </si>
  <si>
    <t>a)</t>
  </si>
  <si>
    <t>Commencement Age</t>
  </si>
  <si>
    <t>Discount Rates</t>
  </si>
  <si>
    <t>Deferred Annuity Factors</t>
  </si>
  <si>
    <t>Consider funding policy</t>
  </si>
  <si>
    <t>Opportunity cost</t>
  </si>
  <si>
    <t>Size of pension plan with respect to company</t>
  </si>
  <si>
    <t>Impact on operating cash flow</t>
  </si>
  <si>
    <t>Filing will increase contribution requirements therefore must consider employer's ability to absorb a contribution increase:</t>
  </si>
  <si>
    <t>Regulator allows tri-annual filing so can choose not to file assuming that one valuation has been filed in the past three years.</t>
  </si>
  <si>
    <t>Must determine whether company is required to file:</t>
  </si>
  <si>
    <t>Part e)</t>
  </si>
  <si>
    <t>Gain/(Loss)</t>
  </si>
  <si>
    <t>Actual PfAD</t>
  </si>
  <si>
    <t>Expected PfAD</t>
  </si>
  <si>
    <t>Interest on PfAD</t>
  </si>
  <si>
    <t>PfAD Contributions with Interest</t>
  </si>
  <si>
    <t>Deferred to age 65 Life Guaranteed 5 years Annuity Factors</t>
  </si>
  <si>
    <t>PfAD BOY</t>
  </si>
  <si>
    <t>12/31/2023 After PfAD</t>
  </si>
  <si>
    <t>Misc</t>
  </si>
  <si>
    <t>(investment return)</t>
  </si>
  <si>
    <t>Return</t>
  </si>
  <si>
    <t>Assumption - SS</t>
  </si>
  <si>
    <t>Assumption - DR</t>
  </si>
  <si>
    <t>(termination)</t>
  </si>
  <si>
    <t>(mortality)</t>
  </si>
  <si>
    <t>(indexation)</t>
  </si>
  <si>
    <t>(salary)</t>
  </si>
  <si>
    <t>BP</t>
  </si>
  <si>
    <t>(expense exp)</t>
  </si>
  <si>
    <t>Gain/(loss) on expenses</t>
  </si>
  <si>
    <t>Actual expense with interest</t>
  </si>
  <si>
    <t>Expense allowance contributions with interest</t>
  </si>
  <si>
    <t>(cont in excess)</t>
  </si>
  <si>
    <t>Gain/(loss) on NC contributions</t>
  </si>
  <si>
    <t>Expected position</t>
  </si>
  <si>
    <t>SP</t>
  </si>
  <si>
    <t>Interest</t>
  </si>
  <si>
    <t>Experience gain/(loss)</t>
  </si>
  <si>
    <t>Gain / (Loss)</t>
  </si>
  <si>
    <t>Liabilities</t>
  </si>
  <si>
    <t>Mortality Gain (Loss)</t>
  </si>
  <si>
    <t>Immediate Life Guaranteed 5 years Annuity Factors</t>
  </si>
  <si>
    <t>Indexation Gain (Loss)</t>
  </si>
  <si>
    <t>Salary Gain (Loss)</t>
  </si>
  <si>
    <t>Part d)</t>
  </si>
  <si>
    <t>Funded Ratio</t>
  </si>
  <si>
    <t>Solvency Assets</t>
  </si>
  <si>
    <t>MV Assets</t>
  </si>
  <si>
    <t>Wind-up</t>
  </si>
  <si>
    <t>Solvency/Wind-Up Funded Position</t>
  </si>
  <si>
    <t>GC Funded Position</t>
  </si>
  <si>
    <t>PFAD $</t>
  </si>
  <si>
    <t>PFAD %</t>
  </si>
  <si>
    <t>PFAD Calculation</t>
  </si>
  <si>
    <t>Actives</t>
  </si>
  <si>
    <t>Solvency Liability</t>
  </si>
  <si>
    <t>Immediate Single Life Annuity Factors</t>
  </si>
  <si>
    <t>Annuity Factors:</t>
  </si>
  <si>
    <t>Going-Concern</t>
  </si>
  <si>
    <t>Wind-Up Liability</t>
  </si>
  <si>
    <t>Number of Years Remaining</t>
  </si>
  <si>
    <t>Normal Cost</t>
  </si>
  <si>
    <t>GC Liabilitiy</t>
  </si>
  <si>
    <t>Unindexed</t>
  </si>
  <si>
    <t>Indexed</t>
  </si>
  <si>
    <t>As at January 1, 2024</t>
  </si>
  <si>
    <t>Part c)</t>
  </si>
  <si>
    <t>Wind-up deficit</t>
  </si>
  <si>
    <t>ER Normal Cost</t>
  </si>
  <si>
    <t>Maximum employer calculation</t>
  </si>
  <si>
    <t>Min. Funding Requirements</t>
  </si>
  <si>
    <t>PfAD Asset mix component:</t>
  </si>
  <si>
    <t>Min(GC Surplus, Excess over 105% solvency)</t>
  </si>
  <si>
    <t>Not applicable as plan now in surplus position</t>
  </si>
  <si>
    <t>Prior Years Special payments</t>
  </si>
  <si>
    <t>Total Employer Current Service Cost Contributions</t>
  </si>
  <si>
    <t>Total Expense Allowance</t>
  </si>
  <si>
    <t>PfAD on explicit expense allowance</t>
  </si>
  <si>
    <t>Explicit Expense Allowance</t>
  </si>
  <si>
    <t>Employer Portion of Normal Cost</t>
  </si>
  <si>
    <t>Employee Contributions</t>
  </si>
  <si>
    <t>Total NC + PFAD</t>
  </si>
  <si>
    <t>PfAD on Non-Indexed NC</t>
  </si>
  <si>
    <t>Total Normal Cost</t>
  </si>
  <si>
    <t>Non-URA/NRA ages</t>
  </si>
  <si>
    <t>Excess over 105% of solvency</t>
  </si>
  <si>
    <t>Form of Pension:</t>
  </si>
  <si>
    <t>Age at Retirement:</t>
  </si>
  <si>
    <t>January 1, 2023 Annual Pension:</t>
  </si>
  <si>
    <t>Years of Service:</t>
  </si>
  <si>
    <t>Member Status</t>
  </si>
  <si>
    <t>You are given the following information as at January 1, 2023</t>
  </si>
  <si>
    <t>As at January 1, 2023</t>
  </si>
  <si>
    <t xml:space="preserve"> (30 points) Your client sponsors a single employer contributory defined benefit pension plan registered in Ontario.</t>
  </si>
  <si>
    <r>
      <t xml:space="preserve">Illustrative Solution - </t>
    </r>
    <r>
      <rPr>
        <sz val="11"/>
        <color rgb="FF0000FF"/>
        <rFont val="Aptos Narrow"/>
        <family val="2"/>
        <scheme val="minor"/>
      </rPr>
      <t>(please refer to "Liability Calculation" spreadsheet for more details)</t>
    </r>
  </si>
  <si>
    <t>AL</t>
  </si>
  <si>
    <t>Wind-up/Solvency Actuarial Liability</t>
  </si>
  <si>
    <t>Going Concern Actuarial Liability</t>
  </si>
  <si>
    <t>Annual Pension Amount</t>
  </si>
  <si>
    <t>Member died and has no guarantee period left</t>
  </si>
  <si>
    <t>Expected - prior val roll forward</t>
  </si>
  <si>
    <t>Expected</t>
  </si>
  <si>
    <t>Actual</t>
  </si>
  <si>
    <t>Inflation</t>
  </si>
  <si>
    <t>Jan 1, 2024 Valuation</t>
  </si>
  <si>
    <t>Jan 1, 2023 Valuation</t>
  </si>
  <si>
    <t>Member D - Pensioner</t>
  </si>
  <si>
    <t>Member C - Pensioner</t>
  </si>
  <si>
    <t>Optimal</t>
  </si>
  <si>
    <t>Pension</t>
  </si>
  <si>
    <t>Elig. Service (Grow-in)</t>
  </si>
  <si>
    <t>Credited Service</t>
  </si>
  <si>
    <t>FAE</t>
  </si>
  <si>
    <t>Decrement Age</t>
  </si>
  <si>
    <t>Retirement</t>
  </si>
  <si>
    <t>NC</t>
  </si>
  <si>
    <t>Probability of Decrement</t>
  </si>
  <si>
    <t>Discounting Factor</t>
  </si>
  <si>
    <t>Projected Pension</t>
  </si>
  <si>
    <t>Years to Decrement</t>
  </si>
  <si>
    <t>Type of Decrement</t>
  </si>
  <si>
    <t>Salary Projection</t>
  </si>
  <si>
    <t>January 1, 2024 Valuation</t>
  </si>
  <si>
    <t>January 1, 2023 Valuation</t>
  </si>
  <si>
    <t>Member B - Active</t>
  </si>
  <si>
    <t>Salary increase in 2023</t>
  </si>
  <si>
    <t>Non- Indexed</t>
  </si>
  <si>
    <t>Member A - Active</t>
  </si>
  <si>
    <t>(ii)    Involuntarily</t>
  </si>
  <si>
    <t>(i)    Voluntarily; and</t>
  </si>
  <si>
    <t xml:space="preserve">(6 points) </t>
  </si>
  <si>
    <t>(c)  </t>
  </si>
  <si>
    <t xml:space="preserve"> Standards of Practice as at the date of termination.</t>
  </si>
  <si>
    <t>Calculate the implied inflation rates under Section 3500 of the Canadian Institute of Actuaries'</t>
  </si>
  <si>
    <t xml:space="preserve">(1 points) </t>
  </si>
  <si>
    <t xml:space="preserve">Actuaries' Standards of Practice as at the date of termination. </t>
  </si>
  <si>
    <t xml:space="preserve">Calculate the non-indexed commuted value interest rates under Section 3500 of the Canadian Institute of </t>
  </si>
  <si>
    <t xml:space="preserve">(4 points) </t>
  </si>
  <si>
    <t xml:space="preserve">(a)    </t>
  </si>
  <si>
    <r>
      <rPr>
        <vertAlign val="subscript"/>
        <sz val="12"/>
        <color rgb="FF002060"/>
        <rFont val="Times New Roman"/>
        <family val="1"/>
      </rPr>
      <t>30|</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</si>
  <si>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15|</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</si>
  <si>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29|</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</si>
  <si>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14|</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</si>
  <si>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28|</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</si>
  <si>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13|</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</si>
  <si>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27|</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</si>
  <si>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12|</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</si>
  <si>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26|</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</si>
  <si>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11|</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</si>
  <si>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25|</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</si>
  <si>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10|</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</si>
  <si>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24|</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</si>
  <si>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9|</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</si>
  <si>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23|</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</si>
  <si>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8|</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</si>
  <si>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22|</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</si>
  <si>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7|</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</si>
  <si>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21|</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</si>
  <si>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6|</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</si>
  <si>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20|</t>
    </r>
    <r>
      <rPr>
        <sz val="12"/>
        <color rgb="FF002060"/>
        <rFont val="Times New Roman"/>
        <family val="1"/>
      </rPr>
      <t>ä</t>
    </r>
    <r>
      <rPr>
        <vertAlign val="subscript"/>
        <sz val="12"/>
        <color rgb="FF002060"/>
        <rFont val="Times New Roman"/>
        <family val="1"/>
      </rPr>
      <t xml:space="preserve"> 35</t>
    </r>
    <r>
      <rPr>
        <vertAlign val="superscript"/>
        <sz val="12"/>
        <color rgb="FF002060"/>
        <rFont val="Times New Roman"/>
        <family val="1"/>
      </rPr>
      <t>(12)</t>
    </r>
    <r>
      <rPr>
        <sz val="12"/>
        <color rgb="FF002060"/>
        <rFont val="Times New Roman"/>
        <family val="1"/>
      </rPr>
      <t xml:space="preserve"> =</t>
    </r>
  </si>
  <si>
    <r>
      <rPr>
        <vertAlign val="subscript"/>
        <sz val="12"/>
        <color rgb="FF002060"/>
        <rFont val="Times New Roman"/>
        <family val="1"/>
      </rPr>
      <t>5|</t>
    </r>
    <r>
      <rPr>
        <sz val="12"/>
        <color rgb="FF002060"/>
        <rFont val="Times New Roman"/>
        <family val="1"/>
      </rPr>
      <t>ä</t>
    </r>
    <r>
      <rPr>
        <vertAlign val="subscript"/>
        <sz val="12"/>
        <color rgb="FF002060"/>
        <rFont val="Times New Roman"/>
        <family val="1"/>
      </rPr>
      <t xml:space="preserve"> 50</t>
    </r>
    <r>
      <rPr>
        <vertAlign val="superscript"/>
        <sz val="12"/>
        <color rgb="FF002060"/>
        <rFont val="Times New Roman"/>
        <family val="1"/>
      </rPr>
      <t>(12)</t>
    </r>
    <r>
      <rPr>
        <sz val="12"/>
        <color rgb="FF002060"/>
        <rFont val="Times New Roman"/>
        <family val="1"/>
      </rPr>
      <t xml:space="preserve"> =</t>
    </r>
  </si>
  <si>
    <t>You are given the following factors:</t>
  </si>
  <si>
    <t>(real)</t>
  </si>
  <si>
    <t xml:space="preserve">(long) </t>
  </si>
  <si>
    <t>V122553</t>
  </si>
  <si>
    <t>V122544</t>
  </si>
  <si>
    <t>ITA maximum pension test:</t>
  </si>
  <si>
    <t>2% per year, pre-retirement and post-retirement</t>
  </si>
  <si>
    <t xml:space="preserve">Portability: </t>
  </si>
  <si>
    <t>Deferred pension starting at NRA, reduced by 4% per year from age 65</t>
  </si>
  <si>
    <t xml:space="preserve">Termination benefit: </t>
  </si>
  <si>
    <t>Bridge pension: $500 annual pension multiplied by years of pensionable service payable on or after age 62 to the earlier of age 65 or death.</t>
  </si>
  <si>
    <t>Unreduced at age 62, otherwise 3% reduction per year from age 62.</t>
  </si>
  <si>
    <t xml:space="preserve">Early retirement benefit: </t>
  </si>
  <si>
    <t xml:space="preserve">Eligibility for early retirement: </t>
  </si>
  <si>
    <t>by pensionable service</t>
  </si>
  <si>
    <t xml:space="preserve">2% of the average of the best 5 years of salary multiplied </t>
  </si>
  <si>
    <t xml:space="preserve">Normal retirement benefit: </t>
  </si>
  <si>
    <t xml:space="preserve">Normal retirement age (NRA): </t>
  </si>
  <si>
    <t>Plan Provisions:</t>
  </si>
  <si>
    <t>YMPE</t>
  </si>
  <si>
    <t xml:space="preserve">Contribution with interest at date of termination: </t>
  </si>
  <si>
    <t xml:space="preserve">Eligibility service (years): </t>
  </si>
  <si>
    <t xml:space="preserve">Date of termination: </t>
  </si>
  <si>
    <t>a single-employer defined benefit pension plan registered in Ontario:</t>
  </si>
  <si>
    <t xml:space="preserve">You are given the following information for two members who have terminated from </t>
  </si>
  <si>
    <t xml:space="preserve">(11 points) </t>
  </si>
  <si>
    <t>Question 4</t>
  </si>
  <si>
    <t>Total CV:</t>
  </si>
  <si>
    <t>50% Rule Refund:</t>
  </si>
  <si>
    <t>50% of CV:</t>
  </si>
  <si>
    <t>CV:</t>
  </si>
  <si>
    <t>EURD:</t>
  </si>
  <si>
    <t>Best Age:</t>
  </si>
  <si>
    <t>Bridge Plan Benefit</t>
  </si>
  <si>
    <t>Lifetime Benefit</t>
  </si>
  <si>
    <t>Lifetime Plan Benefit (reduced)</t>
  </si>
  <si>
    <t>Plan Reduction</t>
  </si>
  <si>
    <t>Bridge Benefit</t>
  </si>
  <si>
    <t>Bridge Maximum Pension</t>
  </si>
  <si>
    <t>Lifetime Maximum Pension</t>
  </si>
  <si>
    <t>ITA Reduction</t>
  </si>
  <si>
    <t>Years to 80 points</t>
  </si>
  <si>
    <t>Years to Age 60</t>
  </si>
  <si>
    <t>Years to 30 years of Cont Svc</t>
  </si>
  <si>
    <t>Bridge Factor</t>
  </si>
  <si>
    <t>Lifetime Factor</t>
  </si>
  <si>
    <t>Combined Maximum Pension</t>
  </si>
  <si>
    <t>Maximum Bridge Pension (for formula)</t>
  </si>
  <si>
    <t>Maximum Pension</t>
  </si>
  <si>
    <t>Plan Bridge Benefit</t>
  </si>
  <si>
    <t>Plan Lifetime Benefit</t>
  </si>
  <si>
    <t>Age + Cont Service</t>
  </si>
  <si>
    <t>Continuous Service</t>
  </si>
  <si>
    <t>Involuntary (grow-in)</t>
  </si>
  <si>
    <t xml:space="preserve">ITA Maximum Pension </t>
  </si>
  <si>
    <t xml:space="preserve">BAE: </t>
  </si>
  <si>
    <t>Grow-In Eligible:</t>
  </si>
  <si>
    <t>DB Limit</t>
  </si>
  <si>
    <t>BEST5</t>
  </si>
  <si>
    <t>Maximum Lifetime Pension</t>
  </si>
  <si>
    <t>select and ultimate are the same rate</t>
  </si>
  <si>
    <t xml:space="preserve">Increase DB Limit at CPI + 1%: </t>
  </si>
  <si>
    <t xml:space="preserve">You are given: </t>
  </si>
  <si>
    <t xml:space="preserve">Pension escalation rates: </t>
  </si>
  <si>
    <t>Indexed Rates:</t>
  </si>
  <si>
    <t>Non-Indexed Rates:</t>
  </si>
  <si>
    <r>
      <t xml:space="preserve">Indexed </t>
    </r>
    <r>
      <rPr>
        <vertAlign val="subscript"/>
        <sz val="11"/>
        <color theme="1"/>
        <rFont val="Aptos Narrow"/>
        <family val="2"/>
        <scheme val="minor"/>
      </rPr>
      <t>10+</t>
    </r>
  </si>
  <si>
    <r>
      <t xml:space="preserve">Indexed </t>
    </r>
    <r>
      <rPr>
        <vertAlign val="subscript"/>
        <sz val="11"/>
        <color theme="1"/>
        <rFont val="Aptos Narrow"/>
        <family val="2"/>
        <scheme val="minor"/>
      </rPr>
      <t>1-10</t>
    </r>
  </si>
  <si>
    <r>
      <t>C</t>
    </r>
    <r>
      <rPr>
        <b/>
        <vertAlign val="subscript"/>
        <sz val="11"/>
        <color theme="1"/>
        <rFont val="Aptos Narrow"/>
        <family val="2"/>
        <scheme val="minor"/>
      </rPr>
      <t>10+</t>
    </r>
  </si>
  <si>
    <r>
      <t>C</t>
    </r>
    <r>
      <rPr>
        <b/>
        <vertAlign val="subscript"/>
        <sz val="11"/>
        <color theme="1"/>
        <rFont val="Aptos Narrow"/>
        <family val="2"/>
        <scheme val="minor"/>
      </rPr>
      <t>1-10</t>
    </r>
  </si>
  <si>
    <t>r 7</t>
  </si>
  <si>
    <t>r L</t>
  </si>
  <si>
    <r>
      <t xml:space="preserve">Non-Indexed </t>
    </r>
    <r>
      <rPr>
        <b/>
        <vertAlign val="subscript"/>
        <sz val="11"/>
        <color theme="1"/>
        <rFont val="Aptos Narrow"/>
        <family val="2"/>
        <scheme val="minor"/>
      </rPr>
      <t>10+</t>
    </r>
  </si>
  <si>
    <r>
      <t xml:space="preserve">Non-Indexed </t>
    </r>
    <r>
      <rPr>
        <b/>
        <vertAlign val="subscript"/>
        <sz val="11"/>
        <color theme="1"/>
        <rFont val="Aptos Narrow"/>
        <family val="2"/>
        <scheme val="minor"/>
      </rPr>
      <t>1-10</t>
    </r>
  </si>
  <si>
    <r>
      <t xml:space="preserve">S </t>
    </r>
    <r>
      <rPr>
        <vertAlign val="subscript"/>
        <sz val="11"/>
        <color theme="1"/>
        <rFont val="Aptos Narrow"/>
        <family val="2"/>
        <scheme val="minor"/>
      </rPr>
      <t>10+ (Last Wed)</t>
    </r>
  </si>
  <si>
    <r>
      <t xml:space="preserve">S </t>
    </r>
    <r>
      <rPr>
        <vertAlign val="subscript"/>
        <sz val="11"/>
        <color theme="1"/>
        <rFont val="Aptos Narrow"/>
        <family val="2"/>
        <scheme val="minor"/>
      </rPr>
      <t>1-10 (Last Wed)</t>
    </r>
  </si>
  <si>
    <r>
      <t xml:space="preserve">CS </t>
    </r>
    <r>
      <rPr>
        <vertAlign val="subscript"/>
        <sz val="11"/>
        <color theme="1"/>
        <rFont val="Aptos Narrow"/>
        <family val="2"/>
        <scheme val="minor"/>
      </rPr>
      <t>10+ (Last Wed)</t>
    </r>
  </si>
  <si>
    <r>
      <t xml:space="preserve">PS </t>
    </r>
    <r>
      <rPr>
        <vertAlign val="subscript"/>
        <sz val="11"/>
        <color theme="1"/>
        <rFont val="Aptos Narrow"/>
        <family val="2"/>
        <scheme val="minor"/>
      </rPr>
      <t>10+ (Last Wed)</t>
    </r>
  </si>
  <si>
    <r>
      <t xml:space="preserve">CS </t>
    </r>
    <r>
      <rPr>
        <vertAlign val="subscript"/>
        <sz val="11"/>
        <color theme="1"/>
        <rFont val="Aptos Narrow"/>
        <family val="2"/>
        <scheme val="minor"/>
      </rPr>
      <t>1-10 (Last Wed)</t>
    </r>
  </si>
  <si>
    <r>
      <t xml:space="preserve">PS </t>
    </r>
    <r>
      <rPr>
        <vertAlign val="subscript"/>
        <sz val="11"/>
        <color theme="1"/>
        <rFont val="Aptos Narrow"/>
        <family val="2"/>
        <scheme val="minor"/>
      </rPr>
      <t>1-10 (Last Wed)</t>
    </r>
  </si>
  <si>
    <r>
      <t xml:space="preserve">i </t>
    </r>
    <r>
      <rPr>
        <vertAlign val="subscript"/>
        <sz val="11"/>
        <color theme="1"/>
        <rFont val="Aptos Narrow"/>
        <family val="2"/>
        <scheme val="minor"/>
      </rPr>
      <t>L</t>
    </r>
  </si>
  <si>
    <r>
      <t xml:space="preserve">i </t>
    </r>
    <r>
      <rPr>
        <vertAlign val="subscript"/>
        <sz val="11"/>
        <color theme="1"/>
        <rFont val="Aptos Narrow"/>
        <family val="2"/>
        <scheme val="minor"/>
      </rPr>
      <t>7</t>
    </r>
  </si>
  <si>
    <t>Rates for January 2024 termination should use December 2023 rates to reflect the one month lag. Published rates need to be annualized.</t>
  </si>
  <si>
    <t>Maximum permissible employer contributions for 2025</t>
  </si>
  <si>
    <t>Minimum required employer contributions for 2025</t>
  </si>
  <si>
    <t>Available Actuarial Surplus at December 31, 2024</t>
  </si>
  <si>
    <t>Calculate the minimum required and maximum permissible employer contributions for 2025 assuming you are not filing a complete actuarial valuaion as at December 31, 2024.</t>
  </si>
  <si>
    <t>Transfer ratio</t>
  </si>
  <si>
    <t>Estimated Hypothetical wind-up excess (shortfall)</t>
  </si>
  <si>
    <t>Estimated Hypothetical Wind Up Liabilities</t>
  </si>
  <si>
    <t>Hypothetical Wind Up Assets</t>
  </si>
  <si>
    <t>Estimated Funding excess (shortfall)</t>
  </si>
  <si>
    <t>Esimated Going Concern Liabilities</t>
  </si>
  <si>
    <t>Actuarial Value of Assets</t>
  </si>
  <si>
    <t>Going concern normal cost</t>
  </si>
  <si>
    <t>Calculate the extrapolated  going concern and hypothetical wind up funded positions as at December 31, 2024.</t>
  </si>
  <si>
    <t>No change from the prior valuation</t>
  </si>
  <si>
    <t>Assumptions</t>
  </si>
  <si>
    <t>Hypothetical wind-up incremental cost</t>
  </si>
  <si>
    <t>Assumption and Liability Information:</t>
  </si>
  <si>
    <t>Pensions paid during 2024</t>
  </si>
  <si>
    <t>December 31, 2024 market value</t>
  </si>
  <si>
    <t>Asses information:</t>
  </si>
  <si>
    <t>You are given the following information as at December 31, 2024:</t>
  </si>
  <si>
    <t>Describe the regulatory requirements and process for determining the minimum required and maximum permissible funding requirements in 2025</t>
  </si>
  <si>
    <t>Maximum permissible employer contributions for 2024</t>
  </si>
  <si>
    <t>Minimum required employer contributions</t>
  </si>
  <si>
    <t>Available actuarial surplus</t>
  </si>
  <si>
    <t xml:space="preserve">Calculate the available actuarial surplus and minimum required and maximum permissible employer contributions for 2024. </t>
  </si>
  <si>
    <t>Transfer Ratio</t>
  </si>
  <si>
    <t xml:space="preserve">    Pensioners</t>
  </si>
  <si>
    <t xml:space="preserve">    Deferred </t>
  </si>
  <si>
    <t xml:space="preserve">    Actives</t>
  </si>
  <si>
    <t>Hypothetical Wind Up Liabilities</t>
  </si>
  <si>
    <t>Solvency Ratio</t>
  </si>
  <si>
    <t>Solvency Liabilities</t>
  </si>
  <si>
    <t>Going Concern Liabilities</t>
  </si>
  <si>
    <t>Calculate the funded status of the plan on going concern, solvency and hypothetical wind up bases.</t>
  </si>
  <si>
    <r>
      <rPr>
        <sz val="12"/>
        <color rgb="FF002060"/>
        <rFont val="Times New Roman"/>
        <family val="1"/>
      </rPr>
      <t xml:space="preserve">ä </t>
    </r>
    <r>
      <rPr>
        <vertAlign val="subscript"/>
        <sz val="12"/>
        <color rgb="FF002060"/>
        <rFont val="Times New Roman"/>
        <family val="1"/>
      </rPr>
      <t xml:space="preserve">75 73 </t>
    </r>
    <r>
      <rPr>
        <vertAlign val="superscript"/>
        <sz val="12"/>
        <color rgb="FF002060"/>
        <rFont val="Times New Roman"/>
        <family val="1"/>
      </rPr>
      <t>(12)</t>
    </r>
    <r>
      <rPr>
        <vertAlign val="subscript"/>
        <sz val="12"/>
        <color rgb="FF002060"/>
        <rFont val="Times New Roman"/>
        <family val="1"/>
      </rPr>
      <t xml:space="preserve"> (J&amp;S 60%)</t>
    </r>
  </si>
  <si>
    <t>5|ä 60(12)</t>
  </si>
  <si>
    <t>4|ä 60(12)</t>
  </si>
  <si>
    <t>3|ä 60(12)</t>
  </si>
  <si>
    <t>2|ä 60(12)</t>
  </si>
  <si>
    <t>1|ä 60(12)</t>
  </si>
  <si>
    <r>
      <rPr>
        <sz val="12"/>
        <color rgb="FF002060"/>
        <rFont val="Times New Roman"/>
        <family val="1"/>
      </rPr>
      <t xml:space="preserve">ä </t>
    </r>
    <r>
      <rPr>
        <vertAlign val="subscript"/>
        <sz val="12"/>
        <color rgb="FF002060"/>
        <rFont val="Times New Roman"/>
        <family val="1"/>
      </rPr>
      <t xml:space="preserve">60 </t>
    </r>
    <r>
      <rPr>
        <vertAlign val="superscript"/>
        <sz val="12"/>
        <color rgb="FF002060"/>
        <rFont val="Times New Roman"/>
        <family val="1"/>
      </rPr>
      <t>(12)</t>
    </r>
  </si>
  <si>
    <t>4|ä 61(12)</t>
  </si>
  <si>
    <t>22|ä 43(12)</t>
  </si>
  <si>
    <t>21|ä 43(12)</t>
  </si>
  <si>
    <t>20|ä 43(12)</t>
  </si>
  <si>
    <t>19|ä 43(12)</t>
  </si>
  <si>
    <t>18|ä 43(12)</t>
  </si>
  <si>
    <t>17|ä 43(12)</t>
  </si>
  <si>
    <t>16|ä 43(12)</t>
  </si>
  <si>
    <t>15|ä 43(12)</t>
  </si>
  <si>
    <t>14|ä 43(12)</t>
  </si>
  <si>
    <t>13|ä 43(12)</t>
  </si>
  <si>
    <t>12|ä 43(12)</t>
  </si>
  <si>
    <t>Annuity purchase rates</t>
  </si>
  <si>
    <t>Lump sum rates</t>
  </si>
  <si>
    <t>Hypothetical Wind Up Annuity Factors:</t>
  </si>
  <si>
    <t>Solvency Annuity Factors:</t>
  </si>
  <si>
    <r>
      <rPr>
        <sz val="12"/>
        <color rgb="FF002060"/>
        <rFont val="Times New Roman"/>
        <family val="1"/>
      </rPr>
      <t xml:space="preserve">ä </t>
    </r>
    <r>
      <rPr>
        <vertAlign val="subscript"/>
        <sz val="12"/>
        <color rgb="FF002060"/>
        <rFont val="Times New Roman"/>
        <family val="1"/>
      </rPr>
      <t xml:space="preserve">75 </t>
    </r>
    <r>
      <rPr>
        <vertAlign val="superscript"/>
        <sz val="12"/>
        <color rgb="FF002060"/>
        <rFont val="Times New Roman"/>
        <family val="1"/>
      </rPr>
      <t>(12)</t>
    </r>
    <r>
      <rPr>
        <vertAlign val="subscript"/>
        <sz val="12"/>
        <color rgb="FF002060"/>
        <rFont val="Times New Roman"/>
        <family val="1"/>
      </rPr>
      <t xml:space="preserve"> (J&amp;S 60%)</t>
    </r>
  </si>
  <si>
    <r>
      <rPr>
        <sz val="12"/>
        <color rgb="FF002060"/>
        <rFont val="Times New Roman"/>
        <family val="1"/>
      </rPr>
      <t xml:space="preserve">ä </t>
    </r>
    <r>
      <rPr>
        <vertAlign val="subscript"/>
        <sz val="12"/>
        <color rgb="FF002060"/>
        <rFont val="Times New Roman"/>
        <family val="1"/>
      </rPr>
      <t xml:space="preserve">65 </t>
    </r>
    <r>
      <rPr>
        <vertAlign val="superscript"/>
        <sz val="12"/>
        <color rgb="FF002060"/>
        <rFont val="Times New Roman"/>
        <family val="1"/>
      </rPr>
      <t>(12)</t>
    </r>
  </si>
  <si>
    <r>
      <rPr>
        <sz val="12"/>
        <color rgb="FF002060"/>
        <rFont val="Times New Roman"/>
        <family val="1"/>
      </rPr>
      <t xml:space="preserve">ä </t>
    </r>
    <r>
      <rPr>
        <vertAlign val="subscript"/>
        <sz val="12"/>
        <color rgb="FF002060"/>
        <rFont val="Times New Roman"/>
        <family val="1"/>
      </rPr>
      <t xml:space="preserve">64 </t>
    </r>
    <r>
      <rPr>
        <vertAlign val="superscript"/>
        <sz val="12"/>
        <color rgb="FF002060"/>
        <rFont val="Times New Roman"/>
        <family val="1"/>
      </rPr>
      <t>(12)</t>
    </r>
  </si>
  <si>
    <r>
      <rPr>
        <sz val="12"/>
        <color rgb="FF002060"/>
        <rFont val="Times New Roman"/>
        <family val="1"/>
      </rPr>
      <t xml:space="preserve">ä </t>
    </r>
    <r>
      <rPr>
        <vertAlign val="subscript"/>
        <sz val="12"/>
        <color rgb="FF002060"/>
        <rFont val="Times New Roman"/>
        <family val="1"/>
      </rPr>
      <t xml:space="preserve">63 </t>
    </r>
    <r>
      <rPr>
        <vertAlign val="superscript"/>
        <sz val="12"/>
        <color rgb="FF002060"/>
        <rFont val="Times New Roman"/>
        <family val="1"/>
      </rPr>
      <t>(12)</t>
    </r>
  </si>
  <si>
    <r>
      <rPr>
        <sz val="12"/>
        <color rgb="FF002060"/>
        <rFont val="Times New Roman"/>
        <family val="1"/>
      </rPr>
      <t xml:space="preserve">ä </t>
    </r>
    <r>
      <rPr>
        <vertAlign val="subscript"/>
        <sz val="12"/>
        <color rgb="FF002060"/>
        <rFont val="Times New Roman"/>
        <family val="1"/>
      </rPr>
      <t xml:space="preserve">62 </t>
    </r>
    <r>
      <rPr>
        <vertAlign val="superscript"/>
        <sz val="12"/>
        <color rgb="FF002060"/>
        <rFont val="Times New Roman"/>
        <family val="1"/>
      </rPr>
      <t>(12)</t>
    </r>
  </si>
  <si>
    <r>
      <rPr>
        <sz val="12"/>
        <color rgb="FF002060"/>
        <rFont val="Times New Roman"/>
        <family val="1"/>
      </rPr>
      <t xml:space="preserve">ä </t>
    </r>
    <r>
      <rPr>
        <vertAlign val="subscript"/>
        <sz val="12"/>
        <color rgb="FF002060"/>
        <rFont val="Times New Roman"/>
        <family val="1"/>
      </rPr>
      <t xml:space="preserve">61 </t>
    </r>
    <r>
      <rPr>
        <vertAlign val="superscript"/>
        <sz val="12"/>
        <color rgb="FF002060"/>
        <rFont val="Times New Roman"/>
        <family val="1"/>
      </rPr>
      <t>(12)</t>
    </r>
  </si>
  <si>
    <t>Non indexed</t>
  </si>
  <si>
    <t>Going Concern Annuity Factors:</t>
  </si>
  <si>
    <t>Annuity Factors (All annuity factors are for Life guaranteed 5 years except where noted)</t>
  </si>
  <si>
    <t>Market value of assets at December 31, 2023</t>
  </si>
  <si>
    <t>Form of pension</t>
  </si>
  <si>
    <t>January 1, 2024 annual pension</t>
  </si>
  <si>
    <t>Retirement date</t>
  </si>
  <si>
    <t>Spouse's age</t>
  </si>
  <si>
    <t>Pensioner</t>
  </si>
  <si>
    <t>Annual deferred pension</t>
  </si>
  <si>
    <t>Service at termination</t>
  </si>
  <si>
    <t>Age at termination</t>
  </si>
  <si>
    <t>Termination type</t>
  </si>
  <si>
    <t>Deferred member</t>
  </si>
  <si>
    <t>Earnings for 2023</t>
  </si>
  <si>
    <t>Earnings for 2022</t>
  </si>
  <si>
    <t>Earnings for 2021</t>
  </si>
  <si>
    <t>Termination expenses</t>
  </si>
  <si>
    <t>1.40%</t>
  </si>
  <si>
    <t>100% indexed rates</t>
  </si>
  <si>
    <t>4.60%</t>
  </si>
  <si>
    <t>Non indexed rates</t>
  </si>
  <si>
    <t>2.70% for 10 years, 2.80% thereafter</t>
  </si>
  <si>
    <t>4.50% for 10 years, 4.50% thereafter</t>
  </si>
  <si>
    <t>100% elect annuity purchase</t>
  </si>
  <si>
    <t>Active and deferred members</t>
  </si>
  <si>
    <t>Form of benefit settlement elected by members</t>
  </si>
  <si>
    <t>Exclusions from solvency liabilities</t>
  </si>
  <si>
    <t>Solvency and Hypothetical Wind Up Assumptions:</t>
  </si>
  <si>
    <t>Benchmark discount rate (BDR)</t>
  </si>
  <si>
    <t>Asset allocation component (non-fixed income percentage is 55%)</t>
  </si>
  <si>
    <t>Plan type (closed)</t>
  </si>
  <si>
    <t>Information for calculation of the Provision for Adverse Deviation:</t>
  </si>
  <si>
    <t>Assume 100% of terminations and retirements are involuntary</t>
  </si>
  <si>
    <t>Termination assumption (from active status)</t>
  </si>
  <si>
    <t>Form of benefit elected</t>
  </si>
  <si>
    <t>45 and over</t>
  </si>
  <si>
    <t>Under age 45</t>
  </si>
  <si>
    <t>Termination rates</t>
  </si>
  <si>
    <t>Retirement age (deferred)</t>
  </si>
  <si>
    <t>Retirement age (actives)</t>
  </si>
  <si>
    <t>Pre-retirement mortality</t>
  </si>
  <si>
    <t>Explicit expense allowance for administrative expenses</t>
  </si>
  <si>
    <t>Going Concern Assumptions</t>
  </si>
  <si>
    <t>Actuarial Assumptions and Methods</t>
  </si>
  <si>
    <t>The following information is as at December 31, 2023:</t>
  </si>
  <si>
    <t>Pensions in payment are increased annually at 100% of inflation</t>
  </si>
  <si>
    <t>Post-retirement cost of living adjustment</t>
  </si>
  <si>
    <t>Pre-retirement cost of living adjustment</t>
  </si>
  <si>
    <t xml:space="preserve">Life guaranteed for 5 years. </t>
  </si>
  <si>
    <t>Form of payment</t>
  </si>
  <si>
    <t>Early commencement from age 55 on an actuarially equivalent basis</t>
  </si>
  <si>
    <t>Deferred pension starting at age 65</t>
  </si>
  <si>
    <t>Termination benefits</t>
  </si>
  <si>
    <r>
      <rPr>
        <u/>
        <sz val="12"/>
        <color rgb="FF002060"/>
        <rFont val="Times New Roman"/>
        <family val="1"/>
      </rPr>
      <t>Less than 20 years of service</t>
    </r>
    <r>
      <rPr>
        <i/>
        <u/>
        <sz val="12"/>
        <color rgb="FF002060"/>
        <rFont val="Times New Roman"/>
        <family val="1"/>
      </rPr>
      <t>:</t>
    </r>
    <r>
      <rPr>
        <sz val="12"/>
        <color rgb="FF002060"/>
        <rFont val="Times New Roman"/>
        <family val="1"/>
      </rPr>
      <t xml:space="preserve"> actuarial equivalent to NRA</t>
    </r>
  </si>
  <si>
    <r>
      <rPr>
        <u/>
        <sz val="12"/>
        <color rgb="FF002060"/>
        <rFont val="Times New Roman"/>
        <family val="1"/>
      </rPr>
      <t>20 or more years of service:</t>
    </r>
    <r>
      <rPr>
        <sz val="12"/>
        <color rgb="FF002060"/>
        <rFont val="Times New Roman"/>
        <family val="1"/>
      </rPr>
      <t xml:space="preserve"> benefit reduced by 5.0% per year from age 60</t>
    </r>
  </si>
  <si>
    <t>Age 62 with 20 or more years of service</t>
  </si>
  <si>
    <t>Unreduced early retirement age (UERA)</t>
  </si>
  <si>
    <t>Normal retirement age (NRA)</t>
  </si>
  <si>
    <t>6.5% of previous year earnings, contributed at the beginning of the year.
Assume employee contribution balances would not generate any excess contributons.</t>
  </si>
  <si>
    <t>Member contribution requirements</t>
  </si>
  <si>
    <t>1.75% of final 3-year average earnings</t>
  </si>
  <si>
    <t>Retirement benefit</t>
  </si>
  <si>
    <t>Your client sponsors a contributory defined benefit pension plan with Ontario members only.</t>
  </si>
  <si>
    <t>(22 points)</t>
  </si>
  <si>
    <t>RETFRC Fall 2024</t>
  </si>
  <si>
    <t>Funding Excess (shortfall)</t>
  </si>
  <si>
    <t>Total AL</t>
  </si>
  <si>
    <t>AL (rollforward) = (AL + NC)*(1+DR) - PBEN *(1+DR/2)</t>
  </si>
  <si>
    <t>Solv (non-ind)</t>
  </si>
  <si>
    <t>WU (indexed)</t>
  </si>
  <si>
    <t>non-indexed</t>
  </si>
  <si>
    <t>indexed</t>
  </si>
  <si>
    <t>WU/Solv AL</t>
  </si>
  <si>
    <t>Going Concern AL</t>
  </si>
  <si>
    <t>Dec 31 2024</t>
  </si>
  <si>
    <t>calculated using non-indexed rates</t>
  </si>
  <si>
    <t>WU DR</t>
  </si>
  <si>
    <t>DR</t>
  </si>
  <si>
    <t>Hypothetical WU incremental cost</t>
  </si>
  <si>
    <t>Part (d)</t>
  </si>
  <si>
    <t>Maximum Permissible contributions</t>
  </si>
  <si>
    <t>Going concern ratio &gt; 125%?</t>
  </si>
  <si>
    <t>Going concern funded ratio</t>
  </si>
  <si>
    <t>Remaining available surplus</t>
  </si>
  <si>
    <t>Use of surplus</t>
  </si>
  <si>
    <t>ER contribution</t>
  </si>
  <si>
    <t>EE contribution (6.5%)</t>
  </si>
  <si>
    <t>Total CSC (with expenses)</t>
  </si>
  <si>
    <t>PfAD (expenses)</t>
  </si>
  <si>
    <t>Explicit expenses</t>
  </si>
  <si>
    <t>CSC Pfad</t>
  </si>
  <si>
    <t>CSC Contributions</t>
  </si>
  <si>
    <t>Normal cost</t>
  </si>
  <si>
    <t>Available actuarial surplus = lesser of the above</t>
  </si>
  <si>
    <t>Assets in excess of 105% wind up liabilities</t>
  </si>
  <si>
    <t>Actuarial Excess (GC)</t>
  </si>
  <si>
    <t xml:space="preserve">Part (b) and (e) </t>
  </si>
  <si>
    <t>Component</t>
  </si>
  <si>
    <t>Best age = EURD (since only eligible to deferred to 65)</t>
  </si>
  <si>
    <t>CV non-indexed</t>
  </si>
  <si>
    <t>CV indexed</t>
  </si>
  <si>
    <t>Annuity non-indexed</t>
  </si>
  <si>
    <t xml:space="preserve">Annuity indexed </t>
  </si>
  <si>
    <t>Accrued Benefit</t>
  </si>
  <si>
    <t>Member has less than 20 years of service, only eligible for early retirement deferred to 65 benefit or pension benefit will be reduced based on actuarial equivalent factor and hence, CV will be the same at all ages.</t>
  </si>
  <si>
    <t>Member ID 2</t>
  </si>
  <si>
    <t>Max</t>
  </si>
  <si>
    <t>AL Non-Index</t>
  </si>
  <si>
    <t>AL Index</t>
  </si>
  <si>
    <t>Reduced PBEN</t>
  </si>
  <si>
    <t>ERF</t>
  </si>
  <si>
    <t>Member Age</t>
  </si>
  <si>
    <t>Non-index LS</t>
  </si>
  <si>
    <t>Index LS</t>
  </si>
  <si>
    <t>20 years of service at:</t>
  </si>
  <si>
    <t>Grow-in - Yes</t>
  </si>
  <si>
    <t>&lt;- used age 60 based on reduction formula. For candidates using age 62 based on plan provision, marks will not be deducted as a result.</t>
  </si>
  <si>
    <t>Earliest Unred (Age 60)</t>
  </si>
  <si>
    <t>Optimal Value</t>
  </si>
  <si>
    <t>Member ID 1</t>
  </si>
  <si>
    <t>Solv</t>
  </si>
  <si>
    <t>WU</t>
  </si>
  <si>
    <t>Solvency/ hypothetical wind-up liabilities</t>
  </si>
  <si>
    <t>AL non-indexed</t>
  </si>
  <si>
    <t>AL Indexed</t>
  </si>
  <si>
    <t>Annuity indexed</t>
  </si>
  <si>
    <t>AL indexed</t>
  </si>
  <si>
    <t>Benefit</t>
  </si>
  <si>
    <t>Solvency/ Hypothetical Wind-up Liabilities</t>
  </si>
  <si>
    <t>Going concern liabilities</t>
  </si>
  <si>
    <t>Member ID4</t>
  </si>
  <si>
    <t>Member ID3</t>
  </si>
  <si>
    <t>AE</t>
  </si>
  <si>
    <t>AL Non-Indexed</t>
  </si>
  <si>
    <t>PV Factor</t>
  </si>
  <si>
    <t>Annuity (non-indexed)</t>
  </si>
  <si>
    <t>Annuity (indexed)</t>
  </si>
  <si>
    <t>l_x</t>
  </si>
  <si>
    <t>q_r</t>
  </si>
  <si>
    <t>q_t</t>
  </si>
  <si>
    <t>1 - ERF</t>
  </si>
  <si>
    <t>Projected benefit</t>
  </si>
  <si>
    <t>FAE3</t>
  </si>
  <si>
    <t>Time</t>
  </si>
  <si>
    <t>Going Concern</t>
  </si>
  <si>
    <t>Member ID2</t>
  </si>
  <si>
    <t>ss</t>
  </si>
  <si>
    <t>Member ID1</t>
  </si>
  <si>
    <t>v</t>
  </si>
  <si>
    <t>Calculate the liabilities:</t>
  </si>
  <si>
    <t>Earnings 2024</t>
  </si>
  <si>
    <t>Earnings 2023</t>
  </si>
  <si>
    <t xml:space="preserve">Member </t>
  </si>
  <si>
    <t>Part (a)</t>
  </si>
  <si>
    <t>Provide your answer in the Word file.</t>
  </si>
  <si>
    <r>
      <t xml:space="preserve">(b)      </t>
    </r>
    <r>
      <rPr>
        <i/>
        <sz val="11"/>
        <color rgb="FF002060"/>
        <rFont val="Times New Roman"/>
        <family val="1"/>
      </rPr>
      <t>(4 points)</t>
    </r>
    <r>
      <rPr>
        <sz val="11"/>
        <color rgb="FF002060"/>
        <rFont val="Times New Roman"/>
        <family val="1"/>
      </rPr>
      <t xml:space="preserve"> Describe the regulatory wind-up process in Ontario..</t>
    </r>
  </si>
  <si>
    <r>
      <t xml:space="preserve">(a)      </t>
    </r>
    <r>
      <rPr>
        <i/>
        <sz val="11"/>
        <color rgb="FF002060"/>
        <rFont val="Times New Roman"/>
        <family val="1"/>
      </rPr>
      <t>(4 points)</t>
    </r>
    <r>
      <rPr>
        <sz val="11"/>
        <color rgb="FF002060"/>
        <rFont val="Times New Roman"/>
        <family val="1"/>
      </rPr>
      <t xml:space="preserve"> Calculate the wind-up funded status of the plan as at December 31, 2024 and contribution requirements for 2025.</t>
    </r>
  </si>
  <si>
    <t>x = 58</t>
  </si>
  <si>
    <t>x = 50</t>
  </si>
  <si>
    <t>Lump Sum rates:</t>
  </si>
  <si>
    <t>Annuity Purchase rates:</t>
  </si>
  <si>
    <t>3-year average YMPE as at December 31, 2024:</t>
  </si>
  <si>
    <t>Market value of assets as at December 31, 2024:</t>
  </si>
  <si>
    <t>Additiona Information:</t>
  </si>
  <si>
    <t>Ontario</t>
  </si>
  <si>
    <t>Province of employment</t>
  </si>
  <si>
    <t>Earnings for 2024</t>
  </si>
  <si>
    <t>Participant Data at January 1, 2024:</t>
  </si>
  <si>
    <t>Interest rate:</t>
  </si>
  <si>
    <t>4.00% for 10 years, 4.50% thereafter</t>
  </si>
  <si>
    <t>75% annuity purchase
25% lump sum election</t>
  </si>
  <si>
    <t>Active over 55:</t>
  </si>
  <si>
    <t>100% lump sum election</t>
  </si>
  <si>
    <t>Active under 55:</t>
  </si>
  <si>
    <t>Wind-up assumptions</t>
  </si>
  <si>
    <t>Pre and Post-retirement annual indexation</t>
  </si>
  <si>
    <t>Retirement prior to 10 years of service: actuarial reduction
With 10 or more years of service: 6% per year from age 60</t>
  </si>
  <si>
    <t>60 with 10 years of service</t>
  </si>
  <si>
    <t>Unreduced early retirement age</t>
  </si>
  <si>
    <t>Early retirement age</t>
  </si>
  <si>
    <t>Normal form of payment</t>
  </si>
  <si>
    <t>1% up to the 3-year average YMPE plus 1.5% of the 3-year final average earnings above the 3-year average YMPE, multiplied by years of credited service</t>
  </si>
  <si>
    <t xml:space="preserve">Company ABC sponsors a defined benefit pension plan registered in Ontario and has decided to wind up the plan effective December 31, 2024.  </t>
  </si>
  <si>
    <t>Question 5</t>
  </si>
  <si>
    <t xml:space="preserve"> </t>
  </si>
  <si>
    <t>Describe the regulatory wind-up process in Ontario.</t>
  </si>
  <si>
    <t>Solution is highlighted in yellow</t>
  </si>
  <si>
    <t>Calculate the wind-up funded status of the plan as at December 31, 2024 and contribution requirements for 2025.</t>
  </si>
  <si>
    <t>Service (years):</t>
  </si>
  <si>
    <t>Earnings for 2024:</t>
  </si>
  <si>
    <t>Earnings for 2023:</t>
  </si>
  <si>
    <t>Age (years):</t>
  </si>
  <si>
    <t>Participant data as at December 31, 2024:</t>
  </si>
  <si>
    <t>- Active over 55:</t>
  </si>
  <si>
    <t>- Active under 55:</t>
  </si>
  <si>
    <t>Wind-up assumptions:</t>
  </si>
  <si>
    <t>Pre and Post-retirement annual indexation:</t>
  </si>
  <si>
    <t>With 10 or more years of service: 6% per year from age 60</t>
  </si>
  <si>
    <t>Retirement prior to 10 years of service: actuarial reduction</t>
  </si>
  <si>
    <t xml:space="preserve"> (8 points)</t>
  </si>
  <si>
    <t>Administrator must provide written notice to FSRA and CRA within 30 days after final distribution of the assets and cancel plan registration</t>
  </si>
  <si>
    <t>Plan de-registration</t>
  </si>
  <si>
    <t>Administrator has 60 days to make surplus payment</t>
  </si>
  <si>
    <t>Payment of surplus</t>
  </si>
  <si>
    <t>If the employer applies for a surplus sharing agreement between employer and members, the employer must demonstrate entitlement to the surplus under the plan’s historical terms and secure the agreement of 2/3 of the affected parties (Consent from affected members from Quebec is not required)</t>
  </si>
  <si>
    <t>Within 60 days after receiving windup approval, the administrator must issue a surplus notice to all affected parties, detailing the surplus amount and available distribution options. Affected parties have 90 days to elect their preferred option.</t>
  </si>
  <si>
    <t>Surplus notice</t>
  </si>
  <si>
    <r>
      <t xml:space="preserve">The administrator must file the </t>
    </r>
    <r>
      <rPr>
        <b/>
        <u/>
        <sz val="10"/>
        <color rgb="FF7030A0"/>
        <rFont val="Arial1"/>
      </rPr>
      <t>final</t>
    </r>
    <r>
      <rPr>
        <sz val="10"/>
        <color rgb="FF7030A0"/>
        <rFont val="Arial1"/>
      </rPr>
      <t xml:space="preserve"> Annual Information Return (AIR), Pension Benefits Guarantee Fund Assessment Certificate (PBGF) and audited plan financial statements within 6 months after the windup date. </t>
    </r>
  </si>
  <si>
    <t>Final plan required government filings</t>
  </si>
  <si>
    <t>The administrator needs to deposit any required deficit contribution to the pension fund according to the windup report</t>
  </si>
  <si>
    <t>Plan funding</t>
  </si>
  <si>
    <t>The administrator must prepare the necessary data for the annuity purchase, send specifications to insurers, conduct due diligence on potential insurers and review sample contracts, assess the qualitative measures of the insurer and annuity purchase quotes, and transfer annuity purchase premiums to selected insurer</t>
  </si>
  <si>
    <t>Annuity purchase</t>
  </si>
  <si>
    <t xml:space="preserve">Upon receiving FSRA’s approval, the administrator has 60 days to distribute the benefits according to the elected option (either as lump sum payments or through annuity purchase) subject to any restriction imposed by the Superintendent </t>
  </si>
  <si>
    <t>Benefit distribution</t>
  </si>
  <si>
    <t xml:space="preserve">Members already receiving payments will be informed that an annuity will be purchased for them.  </t>
  </si>
  <si>
    <t xml:space="preserve">Active and deferred member can choose between a commuted value and annuity options and have 90 days to make their election, with the default option being a deferred annuity. </t>
  </si>
  <si>
    <t xml:space="preserve">The administrator is required to issue statement that outlining each individual’s benefits and the options available under the plan. </t>
  </si>
  <si>
    <t>Windup option statements</t>
  </si>
  <si>
    <t>Once the report compiles with regulations, FSRA will recommend that the Superintendent approve it</t>
  </si>
  <si>
    <t>FSRA reviews the wind up report and supporting documents submitted by the plan administrator. If the documentation is incomplete, FSRA will contact the administrator to request additional information.</t>
  </si>
  <si>
    <t xml:space="preserve">Approval from FSRA </t>
  </si>
  <si>
    <t>·       The Ontario windup checklist  (Superintendent’s checklist)</t>
  </si>
  <si>
    <t>·       A listing of benefit entitlements for all members affected by the windup</t>
  </si>
  <si>
    <t>·       The proposed treatment of surplus or deficit</t>
  </si>
  <si>
    <t>·       The method of allocating and distributing assets of the plan and surplus</t>
  </si>
  <si>
    <t xml:space="preserve">·       Details of the benefits to be provided, including any additional benefits under the windup </t>
  </si>
  <si>
    <t>·       Assets and liabilities as of the windup date</t>
  </si>
  <si>
    <t>·       The reason for the wind up and effective date</t>
  </si>
  <si>
    <t xml:space="preserve">Within 6 months of the windup date, the plan administrator must file a windup report, prepared by the plan actuary. This report must comply with the regulations under the Pension Benefits Act of Ontario and including the following details: </t>
  </si>
  <si>
    <t>Windup valuation report (Key document)</t>
  </si>
  <si>
    <t xml:space="preserve">·       Collect current address and proof of ages </t>
  </si>
  <si>
    <t>·       Confirm the survivorship of pensioners and beneficiaries</t>
  </si>
  <si>
    <t xml:space="preserve">·       Identify deferred vested members with grow-in rights </t>
  </si>
  <si>
    <t>·       Locate any missing members and those with outstanding benefits from the plan</t>
  </si>
  <si>
    <t xml:space="preserve">·       Update any missing information in the data </t>
  </si>
  <si>
    <t>·       Verify membership counts and demographic information, and reconcile these with the data from the previous valuation</t>
  </si>
  <si>
    <t xml:space="preserve">·       Review each data element that impacts members’ entitlements against the most recent member statements (annual statements for active and biennial inactive statement for deferred/pensioners) </t>
  </si>
  <si>
    <t>To ensure accurate and complete data for settling benefit at windup, the following data audit steps should be taken:</t>
  </si>
  <si>
    <t xml:space="preserve">Review and clean up data </t>
  </si>
  <si>
    <t>If there is any benefit improvements in conjunction with the windup, an amendment need to be filed in advance of the windup process</t>
  </si>
  <si>
    <t>Adopt a Board resolution to terminate the defined benefit plan</t>
  </si>
  <si>
    <t>Board resolution and amendment</t>
  </si>
  <si>
    <t xml:space="preserve">The administrator must ensure the plan provision accurately reflects all recent and past amendments, including the application of grow-in and special benefits upon plan windup, as well as benefits related to the plan closure. It is essential that these provisions align with the plan documents previously filed with FSRA. </t>
  </si>
  <si>
    <t xml:space="preserve">Plan provision </t>
  </si>
  <si>
    <t xml:space="preserve">The employer is required to notify the affected parties of the intent to windup the pension plan. Affected parties include current and former plan members, pensioners and beneficiaries, the union, FSRA and the trustee. </t>
  </si>
  <si>
    <t>Windup Notice</t>
  </si>
  <si>
    <t>The employer decides to windup the pension or the FSRA (Superintendent) can order the windup of the pension plan</t>
  </si>
  <si>
    <t>Wind up decision</t>
  </si>
  <si>
    <t>Description</t>
  </si>
  <si>
    <t>Item</t>
  </si>
  <si>
    <t>Solution is in purple</t>
  </si>
  <si>
    <t>however, the plan is restricted from paying out commuted values or purchasing annuities until the deficit is fully funded.</t>
  </si>
  <si>
    <t>Alternatively, the funding deficit may be amortized over five years rather than making one lump sum contribution,</t>
  </si>
  <si>
    <t>The administrator is required to make a deficit contribution of $30,197 as a single lump sum payment.</t>
  </si>
  <si>
    <t>Calculate the contribution requirement for 2025</t>
  </si>
  <si>
    <t>Windup Surplus (unfunded Windup Liability)</t>
  </si>
  <si>
    <t>WU liability</t>
  </si>
  <si>
    <t>Total windup value of assets</t>
  </si>
  <si>
    <t>Wind up expense</t>
  </si>
  <si>
    <t>Windup Value of Assets</t>
  </si>
  <si>
    <t>(4 point)</t>
  </si>
  <si>
    <t>CV liability</t>
  </si>
  <si>
    <t>AP liability</t>
  </si>
  <si>
    <t>CV factor</t>
  </si>
  <si>
    <t>AP factor</t>
  </si>
  <si>
    <t>Grow in flag</t>
  </si>
  <si>
    <t>AP Blending</t>
  </si>
  <si>
    <t xml:space="preserve">Benefit </t>
  </si>
  <si>
    <t>Final CV</t>
  </si>
  <si>
    <t>Average YMPE</t>
  </si>
  <si>
    <t>EURA CV</t>
  </si>
  <si>
    <t>Max CV</t>
  </si>
  <si>
    <t>Max AP</t>
  </si>
  <si>
    <t>Calculate the Windup funded status of the plan as at December 31, 2024</t>
  </si>
  <si>
    <t>LO 3, 5, 6</t>
  </si>
  <si>
    <t>Question Idea O</t>
  </si>
  <si>
    <t xml:space="preserve">Calculate the lifetime and bridge pensions payable to Member B. </t>
  </si>
  <si>
    <t>Joint and 66.67% Survivor Guaranteed 5 years</t>
  </si>
  <si>
    <t>Joint and 100% Survivor</t>
  </si>
  <si>
    <t>Joint and 60% Survivor</t>
  </si>
  <si>
    <t xml:space="preserve">Life only </t>
  </si>
  <si>
    <t xml:space="preserve">Annuity Factors </t>
  </si>
  <si>
    <t>Form of Pension</t>
  </si>
  <si>
    <t>Member B elected to receive his pension as a Joint and 100% Survivor form.</t>
  </si>
  <si>
    <t>You are also given the following additional information for Member B:</t>
  </si>
  <si>
    <t xml:space="preserve">Calculate the lifetime and bridge pensions payable to Member A. </t>
  </si>
  <si>
    <t>Member A elected to receive his pension as a life only form.</t>
  </si>
  <si>
    <t>January 1, 2021 maximum monthly OAS benefit is:</t>
  </si>
  <si>
    <t>2021 maximum monthly CPP benefit is:</t>
  </si>
  <si>
    <t>The Income Tax Act Defined Benefit Dollar Limit in 2021 per year of credited service is:</t>
  </si>
  <si>
    <t>The final average 3-year YMPE is :</t>
  </si>
  <si>
    <t>You are also given the following information:</t>
  </si>
  <si>
    <t>2018 Pensionable Earnings</t>
  </si>
  <si>
    <t>2019 Pensionable Earnings</t>
  </si>
  <si>
    <t xml:space="preserve">2020 Pensionable Earnings </t>
  </si>
  <si>
    <t>Continuous Service (years)</t>
  </si>
  <si>
    <t>Credited Service (years)</t>
  </si>
  <si>
    <t>Not Applicable</t>
  </si>
  <si>
    <t>Spouse’s Age (years)</t>
  </si>
  <si>
    <t>The following two plan members are retiring effective January 1, 2021:</t>
  </si>
  <si>
    <t>Actuarially equivalent</t>
  </si>
  <si>
    <t>Optional Forms of Payment:</t>
  </si>
  <si>
    <t>Normal Form of Payment:</t>
  </si>
  <si>
    <t>4% per year from age 62</t>
  </si>
  <si>
    <t>Early Retirement Reduction:</t>
  </si>
  <si>
    <t>Early Retirement Age:</t>
  </si>
  <si>
    <t>0.50% of final 3-year average pensionable earnings multiplied by credited service with no reductions for early commencement</t>
  </si>
  <si>
    <t>Bridge Benefit:</t>
  </si>
  <si>
    <t>Normal Retirement Age:</t>
  </si>
  <si>
    <t>1.50% of final 3-year average pensionable earnings multiplied by credited service</t>
  </si>
  <si>
    <t xml:space="preserve">Normal Retirement Benefit: </t>
  </si>
  <si>
    <t>Company XYZ sponsors a non-contributory defined benefit pension plan.</t>
  </si>
  <si>
    <t>RETFRC Fall 2020</t>
  </si>
  <si>
    <t>Calculate the commuted value of the benefits for the two members, assuming that they terminate employment voluntarily on January 1, 2020.</t>
  </si>
  <si>
    <t>Calculate the solvency liabilities for the two active members as at January 1, 2020.</t>
  </si>
  <si>
    <t xml:space="preserve">Commuted Value Annuity Factors at January 1, 2020:  </t>
  </si>
  <si>
    <t>Years of Service</t>
  </si>
  <si>
    <t>Earnings for 2017</t>
  </si>
  <si>
    <t>Earnings for 2018</t>
  </si>
  <si>
    <t>Earnings for 2019</t>
  </si>
  <si>
    <t xml:space="preserve">Member Data as at January 1, 2020:  </t>
  </si>
  <si>
    <t>Pension deferred to normal retirement age</t>
  </si>
  <si>
    <t>3% per year prior to normal retirement age</t>
  </si>
  <si>
    <t>Otherwise:</t>
  </si>
  <si>
    <t>3% per year prior to age 60</t>
  </si>
  <si>
    <t>With 10 or more years of service:</t>
  </si>
  <si>
    <t>Age 60, with 10 or more years of service</t>
  </si>
  <si>
    <t>Life Only, payable monthly in advance</t>
  </si>
  <si>
    <t>1.75% of 3-year final average earnings multiplied by years of service</t>
  </si>
  <si>
    <t xml:space="preserve">Plan Provisions: </t>
  </si>
  <si>
    <t xml:space="preserve">You are given:   </t>
  </si>
  <si>
    <t xml:space="preserve">Your client sponsors a non-contributory defined benefit pension plan registered in Ontario.   </t>
  </si>
  <si>
    <t>Question 10</t>
  </si>
  <si>
    <t>(iii) a Deferred Profit Sharing Plan (DPSP)</t>
  </si>
  <si>
    <t>(ii) a Group Registered Retirement Savings Plan (Group RRSP)</t>
  </si>
  <si>
    <t>(i) a Defined Contribution Registered Pension Plan (DCRPP)</t>
  </si>
  <si>
    <t>Calculate the maximum of the combined employee and employer contributions in dollars that could be made in 2021 to:</t>
  </si>
  <si>
    <t>The Company is considering establishing a new capital accumulation plan for employees effective January 1, 2021.</t>
  </si>
  <si>
    <t>2021 Earnings</t>
  </si>
  <si>
    <t>Calculate the 2021 available RRSP contribution room for each member.</t>
  </si>
  <si>
    <t>2020 Earnings from October 1 to December 31</t>
  </si>
  <si>
    <t>RRSP contributions made in 2020</t>
  </si>
  <si>
    <t>Available RRSP contribution room at the end of 2019</t>
  </si>
  <si>
    <t xml:space="preserve">Calculate the maximum transfer value for each member as at September 30, 2020. </t>
  </si>
  <si>
    <t>Calculate the 2020 Pension Adjustment for each member.</t>
  </si>
  <si>
    <t>Attained Age</t>
  </si>
  <si>
    <t>The Plan provides a career average earnings benefit of 1.5% of earnings up to the YMPE and 2% of earnings above the YMPE for each year of service. 
Members continue to accrue benefits beyond the normal retirement age of 65.
The Income Tax Regulations maximum transfer value factors are as follows:</t>
  </si>
  <si>
    <t>as of</t>
  </si>
  <si>
    <t xml:space="preserve">Accrued Pension </t>
  </si>
  <si>
    <t>2020 Service to September 30 (years)</t>
  </si>
  <si>
    <t>2020 Earnings up to</t>
  </si>
  <si>
    <t>Member’s Age at</t>
  </si>
  <si>
    <t>You are the actuary for a defined benefit pension plan that is being wound up effective September 30, 2020.</t>
  </si>
  <si>
    <t>(12 points)</t>
  </si>
  <si>
    <t>Answer parts (a), (b), (c) and (d) here:</t>
  </si>
  <si>
    <t>Question 11</t>
  </si>
  <si>
    <t>payable from the plan without generating a Past Service Pension Adjustment.</t>
  </si>
  <si>
    <t>Describe the benefit improvements that can be made to maximize the pension benefit</t>
  </si>
  <si>
    <t>Calculate the 2020 Pension Adjustment for Members X and Y.</t>
  </si>
  <si>
    <t>for Class A members, and achieves 100% of her sales target in 2020.</t>
  </si>
  <si>
    <t xml:space="preserve">leave) for one year. Member Y remains active, received only the pay adjustment identified above </t>
  </si>
  <si>
    <t>Effective December 31, 2019, Member X goes on an authorized leave of absence (disability</t>
  </si>
  <si>
    <t>Income Tax Act defined benefit dollar limit for 2020:</t>
  </si>
  <si>
    <r>
      <t>Bonus</t>
    </r>
    <r>
      <rPr>
        <u/>
        <sz val="12"/>
        <color theme="4" tint="-0.249977111117893"/>
        <rFont val="Times New Roman"/>
        <family val="1"/>
      </rPr>
      <t xml:space="preserve">: </t>
    </r>
    <r>
      <rPr>
        <sz val="12"/>
        <color theme="4" tint="-0.249977111117893"/>
        <rFont val="Times New Roman"/>
        <family val="1"/>
      </rPr>
      <t>20% of salary if meeting 100% of sales target; otherwise, no bonus payable.</t>
    </r>
  </si>
  <si>
    <t>1.0% p.a. increase</t>
  </si>
  <si>
    <t>15+</t>
  </si>
  <si>
    <t>2.5% p.a. increase</t>
  </si>
  <si>
    <t>10 to &lt;15</t>
  </si>
  <si>
    <t>3.0% p.a. increase</t>
  </si>
  <si>
    <t>5 to &lt;10</t>
  </si>
  <si>
    <t>4.5% p.a. increase</t>
  </si>
  <si>
    <t>0 to &lt;5</t>
  </si>
  <si>
    <t>Annual Pay Scale</t>
  </si>
  <si>
    <t>Years of membership</t>
  </si>
  <si>
    <t>Company ABC Pay Scale for All Class A Members:</t>
  </si>
  <si>
    <t>Accrual of benefits continues with salary frozen at the salary in the year prior to disability</t>
  </si>
  <si>
    <t>Disability</t>
  </si>
  <si>
    <t>No member contributions are allowed</t>
  </si>
  <si>
    <t>Member contribution rate</t>
  </si>
  <si>
    <t>Base pay, including bonuses</t>
  </si>
  <si>
    <t>1.8% of final average 3-year salary (FAE3) times credited service</t>
  </si>
  <si>
    <t>Pension Plan Provisions:</t>
  </si>
  <si>
    <t>January 1, 2000</t>
  </si>
  <si>
    <t>Y</t>
  </si>
  <si>
    <t>January 1, 2015</t>
  </si>
  <si>
    <t>X</t>
  </si>
  <si>
    <t>Bonus</t>
  </si>
  <si>
    <t>Date of Membership</t>
  </si>
  <si>
    <t>Class</t>
  </si>
  <si>
    <t>Member Data as at January 1, 2019:</t>
  </si>
  <si>
    <t xml:space="preserve">Company ABC sponsors a defined benefit pension plan registered in Ontario. </t>
  </si>
  <si>
    <t>Answer part (a) here:</t>
  </si>
  <si>
    <t>The response to this part is to be provided in the Excel spreadsheet.</t>
  </si>
  <si>
    <r>
      <t>(</t>
    </r>
    <r>
      <rPr>
        <i/>
        <sz val="12"/>
        <color theme="1"/>
        <rFont val="Times New Roman"/>
        <family val="1"/>
      </rPr>
      <t>6 points</t>
    </r>
    <r>
      <rPr>
        <sz val="12"/>
        <color theme="1"/>
        <rFont val="Times New Roman"/>
        <family val="1"/>
      </rPr>
      <t>)  Assess which option provides the higher expected annual retirement income for the new hire.
Show all work.</t>
    </r>
  </si>
  <si>
    <t>The employee will contribute the minimum required to receive the maximum company matching contribution.</t>
  </si>
  <si>
    <t>End of year</t>
  </si>
  <si>
    <t>Timing of contributions</t>
  </si>
  <si>
    <t>Average income tax rate after retirement</t>
  </si>
  <si>
    <t>Average income tax rate before retirement</t>
  </si>
  <si>
    <t>Annual RRSP and TFSA limits increase</t>
  </si>
  <si>
    <t>Annual salary increase</t>
  </si>
  <si>
    <t>Investment rate of return</t>
  </si>
  <si>
    <t>Current TFSA maximum annual contribution</t>
  </si>
  <si>
    <t>Current RRSP maximum annual dollar limit</t>
  </si>
  <si>
    <t>Current annual salary</t>
  </si>
  <si>
    <t>Life expectancy at age 65</t>
  </si>
  <si>
    <t>Planned retirement age</t>
  </si>
  <si>
    <t>Current age</t>
  </si>
  <si>
    <t>You are provided with the following information for a new hire:</t>
  </si>
  <si>
    <t>Employer Matching Contribution</t>
  </si>
  <si>
    <t xml:space="preserve">Invested in bank account earning guaranteed interest of 2% per year </t>
  </si>
  <si>
    <t xml:space="preserve">None </t>
  </si>
  <si>
    <t>Contributions in Excess of Maximum Allowable Amount under the ITA</t>
  </si>
  <si>
    <t>Contribution</t>
  </si>
  <si>
    <t>7% of salary after income tax up to $16,000</t>
  </si>
  <si>
    <t>Between $1,000 and 50% of the Maximum Allowable Amount under the Income Tax Act (ITA)</t>
  </si>
  <si>
    <t>Annual Employee</t>
  </si>
  <si>
    <t>Immediate</t>
  </si>
  <si>
    <t>1 year</t>
  </si>
  <si>
    <t>Eligibility</t>
  </si>
  <si>
    <t>Tax-Free Savings Account (TFSA) and bank account</t>
  </si>
  <si>
    <t>Registered Retirement Savings Plan (RRSP)</t>
  </si>
  <si>
    <t>Type of Arrangement</t>
  </si>
  <si>
    <t>Show all work.</t>
  </si>
  <si>
    <t>Option B</t>
  </si>
  <si>
    <t>Option A</t>
  </si>
  <si>
    <t>Feature</t>
  </si>
  <si>
    <r>
      <t>(</t>
    </r>
    <r>
      <rPr>
        <i/>
        <sz val="12"/>
        <color theme="1"/>
        <rFont val="Times New Roman"/>
        <family val="1"/>
      </rPr>
      <t>6 points</t>
    </r>
    <r>
      <rPr>
        <sz val="12"/>
        <color theme="1"/>
        <rFont val="Times New Roman"/>
        <family val="1"/>
      </rPr>
      <t>)  Assess which option provides the higher expected annual retirement income for the new hire.</t>
    </r>
  </si>
  <si>
    <t>Provide answer here.  Show and label all work.</t>
  </si>
  <si>
    <t>Company A offers a retirement savings plan that has the following two options for their Canadian employees:</t>
  </si>
  <si>
    <t>Design and Accounting Exam – Canada</t>
  </si>
  <si>
    <t>Exam RETDAC:  Spring</t>
  </si>
  <si>
    <t xml:space="preserve">while the expected total employee contribution is lower. </t>
  </si>
  <si>
    <t>Therefore, the Option A provides a higher expected annual retirement income for the new hire</t>
  </si>
  <si>
    <t xml:space="preserve">Total from TFSA/Bank </t>
  </si>
  <si>
    <t>Income from Bank</t>
  </si>
  <si>
    <t>Income from TFSA</t>
  </si>
  <si>
    <t xml:space="preserve">Income from RRSP </t>
  </si>
  <si>
    <t>20 Year Annuity Certain</t>
  </si>
  <si>
    <t>Total Bank</t>
  </si>
  <si>
    <t>Total TFSA</t>
  </si>
  <si>
    <t>Total RRSP</t>
  </si>
  <si>
    <t>20 years</t>
  </si>
  <si>
    <t>match</t>
  </si>
  <si>
    <t>Total EOY Balance</t>
  </si>
  <si>
    <t>Bank EOY Balance</t>
  </si>
  <si>
    <t>Bank Cont</t>
  </si>
  <si>
    <t>TFSA EOY Balance</t>
  </si>
  <si>
    <t>TFSA Cont</t>
  </si>
  <si>
    <t>Rounded Limit</t>
  </si>
  <si>
    <t>TFSA Limit</t>
  </si>
  <si>
    <t>ER Cont</t>
  </si>
  <si>
    <t>EE Cont</t>
  </si>
  <si>
    <t>After Tax Income</t>
  </si>
  <si>
    <t>Balance at EOY</t>
  </si>
  <si>
    <t>Limit</t>
  </si>
  <si>
    <t>Invested in bank account earning guaranteed interest of 2% per year</t>
  </si>
  <si>
    <t>TFSA</t>
  </si>
  <si>
    <t>RRSP</t>
  </si>
  <si>
    <t>Annual Employee Contribution</t>
  </si>
  <si>
    <t>(6 points)  Assess which option provides the higher expected annual retirement income for the new hire.</t>
  </si>
  <si>
    <t xml:space="preserve">(b)  </t>
  </si>
  <si>
    <t>Part (b)</t>
  </si>
  <si>
    <t>Provide answer here for part (b).  Show and label all work.</t>
  </si>
  <si>
    <t>Excerpt from question:</t>
  </si>
  <si>
    <t>Calculate the total 2021 Pension Adjustment for each member from all employers.</t>
  </si>
  <si>
    <t>• Member D joined the plan on November 1, 2021</t>
  </si>
  <si>
    <t>• Member C terminated employment on July 31, 2021 and moved to another employer on the same date.  The new employer’s pension plan has the same plan provisions as the current plan.  Member C joins the plan immediately upon hire and earns an annualized salary of $140,000 at the new employer.</t>
  </si>
  <si>
    <t>• Member B started a leave of absence due to disability on March 31, 2021 and returned to work on January 31, 2022.  He is automatically granted credited service in respect of the leave of absence upon returning to work.</t>
  </si>
  <si>
    <t>• Member A terminated employment on June 30, 2021 and elected a lump-sum commuted value.  Member A was re-employed on September 30, 2021 at the same annualized salary rate.</t>
  </si>
  <si>
    <t>You are also given the following:</t>
  </si>
  <si>
    <t>2021 Annualized Salary Rate</t>
  </si>
  <si>
    <t>You are also given salary information for the following members of the plan:</t>
  </si>
  <si>
    <t>The YMPE for 2021 is $61,600.</t>
  </si>
  <si>
    <t xml:space="preserve">The Income Tax Act Defined Benefit Dollar Limit in 2021 is $3,245.56 per year of credited service.  </t>
  </si>
  <si>
    <t>Members cease accruing service. Upon returning to work, members are credited service for the period of disability. 
Members’ earnings are deemed during the period of leave at the annualized salary rate in effect prior to the leave.</t>
  </si>
  <si>
    <t>Disability Leave</t>
  </si>
  <si>
    <t>Treated as new members</t>
  </si>
  <si>
    <t>Re-employment</t>
  </si>
  <si>
    <t>Optional forms of payment:</t>
  </si>
  <si>
    <t>3% per year from age 62</t>
  </si>
  <si>
    <t>1.0% of pensionable earnings up to the Years’ Maximum Pensionable Earnings (YMPE), plus 
1.5% of pensionable earnings in excess of YMPE per year of credited service</t>
  </si>
  <si>
    <t>Normal Retirement Benefit:</t>
  </si>
  <si>
    <t>You are the actuary for a non-contributory defined benefit pension plan.</t>
  </si>
  <si>
    <t>Question 9</t>
  </si>
  <si>
    <t>Calculate the Pension Adjustment Reversals for 2022.</t>
  </si>
  <si>
    <t>Calculate the 2022 Pension Adjustments for all members.</t>
  </si>
  <si>
    <t>Calculate the 2021 Pension Adjustments for all members.</t>
  </si>
  <si>
    <t>(1 point)</t>
  </si>
  <si>
    <t>Income Tax Act Maximum Defined Benefit Pension Limit</t>
  </si>
  <si>
    <t>Additioanl information</t>
  </si>
  <si>
    <t>Terminated on October 1, 2022 and transferred pension entitlement to Plan B under a Reciprocal Transfer Agreement (RTA). Plan B is less generous than Plan A. 
Under Plan A, the total pension credits equal $48,000. For the same years of service under Plan B, the total pension credits equal $42,000.
The commuted value of the benefits under Plan A is $40,500 and the commuted value of the benefits under Plan B is $35,080; based on the RTA, $35,080 will be transferred to Plan B, and the excess commuted value of $5,420 will be paid to the employee.</t>
  </si>
  <si>
    <t>Worked full year</t>
  </si>
  <si>
    <t>Deceased December 1, 2022</t>
  </si>
  <si>
    <t>Terminated on July 1, 2022 and elected a deferred pension</t>
  </si>
  <si>
    <t>Terminated on July 1, 2022 and elected a lump sum payment of $6,500</t>
  </si>
  <si>
    <t>Status</t>
  </si>
  <si>
    <t>Pensionable Earnings in 2022 
(not annualized)</t>
  </si>
  <si>
    <t>You are also given the following information for the year 2022:</t>
  </si>
  <si>
    <t>Pensionable Earnings in 2021</t>
  </si>
  <si>
    <t>Credited Service at 12/31/2021</t>
  </si>
  <si>
    <t>Credited Service Earned in 2021</t>
  </si>
  <si>
    <t>Age at 12/31/2021</t>
  </si>
  <si>
    <t>You are given the following member information as at December 31, 2021:</t>
  </si>
  <si>
    <t>Prorated based on completed months</t>
  </si>
  <si>
    <t>Credited service accrual</t>
  </si>
  <si>
    <t>No service accrual. Pension is increased actuarially</t>
  </si>
  <si>
    <t>Postponed retirement:</t>
  </si>
  <si>
    <t>0.8% of 3-year Final Average Earnings (FAE3) below 3-year Average YMPE (AYMPE) 
plus 
1.4% of FAE3 in excess of AYMPE 
multiplied by 
years of credited service up to a maximum of 35 years</t>
  </si>
  <si>
    <t>for each member.</t>
  </si>
  <si>
    <t xml:space="preserve">Calculate the monthly early retirement pension payable under the elected optional form of payment as at January 1, 2022 </t>
  </si>
  <si>
    <t>(7 points)</t>
  </si>
  <si>
    <t>their respective pension commencement ages.</t>
  </si>
  <si>
    <t xml:space="preserve">Calculate the maximum lifetime penison that applies to the three member under the Income Tax Act at their </t>
  </si>
  <si>
    <t>YMPE for 2022:</t>
  </si>
  <si>
    <t>Income Tax Act Annual Defined Benefit Dollar Limit for 2022 
(per year of service)</t>
  </si>
  <si>
    <t>Maximum OAS payable in January 2022 (per month):</t>
  </si>
  <si>
    <t xml:space="preserve">C/QPP Maximum Pension Benefit for 2022 (per month): </t>
  </si>
  <si>
    <t>N/A</t>
  </si>
  <si>
    <t>Life guaranteed for 10 years</t>
  </si>
  <si>
    <t>Factors deferred to age 65</t>
  </si>
  <si>
    <t>Temporary to age 65</t>
  </si>
  <si>
    <t>Immediate factors</t>
  </si>
  <si>
    <t>Level Income Option, taking into account CPP and OAS</t>
  </si>
  <si>
    <t>Life Only</t>
  </si>
  <si>
    <t>Elected optional form:</t>
  </si>
  <si>
    <t>Years of service (Total):</t>
  </si>
  <si>
    <t>Years of service accrued after age 65:</t>
  </si>
  <si>
    <t>Years of service accrued before age 65:</t>
  </si>
  <si>
    <t>Age at termination of employment:</t>
  </si>
  <si>
    <t>Age at retirement at January 1, 2022</t>
  </si>
  <si>
    <t>Member C</t>
  </si>
  <si>
    <t>Members data as at January 1, 2022:</t>
  </si>
  <si>
    <t>Post-retirement annual indexation:</t>
  </si>
  <si>
    <t>Level income option, payable monthly in advance, to the earlier of age 65 or death</t>
  </si>
  <si>
    <t>Life guaranteed for 10 years, payable monthly in advance</t>
  </si>
  <si>
    <t>Optional forms of payment (available on an actuarially-equivalent basis):</t>
  </si>
  <si>
    <t>postponement</t>
  </si>
  <si>
    <t xml:space="preserve">In addition, benefits accrued prior to the normal retirement age are increased 6% per year of </t>
  </si>
  <si>
    <t>Continued accrual after normal retirement age.</t>
  </si>
  <si>
    <t>Postponed actuarial increase:</t>
  </si>
  <si>
    <t>actuarially equivalent</t>
  </si>
  <si>
    <t>Employment terminated before age 55:</t>
  </si>
  <si>
    <t>3% per year prior to age 65</t>
  </si>
  <si>
    <t>Employment terminated on or after age 55:</t>
  </si>
  <si>
    <t>Age 62</t>
  </si>
  <si>
    <t>Bridge benefit:</t>
  </si>
  <si>
    <t>$200 per month, multiplied by years of service</t>
  </si>
  <si>
    <t>Three members who participate in a defined benefit pension plan are retiring on January 1, 2022.</t>
  </si>
  <si>
    <t>Calculate the 2022 employee contributions for Member A.</t>
  </si>
  <si>
    <t>(1 points)</t>
  </si>
  <si>
    <t>Calculate the 2022 Pension Adjustment for both members.</t>
  </si>
  <si>
    <t>Calculate the lifetime and bridge pensions payable to both members.</t>
  </si>
  <si>
    <t xml:space="preserve">Deferred to 65 factor at retirement </t>
  </si>
  <si>
    <t>Immediate annuity factor at retirement</t>
  </si>
  <si>
    <t>Pensionable earning in 2017</t>
  </si>
  <si>
    <t>Pensionable earning in 2018</t>
  </si>
  <si>
    <t>Pensionable earning in 2019</t>
  </si>
  <si>
    <t>Pensionable earning in 2020</t>
  </si>
  <si>
    <t>Pensionable earning in 2021</t>
  </si>
  <si>
    <t>Pensionable earning in 2022</t>
  </si>
  <si>
    <t>Pensionable service at January 1, 2022</t>
  </si>
  <si>
    <t>Pensionable service at December 31, 2022</t>
  </si>
  <si>
    <t>Age at December 31, 2022</t>
  </si>
  <si>
    <t>You are given the following information about two plan members who retired on December 31, 2022:</t>
  </si>
  <si>
    <t>Maximum monthly CPP</t>
  </si>
  <si>
    <t>Maximum monthly OAS pension</t>
  </si>
  <si>
    <t>ITA maximum pension limit</t>
  </si>
  <si>
    <t>6% per year from age 65 on Lifetime and Bridge Pension</t>
  </si>
  <si>
    <t>Earliest of age 65 and 30 years of Pensionable Service</t>
  </si>
  <si>
    <t>Earliest unreduced retirement date</t>
  </si>
  <si>
    <t>Average of the 3 consecutive years’ Pensionable Earnings in the past five years that has the highest value</t>
  </si>
  <si>
    <t>Best average earnings</t>
  </si>
  <si>
    <t>Flat benefit of $2,000 per month</t>
  </si>
  <si>
    <t>Bridge pension (payable from retirement to age 65)</t>
  </si>
  <si>
    <t>2.0% of best average earnings times the minimum of years of pensionable service and 31 years</t>
  </si>
  <si>
    <t>Lifetime pension</t>
  </si>
  <si>
    <t>7.5% of pensionable earnings up to 31 years of pensionable service, 0% after 31 years of pensionable service</t>
  </si>
  <si>
    <t>Employee contributions</t>
  </si>
  <si>
    <t>You are the actuary for a contributory defined benefit pension plan registered in Ontario.</t>
  </si>
  <si>
    <t xml:space="preserve">Question 1 </t>
  </si>
  <si>
    <t>RETFRC Spring 2023</t>
  </si>
  <si>
    <t xml:space="preserve">                    asset transfer application to be approved.</t>
  </si>
  <si>
    <r>
      <t xml:space="preserve">(c)                </t>
    </r>
    <r>
      <rPr>
        <i/>
        <sz val="12"/>
        <color rgb="FF002060"/>
        <rFont val="Times New Roman"/>
        <family val="1"/>
      </rPr>
      <t xml:space="preserve">(1 point) </t>
    </r>
    <r>
      <rPr>
        <sz val="12"/>
        <color rgb="FF002060"/>
        <rFont val="Times New Roman"/>
        <family val="1"/>
      </rPr>
      <t xml:space="preserve"> Describe the contribution and filing requirements for your client in respect of the two pension plans while waiting for the </t>
    </r>
  </si>
  <si>
    <r>
      <t xml:space="preserve">(b)                </t>
    </r>
    <r>
      <rPr>
        <i/>
        <sz val="12"/>
        <color rgb="FF002060"/>
        <rFont val="Times New Roman"/>
        <family val="1"/>
      </rPr>
      <t xml:space="preserve">(3 points) </t>
    </r>
    <r>
      <rPr>
        <sz val="12"/>
        <color rgb="FF002060"/>
        <rFont val="Times New Roman"/>
        <family val="1"/>
      </rPr>
      <t xml:space="preserve"> Calculate the contribution that must be made in order to satisfy the asset transfer funding conditions.</t>
    </r>
  </si>
  <si>
    <r>
      <t>(a)                (</t>
    </r>
    <r>
      <rPr>
        <i/>
        <sz val="12"/>
        <color rgb="FF002060"/>
        <rFont val="Times New Roman"/>
        <family val="1"/>
      </rPr>
      <t>4 points</t>
    </r>
    <r>
      <rPr>
        <sz val="12"/>
        <color rgb="FF002060"/>
        <rFont val="Times New Roman"/>
        <family val="1"/>
      </rPr>
      <t>)  Describe the requirements and considerations for merging the Unionized Pension Plan into the Hourly Pension Plan.</t>
    </r>
  </si>
  <si>
    <t>Unionized Pension Plan</t>
  </si>
  <si>
    <t>Hourly Pension Plan</t>
  </si>
  <si>
    <t>You are provided the following information as at March 1, 2024:</t>
  </si>
  <si>
    <t>Both plans’ fiscal year ends on December 31.</t>
  </si>
  <si>
    <t xml:space="preserve">Your client wishes to merge the newly acquired pension plan into their existing Hourly Pension plan effective March 1, 2024. </t>
  </si>
  <si>
    <t xml:space="preserve">also acquire the Unionized Pension Plan, also registered in Ontario. </t>
  </si>
  <si>
    <t xml:space="preserve">In a recent business transaction, Company ABC acquired Company XYZ. As part of the acquisition agreement, your client will </t>
  </si>
  <si>
    <t xml:space="preserve">Your client, Company ABC, currently sponsors the Hourly Pension Plan, a defined benefit pension plan registered in Ontario. </t>
  </si>
  <si>
    <t>Contributions are paid at the beginning of the year and are invested in term deposits earning a fixed interest rate of 2% per year.</t>
  </si>
  <si>
    <t>An RCA is set up to provide a pension for a long-service executive who will retire in January 2022.  On June 30, 2022 she will receive 20% of the total fund balance.</t>
  </si>
  <si>
    <r>
      <t>(</t>
    </r>
    <r>
      <rPr>
        <i/>
        <sz val="12"/>
        <color theme="1"/>
        <rFont val="Times New Roman"/>
        <family val="1"/>
      </rPr>
      <t>3 points</t>
    </r>
    <r>
      <rPr>
        <sz val="12"/>
        <color theme="1"/>
        <rFont val="Times New Roman"/>
        <family val="1"/>
      </rPr>
      <t xml:space="preserve">)  Calculate the refundable tax payable in 2020, 2021, and 2022 to the Canada Revenue Agency. </t>
    </r>
  </si>
  <si>
    <t>Exam RETDAC:  Fall 2020</t>
  </si>
  <si>
    <t>Payout:</t>
  </si>
  <si>
    <t>At 6/30</t>
  </si>
  <si>
    <t>Transfer to RTA (half of contribution and investment income)</t>
  </si>
  <si>
    <t>Investment income</t>
  </si>
  <si>
    <t>Employer contribution</t>
  </si>
  <si>
    <t>RTA</t>
  </si>
  <si>
    <t>RCA</t>
  </si>
  <si>
    <t>rolling forward liabilities and current service costs using extrapolation techniques.</t>
  </si>
  <si>
    <t>Calculate the minimum required and maximum permissible employer contributions for 2022,</t>
  </si>
  <si>
    <t>0.5%
+
Benchmark Yield of Government of Canada Long-Term Bonds 
+
5% × allocation of non-fixed income 
+
1.5% × allocation of fixed income</t>
  </si>
  <si>
    <t>The formula to determine the benchmark discount rate that is used in the determination of the PfAD is:</t>
  </si>
  <si>
    <t>Benchmark Yield of Government of Canada Long-Term Bonds (V39056) at December 31, 2021 is:</t>
  </si>
  <si>
    <t>Open Plans</t>
  </si>
  <si>
    <t>Closed Plans</t>
  </si>
  <si>
    <t>% of Non-Fixed Income Assets</t>
  </si>
  <si>
    <t>Non-Fixed Income component of the Provision for Adverse Deviations (PfAD):</t>
  </si>
  <si>
    <t>Non-fixed income assets</t>
  </si>
  <si>
    <t>Fixed income assets</t>
  </si>
  <si>
    <t>The target asset allocation is the following:</t>
  </si>
  <si>
    <t>The going concern discount rate is net of passive investment expenses of:</t>
  </si>
  <si>
    <t>All assumptions remain the same as at December 31, 2020</t>
  </si>
  <si>
    <t>There are no liability gains or losses during the period</t>
  </si>
  <si>
    <t>Solvency incremental cost excluding buy-in annuity in 2021</t>
  </si>
  <si>
    <t>2021 total going concern current service cost</t>
  </si>
  <si>
    <t>Benefit payments for portion of liabilities backed by the buy-in annuity in 2021</t>
  </si>
  <si>
    <t>Benefit payments for portion of liabilities not backed by the buy-in annuity in 2021</t>
  </si>
  <si>
    <t>Pension fund assets at December 31, 2021 excluding the value of the buy-in annuity</t>
  </si>
  <si>
    <t>You are given the following:</t>
  </si>
  <si>
    <t>Calculate the minimum required and maximum permissible employer contributions in 2021.</t>
  </si>
  <si>
    <r>
      <t xml:space="preserve">There are </t>
    </r>
    <r>
      <rPr>
        <b/>
        <sz val="12"/>
        <color theme="4" tint="-0.249977111117893"/>
        <rFont val="Times New Roman"/>
        <family val="1"/>
      </rPr>
      <t>no</t>
    </r>
    <r>
      <rPr>
        <sz val="12"/>
        <color theme="4" tint="-0.249977111117893"/>
        <rFont val="Times New Roman"/>
        <family val="1"/>
      </rPr>
      <t xml:space="preserve"> allowable exclusions from the solvency liabilities (e.g. consent benefits).</t>
    </r>
  </si>
  <si>
    <t>Provision for wind-up expenses</t>
  </si>
  <si>
    <t>Solvency blended discount rate (for calculation of special payments)</t>
  </si>
  <si>
    <t>Solvency annual special payment payable in 2021 from prior valuation</t>
  </si>
  <si>
    <t>Buy-in annuity value included in solvency assets and liabilities</t>
  </si>
  <si>
    <t>Solvency liabilities</t>
  </si>
  <si>
    <t>Solvency assets (including buy-in annuity before wind-up expenses)</t>
  </si>
  <si>
    <t>Duration of total going concern current service cost</t>
  </si>
  <si>
    <t>Duration of going concern liabilities (excluding buy-in annuity)</t>
  </si>
  <si>
    <t>Going concern annual special payments payable in 2021 from prior valuation</t>
  </si>
  <si>
    <t>Provision for adverse deviations ("PfAD")</t>
  </si>
  <si>
    <t>Going concern discount rate (net of investment expenses; gross of administrative expenses)</t>
  </si>
  <si>
    <t>Annual provision for administrative expenses</t>
  </si>
  <si>
    <t>Going concern annual employer current service cost (excluding PfAD)</t>
  </si>
  <si>
    <t>Buy-in annuity value included in going concern assets and liabilities</t>
  </si>
  <si>
    <t>Going concern liabilities (including buy-in annuity; excluding PfAD)</t>
  </si>
  <si>
    <t>Going concern assets (including buy-in annuity; excluding present value of special payments previously established in respect of any past service unfunded actuarial liability)</t>
  </si>
  <si>
    <t>You are given the following valuation results as at December 31, 2020:</t>
  </si>
  <si>
    <t>registered in Ontario. The plan is not a designated plan as defined under the Income Tax Act.</t>
  </si>
  <si>
    <t>Your client sponsors a single-employer non-indexed closed defined benefit pension plan</t>
  </si>
  <si>
    <t>(13 points)</t>
  </si>
  <si>
    <t>December 31, 2021</t>
  </si>
  <si>
    <t>December 31, 2020</t>
  </si>
  <si>
    <t># of years of deferral</t>
  </si>
  <si>
    <t>Annuity Factors (male)</t>
  </si>
  <si>
    <t>Male</t>
  </si>
  <si>
    <t>Retired - 
life only</t>
  </si>
  <si>
    <t>Monthly Pension</t>
  </si>
  <si>
    <t>Earnings in 2018</t>
  </si>
  <si>
    <t>Earnings in 2019</t>
  </si>
  <si>
    <t>Earnings in 2020</t>
  </si>
  <si>
    <t>Sex</t>
  </si>
  <si>
    <t>Participant Data at December 31, 2020</t>
  </si>
  <si>
    <t>In accordance with Going Concern Valuation Assumptions.  
Assume inactive participants survive to the next valuation</t>
  </si>
  <si>
    <t>All other assumptions</t>
  </si>
  <si>
    <t>100% of active participants assumed to elect a lump-sum commuted value
The lump-sum commuted value is calculated using solvency valuation assumptions</t>
  </si>
  <si>
    <t>Option Election upon Termination or Retirement</t>
  </si>
  <si>
    <t>New entrants</t>
  </si>
  <si>
    <t>Projection assumptions required for Solvency Incremental Cost</t>
  </si>
  <si>
    <t>Beginning of year</t>
  </si>
  <si>
    <t>Timing of Decrements</t>
  </si>
  <si>
    <t>All other ages</t>
  </si>
  <si>
    <t>Rate</t>
  </si>
  <si>
    <t>Termination Rates</t>
  </si>
  <si>
    <t>Retirement Rates</t>
  </si>
  <si>
    <t>Mortality rates (pre-retirement)</t>
  </si>
  <si>
    <t>CPM2014 Mortality Table (Combined) with mortality improvements in accordance with CPM Improvement Scale B</t>
  </si>
  <si>
    <t>Mortality rates (post-retirement)</t>
  </si>
  <si>
    <t>per year, inclusive of merit and promotion</t>
  </si>
  <si>
    <t>Salary increases</t>
  </si>
  <si>
    <t>Going Concern Valuation Assumptions</t>
  </si>
  <si>
    <t>100% of active participants assumed to elect a lump-sum commuted value</t>
  </si>
  <si>
    <t>Option Election</t>
  </si>
  <si>
    <t xml:space="preserve">   Annuity purchase</t>
  </si>
  <si>
    <t xml:space="preserve">   Lump-sum commuted values</t>
  </si>
  <si>
    <t>Mortality rates (pre-decrement):</t>
  </si>
  <si>
    <t>Mortality rates (post-decrement):</t>
  </si>
  <si>
    <t>per year</t>
  </si>
  <si>
    <t xml:space="preserve">   Annuity Purchase</t>
  </si>
  <si>
    <t>thereafter</t>
  </si>
  <si>
    <t>per year for 10 years; and</t>
  </si>
  <si>
    <t>Interest rates:</t>
  </si>
  <si>
    <t>Solvency Valuation Assumptions</t>
  </si>
  <si>
    <t>Deferred pension starting at age 65
Payable from age 55 on an actuarially equivalent basis</t>
  </si>
  <si>
    <t>Reduced by 4% per year from age 65</t>
  </si>
  <si>
    <t>Life only; Joint &amp; 60% survivor for participants with spouse on retirement, actuarially equivalent to Life only</t>
  </si>
  <si>
    <t>Normal form</t>
  </si>
  <si>
    <t>1.5% times 3-year final average earnings (FAE3) time years of credited service</t>
  </si>
  <si>
    <t>Calculate the one (1)-year Solvency Incremental Cost for the pension plan described below.</t>
  </si>
  <si>
    <t>registered in Ontario.</t>
  </si>
  <si>
    <t xml:space="preserve">You are performing a funding valuation as at December 31, 2020 for a defined benefit pension plan </t>
  </si>
  <si>
    <t>(15 points)</t>
  </si>
  <si>
    <t>Answer question here.</t>
  </si>
  <si>
    <r>
      <t>(</t>
    </r>
    <r>
      <rPr>
        <i/>
        <sz val="12"/>
        <color theme="1"/>
        <rFont val="Times New Roman"/>
        <family val="1"/>
      </rPr>
      <t>6 points</t>
    </r>
    <r>
      <rPr>
        <sz val="12"/>
        <color theme="1"/>
        <rFont val="Times New Roman"/>
        <family val="1"/>
      </rPr>
      <t xml:space="preserve">) Calculate the balance of the RCA and refundable tax account at the end of Year 4 under each of the following:  
(i) Option 1
(ii) Option 2
</t>
    </r>
  </si>
  <si>
    <t>Assume contributions are made in the middle of the year, all returns are fully realized in the year earned, and there are no disbursements from the plan.</t>
  </si>
  <si>
    <t xml:space="preserve">The cost of the letter of credit is 1.75% of the notional account value at the end of each year. </t>
  </si>
  <si>
    <t>Rate of Return (per annum)</t>
  </si>
  <si>
    <t>Pensionable Earnings</t>
  </si>
  <si>
    <t xml:space="preserve">Option 2:  Securing the notional account value with a letter of credit </t>
  </si>
  <si>
    <t xml:space="preserve">Option 1:  Funded retirement compensation arrangement (RCA);  </t>
  </si>
  <si>
    <t xml:space="preserve">The company is considering two options to secure the SERP:  </t>
  </si>
  <si>
    <t xml:space="preserve">(6 points) Calculate the balance of the RCA and refundable tax account at the end of Year 4 under each of the following:  
(i) Option 1
(ii) Option 2
</t>
  </si>
  <si>
    <t xml:space="preserve">Company XYZ sponsors a non-registered defined contribution Supplemental Executive Retirement Plan (SERP) for one of its executives. Contributions to the SERP are 18% of each year’s pensionable earnings. </t>
  </si>
  <si>
    <t>Exam RETDAC:  Fall 2021</t>
  </si>
  <si>
    <t>ANSWER: RTA balance at the end of Year 4 =</t>
  </si>
  <si>
    <t>EOY Balance</t>
  </si>
  <si>
    <t>LOC Fee</t>
  </si>
  <si>
    <t>BOY Balance</t>
  </si>
  <si>
    <t>RTA Balance</t>
  </si>
  <si>
    <t>ANSWER: The RCA balance at the end of Year 4 is $0 because it is a notional account.</t>
  </si>
  <si>
    <t>Notional Account EOY Balance</t>
  </si>
  <si>
    <t>Notional Account BOY Balance</t>
  </si>
  <si>
    <t>= LOC fee (1.75%) x Notional Acount EOY balance</t>
  </si>
  <si>
    <t>= BOY Balance + contributions + return</t>
  </si>
  <si>
    <t>= BOY Balance x Return + Contributions x Return/2</t>
  </si>
  <si>
    <t>= Contribution % x pensionable earnings</t>
  </si>
  <si>
    <t>Notional Account Balance</t>
  </si>
  <si>
    <t>(ii) Option 2: securing the notional account with a letter of credit</t>
  </si>
  <si>
    <t>Transfer from RCA</t>
  </si>
  <si>
    <t>ANSWER: RCA balance at the end of Year 4 =</t>
  </si>
  <si>
    <t>Transfer to RTA</t>
  </si>
  <si>
    <t>Contribution Transfer to RTA</t>
  </si>
  <si>
    <t>= BOY balance + contributions + return - transfers to RTA</t>
  </si>
  <si>
    <t>=Return / 2</t>
  </si>
  <si>
    <t>= BOY balance x Return + (contributions less transfer to RTA) x Return/2</t>
  </si>
  <si>
    <t>= Contribution / 2</t>
  </si>
  <si>
    <t>RCA Balance</t>
  </si>
  <si>
    <t>there are no disbursements from the plan.</t>
  </si>
  <si>
    <t>(i) Option 1: Funded Retirement Compensation Arrangement (RCA)</t>
  </si>
  <si>
    <t>Assume contributions are made in the middle of the year, all returns are fully realized in the year earned, and</t>
  </si>
  <si>
    <t>The cost of the letter of credit is 1.75% of the notional account value at the end of each year.</t>
  </si>
  <si>
    <t>Contributions to the SERP are 18% of each year's pensionable earnings.</t>
  </si>
  <si>
    <t xml:space="preserve">(ii) Option 2
</t>
  </si>
  <si>
    <t>(i) Option 1</t>
  </si>
  <si>
    <r>
      <t>(6</t>
    </r>
    <r>
      <rPr>
        <i/>
        <sz val="12"/>
        <color theme="1"/>
        <rFont val="Times New Roman"/>
        <family val="1"/>
      </rPr>
      <t xml:space="preserve"> points</t>
    </r>
    <r>
      <rPr>
        <sz val="12"/>
        <color theme="1"/>
        <rFont val="Times New Roman"/>
        <family val="1"/>
      </rPr>
      <t>)  Calculate the balance of the RCA and refundable tax account at the end of Year 4 under each of the following:</t>
    </r>
  </si>
  <si>
    <t>Current service cost including PfAD</t>
  </si>
  <si>
    <t>Going concern liability</t>
  </si>
  <si>
    <t>Longevity risk</t>
  </si>
  <si>
    <t>Deterioration of asset values</t>
  </si>
  <si>
    <t>Interest rate risk</t>
  </si>
  <si>
    <t>Going concern results</t>
  </si>
  <si>
    <t>Link final results below and show all work, including each step of the calculation separately, in the workspace provided to the right (in Excel).</t>
  </si>
  <si>
    <t>Develop the plausible adverse scenario disclosure as at January 1, 2021.</t>
  </si>
  <si>
    <t>(f)</t>
  </si>
  <si>
    <t xml:space="preserve">Increase in life expectancy approximated by a 5% increase in liabilities and current service cost </t>
  </si>
  <si>
    <t>15% decrease to non-fixed income portfolio</t>
  </si>
  <si>
    <t>Immediate 1.0% decrease in interest rates resulting in a 0.5% decrease in going concern discount rate</t>
  </si>
  <si>
    <t>The consultant for MNO Limited has provided you with 3 adverse scenarios:</t>
  </si>
  <si>
    <t>Maximum permissible contributions for 2021</t>
  </si>
  <si>
    <t>Minimum required special payments for 2022</t>
  </si>
  <si>
    <t>Minimum required contributions for 2021</t>
  </si>
  <si>
    <t>special payments for 2022.</t>
  </si>
  <si>
    <t>Calculate the minimum required and maximum permissible employer contributions for 2021 and the minimum required</t>
  </si>
  <si>
    <t>Solvency incremental cost</t>
  </si>
  <si>
    <t>Calculate the 1 year Solvency Incremental Cost.</t>
  </si>
  <si>
    <t>Projected Solvency Liabilities</t>
  </si>
  <si>
    <t>You have determined the projected solvency liabilities as at January 1, 2022 to be:</t>
  </si>
  <si>
    <t>Net assets</t>
  </si>
  <si>
    <t>Calculate the solvency funded position as at January 1, 2021.</t>
  </si>
  <si>
    <t>Funding excess (shortfall) at January 1, 2021, excluding PfAD</t>
  </si>
  <si>
    <t>Sources</t>
  </si>
  <si>
    <t>Funding excess (shortfall) at January 1, 2020, excluding PfAD</t>
  </si>
  <si>
    <t>Calculate the gains and losses on a going concern basis by source for 2020, excluding PfAD.</t>
  </si>
  <si>
    <t>With PfAD</t>
  </si>
  <si>
    <t>Without PfAD</t>
  </si>
  <si>
    <t>Calculate the total normal cost, going concern liability, and the unfunded actuarial liability as at January 1, 2021.</t>
  </si>
  <si>
    <t>Assume no changes to the asset mix and no prior year credit balance is established.</t>
  </si>
  <si>
    <t>Contribution on Dec 31, 2020</t>
  </si>
  <si>
    <t>Rate of return in 2020</t>
  </si>
  <si>
    <t>x = 39</t>
  </si>
  <si>
    <t>Solvency Annuity factors:</t>
  </si>
  <si>
    <t>Going Concern Annuity factors:</t>
  </si>
  <si>
    <t>All other assumptions and methods are unchanged from the prior valuation.</t>
  </si>
  <si>
    <t>(per annum)</t>
  </si>
  <si>
    <t>Solvency discount rate:</t>
  </si>
  <si>
    <t>Going-concern discount rate:</t>
  </si>
  <si>
    <t>Assume that all membership movements occurred on December 31, 2020.</t>
  </si>
  <si>
    <t>Salary CY-3</t>
  </si>
  <si>
    <t>Salary CY-2</t>
  </si>
  <si>
    <t>Salary CY-1</t>
  </si>
  <si>
    <t>(CY)</t>
  </si>
  <si>
    <t>ID</t>
  </si>
  <si>
    <t>Current Year</t>
  </si>
  <si>
    <t>Monthly</t>
  </si>
  <si>
    <t>Accrued</t>
  </si>
  <si>
    <t>Participant data as at January 1, 2021:</t>
  </si>
  <si>
    <r>
      <t xml:space="preserve">For an actuarial valuation for funding purposes as at </t>
    </r>
    <r>
      <rPr>
        <b/>
        <sz val="12"/>
        <color rgb="FF305496"/>
        <rFont val="Times New Roman"/>
        <family val="1"/>
      </rPr>
      <t xml:space="preserve">January 1, 2021, </t>
    </r>
    <r>
      <rPr>
        <sz val="12"/>
        <color rgb="FF305496"/>
        <rFont val="Times New Roman"/>
        <family val="1"/>
      </rPr>
      <t>you are given:</t>
    </r>
  </si>
  <si>
    <t>1/1/2020</t>
  </si>
  <si>
    <t>1/1/2021</t>
  </si>
  <si>
    <t>Last Payment</t>
  </si>
  <si>
    <t>Payment</t>
  </si>
  <si>
    <t>Date of</t>
  </si>
  <si>
    <t>Date of First</t>
  </si>
  <si>
    <t>Amortization</t>
  </si>
  <si>
    <t>Annual</t>
  </si>
  <si>
    <t>Amortization Schedules:</t>
  </si>
  <si>
    <t>Duration of Asset Portfolio</t>
  </si>
  <si>
    <t>Fixed income allocation</t>
  </si>
  <si>
    <t>Normal Cost (BOY)</t>
  </si>
  <si>
    <t>Going Concern
Liability</t>
  </si>
  <si>
    <t>Liability Information:</t>
  </si>
  <si>
    <t>As per the Standards of Practice</t>
  </si>
  <si>
    <t>Windup expense assumption:</t>
  </si>
  <si>
    <t>Solvency Assumptions:</t>
  </si>
  <si>
    <t>100% at Age 60</t>
  </si>
  <si>
    <t>Salary increase rate:</t>
  </si>
  <si>
    <t>Provision for Adverse Deviation (PfAD):</t>
  </si>
  <si>
    <r>
      <t xml:space="preserve">The following information is from the last actuarial valuation for funding purposes as at </t>
    </r>
    <r>
      <rPr>
        <b/>
        <sz val="12"/>
        <color rgb="FF305496"/>
        <rFont val="Times New Roman"/>
        <family val="1"/>
      </rPr>
      <t>January 1, 2020</t>
    </r>
    <r>
      <rPr>
        <sz val="12"/>
        <color rgb="FF305496"/>
        <rFont val="Times New Roman"/>
        <family val="1"/>
      </rPr>
      <t>:</t>
    </r>
  </si>
  <si>
    <t>as early as age 55, but on an actuarially equivalent basis.</t>
  </si>
  <si>
    <t>Monthly pension deferred to NRA. Deferred members can start their pensions</t>
  </si>
  <si>
    <t>Otherwise, benefit is reduced 6% per annum from NRA</t>
  </si>
  <si>
    <t>With 10+ years of service, benefit is reduced 3% per annum from age 60</t>
  </si>
  <si>
    <t>2% of Final 3-year Average Earnings (FAE3)</t>
  </si>
  <si>
    <t>MNO Limited sponsors a non-contributory defined benefit pension plan, registered in Ontario.</t>
  </si>
  <si>
    <t>(33 points)</t>
  </si>
  <si>
    <t>Equity market shock</t>
  </si>
  <si>
    <t>Equity Market Shock: Discount rate shift of 0% and 15% drop in equity market.</t>
  </si>
  <si>
    <t>(ii)</t>
  </si>
  <si>
    <t>Actuarial value of Assets</t>
  </si>
  <si>
    <t>Interest Rate Shock: 90 bps drop in discount rate and 7% increase in fixed income portion of assets.</t>
  </si>
  <si>
    <t>(i)</t>
  </si>
  <si>
    <t>Non-indexed</t>
  </si>
  <si>
    <t>The going concern liability durations are:</t>
  </si>
  <si>
    <t>Use duration to estimate the change in liabilities</t>
  </si>
  <si>
    <t>Calculate the funded position on a going concern basis including PfAD, under the following two Plausible Adverse Scenarios.</t>
  </si>
  <si>
    <t>Funding excess (shortfall) at December 31, 2021 before PfAD</t>
  </si>
  <si>
    <t>Assumption Changes - Going Concern discount rate</t>
  </si>
  <si>
    <t>PfAD at December 31, 2020</t>
  </si>
  <si>
    <t>Funding excess (shortfall) at December 31, 2020</t>
  </si>
  <si>
    <t>Calculate the sources of gain/(loss) of the going concern liabilities from December 31, 2020 to December 31, 2021.</t>
  </si>
  <si>
    <t>Gains (losses) - realized and unrealized</t>
  </si>
  <si>
    <t>Administration and investment fees</t>
  </si>
  <si>
    <t>December 31, 2020 market value:</t>
  </si>
  <si>
    <t>All other assumptions are the samee as at December 31, 2020</t>
  </si>
  <si>
    <t>Going Concern Assumptions:</t>
  </si>
  <si>
    <t>Pensioner deceased August 2021. Spouse received spousal pension effective September 1, 2021</t>
  </si>
  <si>
    <t>Retiree</t>
  </si>
  <si>
    <t>Paid Out March 31, 2021 - $122,500</t>
  </si>
  <si>
    <t>Status at December 31, 2021</t>
  </si>
  <si>
    <t>You are asked to complete the actuarial valuation as at December 31, 2021 based on information provided below.</t>
  </si>
  <si>
    <t xml:space="preserve">The next required valuation date is December 31, 2021.  </t>
  </si>
  <si>
    <t>(14 points)</t>
  </si>
  <si>
    <t>Minimum required contributions for 2022</t>
  </si>
  <si>
    <t>Employer current service cost contributions (roll forward with interest)</t>
  </si>
  <si>
    <t>2021 Employer Minimum Contribution Requirements</t>
  </si>
  <si>
    <t>Calculate the minimum contribution requirements for 2021 and 2022 based on the December 31, 2020 valuation.</t>
  </si>
  <si>
    <t>(iii)</t>
  </si>
  <si>
    <t>Solvency Liabilities for:</t>
  </si>
  <si>
    <t>Calculate the funded status of the plan on a solvency basis.</t>
  </si>
  <si>
    <t xml:space="preserve">You are asked to perform the actuarial valuation as at December 31, 2020. </t>
  </si>
  <si>
    <t>x = 55</t>
  </si>
  <si>
    <t>x = 54</t>
  </si>
  <si>
    <t>x = 49</t>
  </si>
  <si>
    <t>Going Concern Annuity factors (non-indexed):</t>
  </si>
  <si>
    <t>Going Concern Annuity factors (indexed):</t>
  </si>
  <si>
    <t>Annuity Factors (Life only factors except where noted otherwise):</t>
  </si>
  <si>
    <t>Non-Fixed Income Component</t>
  </si>
  <si>
    <t>Alternative Investment Component (M)</t>
  </si>
  <si>
    <t>Fixed Income Component (L) (Investment Grade)</t>
  </si>
  <si>
    <t>Investment Policy:</t>
  </si>
  <si>
    <t>There are no in-transit amounts as at December 31, 2020 or December 31, 2021</t>
  </si>
  <si>
    <t>December 31 market value of assets:</t>
  </si>
  <si>
    <t>January 1 market value of assets:</t>
  </si>
  <si>
    <t>Annual pension:</t>
  </si>
  <si>
    <t>Retirement date:</t>
  </si>
  <si>
    <t>Service at termination:</t>
  </si>
  <si>
    <t>Age at termination:</t>
  </si>
  <si>
    <t>Yes</t>
  </si>
  <si>
    <t>Terminated involuntarily:</t>
  </si>
  <si>
    <t>50% at UERA and 50% at best age</t>
  </si>
  <si>
    <t>0.60% for 10 years, 1.90% thereafter</t>
  </si>
  <si>
    <t>1.40% for 10 years, 2.90% thereafter</t>
  </si>
  <si>
    <t>- Solvency discount rate:</t>
  </si>
  <si>
    <t>Solvency liabilities are set to equal wind-up liabilities</t>
  </si>
  <si>
    <t>Non-Fixed Income Percentage is 60% with related PfAD Component:</t>
  </si>
  <si>
    <t>Actuarial value of assets - realized and unrealized capital gains (losses) arising during a given year are spread on a straight-line basis over 3 years</t>
  </si>
  <si>
    <t>Termination Assumption:</t>
  </si>
  <si>
    <t>100% of eligible members receive a pension from the plan</t>
  </si>
  <si>
    <t>Assume retirement at UERA</t>
  </si>
  <si>
    <t>UERA</t>
  </si>
  <si>
    <t>Explicit expense allowance:</t>
  </si>
  <si>
    <t>The following information is as at December 31, 2020:</t>
  </si>
  <si>
    <t>Post-retirement cost of living adjustment:</t>
  </si>
  <si>
    <t>Pre-retirement cost of living adjustment:</t>
  </si>
  <si>
    <t>Life only. Optional forms available on an actuarial-equivalent basis</t>
  </si>
  <si>
    <t>Form of payment:</t>
  </si>
  <si>
    <r>
      <rPr>
        <i/>
        <sz val="12"/>
        <color rgb="FF002060"/>
        <rFont val="Times New Roman"/>
        <family val="1"/>
      </rPr>
      <t>Otherwise:</t>
    </r>
    <r>
      <rPr>
        <sz val="12"/>
        <color rgb="FF002060"/>
        <rFont val="Times New Roman"/>
        <family val="1"/>
      </rPr>
      <t xml:space="preserve"> Actuarial equivalent to NRA</t>
    </r>
  </si>
  <si>
    <r>
      <rPr>
        <i/>
        <sz val="12"/>
        <color rgb="FF002060"/>
        <rFont val="Times New Roman"/>
        <family val="1"/>
      </rPr>
      <t>With 20 or more years of service:</t>
    </r>
    <r>
      <rPr>
        <sz val="12"/>
        <color rgb="FF002060"/>
        <rFont val="Times New Roman"/>
        <family val="1"/>
      </rPr>
      <t xml:space="preserve">  3% per year prior to age 60</t>
    </r>
  </si>
  <si>
    <t>Age 60, with 20 or more years of service</t>
  </si>
  <si>
    <t>None required or permitted</t>
  </si>
  <si>
    <t>1.75% of Final 3-year Average Earnings</t>
  </si>
  <si>
    <t>The plan provisions are as follows:</t>
  </si>
  <si>
    <t>You may also use the 2 additional tabs for your work.</t>
  </si>
  <si>
    <t>Show your work here.</t>
  </si>
  <si>
    <t>Your client sponsors a non-contributory defined benefit pension plan registered in Ontario. As the actuary of the plan, you are responsible for determining the funded status of the plan and the contribution requirements. A full actuarial valuation is required to be performed as at December 31, 2020.</t>
  </si>
  <si>
    <t>(32 points)</t>
  </si>
  <si>
    <t>Additional workspace # 2</t>
  </si>
  <si>
    <t>Additional workspace # 1</t>
  </si>
  <si>
    <t>(ii)  RTA</t>
  </si>
  <si>
    <r>
      <t>(i)</t>
    </r>
    <r>
      <rPr>
        <sz val="7"/>
        <color theme="1"/>
        <rFont val="Times New Roman"/>
        <family val="1"/>
      </rPr>
      <t xml:space="preserve">    </t>
    </r>
    <r>
      <rPr>
        <sz val="12"/>
        <color theme="1"/>
        <rFont val="Times New Roman"/>
        <family val="1"/>
      </rPr>
      <t>RCA</t>
    </r>
  </si>
  <si>
    <r>
      <rPr>
        <i/>
        <sz val="12"/>
        <color theme="1"/>
        <rFont val="Times New Roman"/>
        <family val="1"/>
      </rPr>
      <t xml:space="preserve">(4 points) </t>
    </r>
    <r>
      <rPr>
        <sz val="12"/>
        <color theme="1"/>
        <rFont val="Times New Roman"/>
        <family val="1"/>
      </rPr>
      <t xml:space="preserve"> Calculate the January 1, 2026 account balances in the following:</t>
    </r>
  </si>
  <si>
    <r>
      <rPr>
        <sz val="7"/>
        <color rgb="FF000000"/>
        <rFont val="Times New Roman"/>
        <family val="1"/>
      </rPr>
      <t xml:space="preserve">•       </t>
    </r>
    <r>
      <rPr>
        <sz val="12"/>
        <color rgb="FF000000"/>
        <rFont val="Times New Roman"/>
        <family val="1"/>
      </rPr>
      <t>Account transfers are assumed to occur on December 31 each year.</t>
    </r>
  </si>
  <si>
    <r>
      <rPr>
        <sz val="7"/>
        <color rgb="FF000000"/>
        <rFont val="Times New Roman"/>
        <family val="1"/>
      </rPr>
      <t xml:space="preserve">•       </t>
    </r>
    <r>
      <rPr>
        <sz val="12"/>
        <color rgb="FF000000"/>
        <rFont val="Times New Roman"/>
        <family val="1"/>
      </rPr>
      <t>The executive withdraws $100,000 on July 1, 2025.</t>
    </r>
  </si>
  <si>
    <r>
      <rPr>
        <sz val="7"/>
        <color rgb="FF000000"/>
        <rFont val="Times New Roman"/>
        <family val="1"/>
      </rPr>
      <t xml:space="preserve">•       </t>
    </r>
    <r>
      <rPr>
        <sz val="12"/>
        <color rgb="FF000000"/>
        <rFont val="Times New Roman"/>
        <family val="1"/>
      </rPr>
      <t>The executive retires on December 1, 2024 with an initial withdrawal of $50,000.</t>
    </r>
  </si>
  <si>
    <r>
      <rPr>
        <sz val="7"/>
        <color rgb="FF000000"/>
        <rFont val="Times New Roman"/>
        <family val="1"/>
      </rPr>
      <t xml:space="preserve">•       </t>
    </r>
    <r>
      <rPr>
        <sz val="12"/>
        <color rgb="FF000000"/>
        <rFont val="Times New Roman"/>
        <family val="1"/>
      </rPr>
      <t>Assume all income is realized in the year it is earned.</t>
    </r>
  </si>
  <si>
    <r>
      <rPr>
        <sz val="7"/>
        <color rgb="FF000000"/>
        <rFont val="Times New Roman"/>
        <family val="1"/>
      </rPr>
      <t xml:space="preserve">•       </t>
    </r>
    <r>
      <rPr>
        <sz val="12"/>
        <color rgb="FF000000"/>
        <rFont val="Times New Roman"/>
        <family val="1"/>
      </rPr>
      <t>The executive’s account earns 5% annually.</t>
    </r>
  </si>
  <si>
    <r>
      <rPr>
        <sz val="7"/>
        <color rgb="FF000000"/>
        <rFont val="Times New Roman"/>
        <family val="1"/>
      </rPr>
      <t xml:space="preserve">•       </t>
    </r>
    <r>
      <rPr>
        <sz val="12"/>
        <color rgb="FF000000"/>
        <rFont val="Times New Roman"/>
        <family val="1"/>
      </rPr>
      <t>Contributions to the RTA are made at the same time as the above contributions to the RCA.</t>
    </r>
  </si>
  <si>
    <r>
      <rPr>
        <sz val="7"/>
        <color rgb="FF000000"/>
        <rFont val="Times New Roman"/>
        <family val="1"/>
      </rPr>
      <t xml:space="preserve">•       </t>
    </r>
    <r>
      <rPr>
        <sz val="12"/>
        <color rgb="FF000000"/>
        <rFont val="Times New Roman"/>
        <family val="1"/>
      </rPr>
      <t>A refundable taxable account (RTA) has been set up for the DC SERP.</t>
    </r>
  </si>
  <si>
    <r>
      <rPr>
        <sz val="7"/>
        <color rgb="FF000000"/>
        <rFont val="Times New Roman"/>
        <family val="1"/>
      </rPr>
      <t xml:space="preserve">•       </t>
    </r>
    <r>
      <rPr>
        <sz val="12"/>
        <color rgb="FF000000"/>
        <rFont val="Times New Roman"/>
        <family val="1"/>
      </rPr>
      <t>The plan is fully funded.</t>
    </r>
  </si>
  <si>
    <t>You are given the following executive scenario:</t>
  </si>
  <si>
    <t>Contribution for current service cost on January 1, 2024</t>
  </si>
  <si>
    <t>Contribution for current service cost on January 1, 2023</t>
  </si>
  <si>
    <r>
      <rPr>
        <i/>
        <sz val="12"/>
        <color theme="1"/>
        <rFont val="Times New Roman"/>
        <family val="1"/>
      </rPr>
      <t xml:space="preserve">(4 points)  </t>
    </r>
    <r>
      <rPr>
        <sz val="12"/>
        <color theme="1"/>
        <rFont val="Times New Roman"/>
        <family val="1"/>
      </rPr>
      <t>Calculate the January 1, 2026 account balances in the following:</t>
    </r>
  </si>
  <si>
    <t>Granted past service contributions are paid in full to the retirement compensation arrangement (RCA) on January 1, 2023</t>
  </si>
  <si>
    <t>Company ABC has decided to implement a defined contribution (DC) SERP effective January 1, 2023 with the following provisions:</t>
  </si>
  <si>
    <t>(from RTA)</t>
  </si>
  <si>
    <t>(from RCA)</t>
  </si>
  <si>
    <t>Payments on Jan 1st, 2026 :</t>
  </si>
  <si>
    <t>Account value after transfer - 2025-12-31</t>
  </si>
  <si>
    <t>Account value before transfer</t>
  </si>
  <si>
    <t>Investment income on contributions (July 1st to Dec. 31st)</t>
  </si>
  <si>
    <t>Second withdrawal (July 1st)</t>
  </si>
  <si>
    <t>Investment income on contributions (Jan 1st to July 1st)</t>
  </si>
  <si>
    <t>Account value - 2025-01-01</t>
  </si>
  <si>
    <t>Account value after transfer - 2024-12-31</t>
  </si>
  <si>
    <t>Investment income (Dec 1st to Dec 31 st)</t>
  </si>
  <si>
    <t>First withdrawal (Dec. 1st)</t>
  </si>
  <si>
    <t>Investment income on contributions (Jan 1st to Dec. 1st)</t>
  </si>
  <si>
    <t>Account value - 2024-01-01</t>
  </si>
  <si>
    <t>Account value after transfer - 2023-12-31</t>
  </si>
  <si>
    <t>Transfer to RTA (50 % of investment income)</t>
  </si>
  <si>
    <t>Investment income on contributions</t>
  </si>
  <si>
    <t>Account value - 2023-01-01</t>
  </si>
  <si>
    <t>Your review comments</t>
  </si>
  <si>
    <t>Gain/(Loss) amount</t>
  </si>
  <si>
    <t>Source</t>
  </si>
  <si>
    <t>(8 points) Assess the reasonableness of the gain/(loss) analysis completed by your analyst below:</t>
  </si>
  <si>
    <t>Solvency Three</t>
  </si>
  <si>
    <t>Going concern Three</t>
  </si>
  <si>
    <t>Going concern Two</t>
  </si>
  <si>
    <t>Going concern One</t>
  </si>
  <si>
    <t>Date of last payment</t>
  </si>
  <si>
    <t>Start date</t>
  </si>
  <si>
    <t>Date established</t>
  </si>
  <si>
    <t>2023 employer minimum contribution requirements</t>
  </si>
  <si>
    <t>(4 points) Calculate the minimum required employer contributions for 2023 and the special payment schedule resulting from the valuation</t>
  </si>
  <si>
    <t>Going concern excess/(shortfall) at 1/1/2023</t>
  </si>
  <si>
    <t>Going concern value of assets</t>
  </si>
  <si>
    <t>(10 points) Calculate the funded status of the plan on going concern and solvency bases at January 1, 2023.</t>
  </si>
  <si>
    <r>
      <rPr>
        <sz val="12"/>
        <color rgb="FF002060"/>
        <rFont val="Times New Roman"/>
        <family val="1"/>
      </rPr>
      <t xml:space="preserve">ä </t>
    </r>
    <r>
      <rPr>
        <vertAlign val="subscript"/>
        <sz val="12"/>
        <color rgb="FF002060"/>
        <rFont val="Times New Roman"/>
        <family val="1"/>
      </rPr>
      <t xml:space="preserve">70 </t>
    </r>
    <r>
      <rPr>
        <vertAlign val="superscript"/>
        <sz val="12"/>
        <color rgb="FF002060"/>
        <rFont val="Times New Roman"/>
        <family val="1"/>
      </rPr>
      <t>(12)</t>
    </r>
  </si>
  <si>
    <r>
      <rPr>
        <sz val="12"/>
        <color rgb="FF002060"/>
        <rFont val="Times New Roman"/>
        <family val="1"/>
      </rPr>
      <t xml:space="preserve">ä </t>
    </r>
    <r>
      <rPr>
        <vertAlign val="subscript"/>
        <sz val="12"/>
        <color rgb="FF002060"/>
        <rFont val="Times New Roman"/>
        <family val="1"/>
      </rPr>
      <t xml:space="preserve">66 </t>
    </r>
    <r>
      <rPr>
        <vertAlign val="superscript"/>
        <sz val="12"/>
        <color rgb="FF002060"/>
        <rFont val="Times New Roman"/>
        <family val="1"/>
      </rPr>
      <t>(12)</t>
    </r>
  </si>
  <si>
    <r>
      <t>20|</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</si>
  <si>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19|</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</si>
  <si>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18|</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</si>
  <si>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17|</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</si>
  <si>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16|</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</si>
  <si>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15|</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</si>
  <si>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14|</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</si>
  <si>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13|</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</si>
  <si>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12|</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</si>
  <si>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11|</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</si>
  <si>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r>
      <t>10|</t>
    </r>
    <r>
      <rPr>
        <sz val="12"/>
        <color rgb="FF002060"/>
        <rFont val="Times New Roman"/>
        <family val="1"/>
      </rPr>
      <t xml:space="preserve">ä </t>
    </r>
    <r>
      <rPr>
        <vertAlign val="subscript"/>
        <sz val="12"/>
        <color rgb="FF002060"/>
        <rFont val="Times New Roman"/>
        <family val="1"/>
      </rPr>
      <t>45</t>
    </r>
    <r>
      <rPr>
        <vertAlign val="superscript"/>
        <sz val="12"/>
        <color rgb="FF002060"/>
        <rFont val="Times New Roman"/>
        <family val="1"/>
      </rPr>
      <t>(12)</t>
    </r>
  </si>
  <si>
    <t>Solvency Annuity Factors without indexation:</t>
  </si>
  <si>
    <r>
      <rPr>
        <sz val="12"/>
        <color rgb="FF002060"/>
        <rFont val="Times New Roman"/>
        <family val="1"/>
      </rPr>
      <t xml:space="preserve">ä </t>
    </r>
    <r>
      <rPr>
        <vertAlign val="subscript"/>
        <sz val="12"/>
        <color rgb="FF002060"/>
        <rFont val="Times New Roman"/>
        <family val="1"/>
      </rPr>
      <t xml:space="preserve">69 </t>
    </r>
    <r>
      <rPr>
        <vertAlign val="superscript"/>
        <sz val="12"/>
        <color rgb="FF002060"/>
        <rFont val="Times New Roman"/>
        <family val="1"/>
      </rPr>
      <t>(12)</t>
    </r>
  </si>
  <si>
    <r>
      <rPr>
        <sz val="12"/>
        <color rgb="FF002060"/>
        <rFont val="Times New Roman"/>
        <family val="1"/>
      </rPr>
      <t xml:space="preserve">ä </t>
    </r>
    <r>
      <rPr>
        <vertAlign val="subscript"/>
        <sz val="12"/>
        <color rgb="FF002060"/>
        <rFont val="Times New Roman"/>
        <family val="1"/>
      </rPr>
      <t xml:space="preserve">68 </t>
    </r>
    <r>
      <rPr>
        <vertAlign val="superscript"/>
        <sz val="12"/>
        <color rgb="FF002060"/>
        <rFont val="Times New Roman"/>
        <family val="1"/>
      </rPr>
      <t>(12)</t>
    </r>
  </si>
  <si>
    <r>
      <rPr>
        <sz val="12"/>
        <color rgb="FF002060"/>
        <rFont val="Times New Roman"/>
        <family val="1"/>
      </rPr>
      <t xml:space="preserve">ä </t>
    </r>
    <r>
      <rPr>
        <vertAlign val="subscript"/>
        <sz val="12"/>
        <color rgb="FF002060"/>
        <rFont val="Times New Roman"/>
        <family val="1"/>
      </rPr>
      <t xml:space="preserve">67 </t>
    </r>
    <r>
      <rPr>
        <vertAlign val="superscript"/>
        <sz val="12"/>
        <color rgb="FF002060"/>
        <rFont val="Times New Roman"/>
        <family val="1"/>
      </rPr>
      <t>(12)</t>
    </r>
  </si>
  <si>
    <t>Annuity factors (all annuity factors are for Life only)</t>
  </si>
  <si>
    <t>Demographic information:</t>
  </si>
  <si>
    <t>* Excluding the buy-in annuuity contract</t>
  </si>
  <si>
    <t>December 31 market value of assets:*</t>
  </si>
  <si>
    <t>Investment return:</t>
  </si>
  <si>
    <t>Administration expenses:</t>
  </si>
  <si>
    <t>Transfer in from insurer:</t>
  </si>
  <si>
    <t>Benefit payments:</t>
  </si>
  <si>
    <t>Total employer contributions:*</t>
  </si>
  <si>
    <t>January 1 market value of assets:*</t>
  </si>
  <si>
    <t>Asset information (in $):</t>
  </si>
  <si>
    <t>Actual CPI increase for 2022:</t>
  </si>
  <si>
    <t>4.30% per year for 10 years; 4.70% per year thereafter</t>
  </si>
  <si>
    <t>Transfer value discount rates:</t>
  </si>
  <si>
    <t>Annuity purchase discount rate:</t>
  </si>
  <si>
    <t>Going concern discount rate:</t>
  </si>
  <si>
    <t>You are asked to complete the January 1, 2023 actuarial valuation based on the information provided below. ID6 died and no other decrements occurred in 2022.</t>
  </si>
  <si>
    <t>Amortization schedules:</t>
  </si>
  <si>
    <t>2022 minimum required employer contributions</t>
  </si>
  <si>
    <t>(2 points) Calculate the minimum required employer contributions for 2022 and the new amortzation payment schedule.</t>
  </si>
  <si>
    <t>Solvency ratio</t>
  </si>
  <si>
    <t>Going concern excess/(shortfall) at 1/1/2022</t>
  </si>
  <si>
    <t>Going concern Value of Assets</t>
  </si>
  <si>
    <t xml:space="preserve">(3 points) Calculate the funded status of the plan on going concern and solvency bases at January 1, 2022. </t>
  </si>
  <si>
    <t>Solvency:</t>
  </si>
  <si>
    <t>Going concern:</t>
  </si>
  <si>
    <t>last payment</t>
  </si>
  <si>
    <t>payment</t>
  </si>
  <si>
    <t>Date of first</t>
  </si>
  <si>
    <t>amortization</t>
  </si>
  <si>
    <t>Amortization schedules effective as at January 1, 2021</t>
  </si>
  <si>
    <t>Insured pensioners (buy-in):</t>
  </si>
  <si>
    <t>Non-insured pensioners:</t>
  </si>
  <si>
    <t>Active members:</t>
  </si>
  <si>
    <t xml:space="preserve">Solvency basis </t>
  </si>
  <si>
    <t>Going-concern basis (excluding Indexation)</t>
  </si>
  <si>
    <t>Going-concern basis 
(including Indexation)</t>
  </si>
  <si>
    <t>Liability information (as at January 1, 2022 in $):</t>
  </si>
  <si>
    <t>* Excluding the buy-in annuity contract</t>
  </si>
  <si>
    <t>Investment return:*</t>
  </si>
  <si>
    <t>Employer special payments:</t>
  </si>
  <si>
    <t>Employer normal cost contribution:</t>
  </si>
  <si>
    <t>Lifetime only</t>
  </si>
  <si>
    <t>January 1, 2022 Monthly Pension:</t>
  </si>
  <si>
    <t>ID6 (insured annuity)</t>
  </si>
  <si>
    <t>ID5 (insured annuity)</t>
  </si>
  <si>
    <t>Normal Cost (excl. Indexation):</t>
  </si>
  <si>
    <t>Normal Cost (incl. Indexation):</t>
  </si>
  <si>
    <t>Earnings 2021:</t>
  </si>
  <si>
    <t>Earnings 2020:</t>
  </si>
  <si>
    <t>Earnings 2019:</t>
  </si>
  <si>
    <t>Active Members</t>
  </si>
  <si>
    <t>Membership information (as at January 1, 2022):</t>
  </si>
  <si>
    <t>Cost of living adjustments are excluded</t>
  </si>
  <si>
    <t>Excludable benefits:</t>
  </si>
  <si>
    <t>Solvency asset valuation:</t>
  </si>
  <si>
    <t>Under age 55: 100%; over age 55: 0%</t>
  </si>
  <si>
    <t>Percentage of active members receiving settlement by commuted value transfer:</t>
  </si>
  <si>
    <t>2.10% per year for 10 years; 3.10% per year thereafter</t>
  </si>
  <si>
    <t xml:space="preserve">  </t>
  </si>
  <si>
    <t>Beginning of year (BOY)</t>
  </si>
  <si>
    <t xml:space="preserve">Timing of decrements: </t>
  </si>
  <si>
    <t>other ages</t>
  </si>
  <si>
    <t>(assume 100% of terminations are involuntary):</t>
  </si>
  <si>
    <t>Projected Unit Credit prorated on service</t>
  </si>
  <si>
    <t>Asset gains and losses, determined with reference to the going concern discount rate, smoothed over a 3-year period.  Cashflow assumed to occur in the middle of the year.</t>
  </si>
  <si>
    <t>Asset valuation method (excluding the value of the buy-in annuity contract):</t>
  </si>
  <si>
    <t>You are given the following information at January 1, 2022:</t>
  </si>
  <si>
    <t xml:space="preserve"> •	  Your client wants to contribute the minimum allowable under the Pension Benefits Act (Ontario)</t>
  </si>
  <si>
    <t xml:space="preserve"> •	  On January 1, 2019, a buy-in group annuity was purchased for pensioners ID5 and ID6</t>
  </si>
  <si>
    <t>Other information:</t>
  </si>
  <si>
    <t>100% of the increase in the Consumer Price Index (CPI)</t>
  </si>
  <si>
    <r>
      <rPr>
        <u/>
        <sz val="12"/>
        <color rgb="FF002060"/>
        <rFont val="Times New Roman"/>
        <family val="1"/>
      </rPr>
      <t>Less than 10 years of service:</t>
    </r>
    <r>
      <rPr>
        <sz val="12"/>
        <color rgb="FF002060"/>
        <rFont val="Times New Roman"/>
        <family val="1"/>
      </rPr>
      <t xml:space="preserve"> benefit is reduced 5% per year from NRA</t>
    </r>
  </si>
  <si>
    <r>
      <rPr>
        <u/>
        <sz val="12"/>
        <color rgb="FF002060"/>
        <rFont val="Times New Roman"/>
        <family val="1"/>
      </rPr>
      <t>10 or more years of service:</t>
    </r>
    <r>
      <rPr>
        <sz val="12"/>
        <color rgb="FF002060"/>
        <rFont val="Times New Roman"/>
        <family val="1"/>
      </rPr>
      <t xml:space="preserve"> benefit is reduced 3% per year from age 62</t>
    </r>
  </si>
  <si>
    <t>1.8% of Final 3-year Average Earnings (FAE3) multiplied by years of service</t>
  </si>
  <si>
    <t xml:space="preserve">Your client sponsors a non-contributory defined benefit pension plan registered in Ontario. </t>
  </si>
  <si>
    <t xml:space="preserve">(27 points) </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</si>
  <si>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</si>
  <si>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</si>
  <si>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</si>
  <si>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</si>
  <si>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</si>
  <si>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</si>
  <si>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</si>
  <si>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</si>
  <si>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</si>
  <si>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</si>
  <si>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RET 301 - Actuarial Topics for Canadian Retirement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</si>
</sst>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0.000%"/>
    <numFmt numFmtId="166" formatCode="_(* #,##0.0_);_(* \(#,##0.0\);_(* &quot;-&quot;??_);_(@_)"/>
    <numFmt numFmtId="167" formatCode="_(&quot;$&quot;* #,##0_);_(&quot;$&quot;* \(#,##0\);_(&quot;$&quot;* &quot;-&quot;??_);_(@_)"/>
    <numFmt numFmtId="168" formatCode="0.0"/>
    <numFmt numFmtId="169" formatCode="mmm\ yyyy"/>
    <numFmt numFmtId="170" formatCode="&quot;$&quot;#,##0;[Red]\-&quot;$&quot;#,##0"/>
    <numFmt numFmtId="171" formatCode="[$-409]mmmm\ d\,\ yyyy;@"/>
    <numFmt numFmtId="172" formatCode="[$-F800]dddd\,\ mmmm\ dd\,\ yyyy"/>
    <numFmt numFmtId="173" formatCode="[$$-409]#,##0_);\([$$-409]#,##0\)"/>
    <numFmt numFmtId="174" formatCode="mmmm\ d\,\ yyyy"/>
    <numFmt numFmtId="175" formatCode="_(* #,##0_);_(* \(#,##0\);_(* &quot;-&quot;??_);_(@_)"/>
    <numFmt numFmtId="176" formatCode="_-&quot;$&quot;* #,##0.00_-;\-&quot;$&quot;* #,##0.00_-;_-&quot;$&quot;* &quot;-&quot;??_-;_-@_-"/>
    <numFmt numFmtId="177" formatCode="_-&quot;$&quot;* #,##0_-;\-&quot;$&quot;* #,##0_-;_-&quot;$&quot;* &quot;-&quot;??_-;_-@_-"/>
    <numFmt numFmtId="178" formatCode="m\/d\/yyyy"/>
    <numFmt numFmtId="179" formatCode="&quot;$&quot;#,##0"/>
    <numFmt numFmtId="180" formatCode="_-* #,##0.00_-;\-* #,##0.00_-;_-* &quot;-&quot;??_-;_-@_-"/>
    <numFmt numFmtId="181" formatCode="_-* #,##0_-;\-* #,##0_-;_-* &quot;-&quot;??_-;_-@_-"/>
    <numFmt numFmtId="182" formatCode="#,##0_ ;\-#,##0\ "/>
    <numFmt numFmtId="183" formatCode="_(* #,##0.0_);_(* \(#,##0.0\);_(* &quot;-&quot;?_);_(@_)"/>
    <numFmt numFmtId="184" formatCode="_(* #,##0.000_);_(* \(#,##0.000\);_(* &quot;-&quot;?_);_(@_)"/>
    <numFmt numFmtId="185" formatCode="0.0000"/>
    <numFmt numFmtId="186" formatCode="0.0000%"/>
    <numFmt numFmtId="187" formatCode="[$-409]mmmm\ yyyy;@"/>
    <numFmt numFmtId="188" formatCode="0.000000%"/>
    <numFmt numFmtId="189" formatCode="0.00000%"/>
    <numFmt numFmtId="190" formatCode="_ * #,##0.00_)_ ;_ * \(#,##0.00\)_ ;_ * &quot;-&quot;??_)_ ;_ @_ "/>
    <numFmt numFmtId="191" formatCode="_-* #,##0.000_-;\-* #,##0.000_-;_-* &quot;-&quot;??_-;_-@_-"/>
    <numFmt numFmtId="192" formatCode="_-* #,##0.000_-;\-* #,##0.000_-;_-* &quot;-&quot;???_-;_-@_-"/>
    <numFmt numFmtId="193" formatCode="_-* #,##0.0000_-;\-* #,##0.0000_-;_-* &quot;-&quot;??_-;_-@_-"/>
    <numFmt numFmtId="194" formatCode="0.000000"/>
    <numFmt numFmtId="195" formatCode="_ * #,##0.00_)\ &quot;$&quot;_ ;_ * \(#,##0.00\)\ &quot;$&quot;_ ;_ * &quot;-&quot;??_)\ &quot;$&quot;_ ;_ @_ "/>
    <numFmt numFmtId="196" formatCode="0.000"/>
    <numFmt numFmtId="197" formatCode="&quot;$&quot;#,##0.00;[Red]\-&quot;$&quot;#,##0.00"/>
    <numFmt numFmtId="198" formatCode="mm\/dd\/yyyy"/>
    <numFmt numFmtId="199" formatCode="#,##0.00\ &quot;$&quot;_);[Red]\(#,##0.00\ &quot;$&quot;\)"/>
    <numFmt numFmtId="200" formatCode="#,##0\ &quot;$&quot;_);[Red]\(#,##0\ &quot;$&quot;\)"/>
    <numFmt numFmtId="201" formatCode="#,##0.000"/>
  </numFmts>
  <fonts count="137">
    <font>
      <sz val="11"/>
      <color theme="1"/>
      <name val="Aptos Narrow"/>
      <family val="2"/>
      <scheme val="minor"/>
    </font>
    <font>
      <sz val="11"/>
      <color theme="1"/>
      <name val="Aptos Narrow"/>
      <family val="2"/>
      <scheme val="minor"/>
    </font>
    <font>
      <b/>
      <sz val="12"/>
      <color rgb="FF002060"/>
      <name val="Times New Roman"/>
      <family val="1"/>
    </font>
    <font>
      <sz val="12"/>
      <color rgb="FF002060"/>
      <name val="Times New Roman"/>
      <family val="1"/>
    </font>
    <font>
      <sz val="12"/>
      <color theme="1"/>
      <name val="Times New Roman"/>
      <family val="1"/>
    </font>
    <font>
      <b/>
      <sz val="14"/>
      <color rgb="FF002060"/>
      <name val="Times New Roman"/>
      <family val="1"/>
    </font>
    <font>
      <i/>
      <sz val="12"/>
      <color rgb="FF002060"/>
      <name val="Times New Roman"/>
      <family val="1"/>
    </font>
    <font>
      <b/>
      <sz val="11"/>
      <color rgb="FF002060"/>
      <name val="Aptos Narrow"/>
      <family val="2"/>
      <scheme val="minor"/>
    </font>
    <font>
      <sz val="11"/>
      <color rgb="FF002060"/>
      <name val="Aptos Narrow"/>
      <family val="2"/>
      <scheme val="minor"/>
    </font>
    <font>
      <sz val="12"/>
      <color rgb="FF002060"/>
      <name val="Times New Roman"/>
      <family val="2"/>
    </font>
    <font>
      <sz val="12"/>
      <color rgb="FF002060"/>
      <name val="Verdana"/>
      <family val="2"/>
    </font>
    <font>
      <b/>
      <u/>
      <sz val="12"/>
      <color rgb="FF002060"/>
      <name val="Times New Roman"/>
      <family val="1"/>
    </font>
    <font>
      <b/>
      <sz val="11"/>
      <color theme="3"/>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2"/>
      <color rgb="FFFF0000"/>
      <name val="Times New Roman"/>
      <family val="1"/>
    </font>
    <font>
      <sz val="11"/>
      <color rgb="FFFF0000"/>
      <name val="Times New Roman"/>
      <family val="1"/>
    </font>
    <font>
      <b/>
      <sz val="11"/>
      <color rgb="FFFF0000"/>
      <name val="Times New Roman"/>
      <family val="1"/>
    </font>
    <font>
      <vertAlign val="subscript"/>
      <sz val="12"/>
      <color rgb="FF002060"/>
      <name val="Times New Roman"/>
      <family val="1"/>
    </font>
    <font>
      <vertAlign val="superscript"/>
      <sz val="12"/>
      <color rgb="FF002060"/>
      <name val="Times New Roman"/>
      <family val="1"/>
    </font>
    <font>
      <b/>
      <sz val="11"/>
      <color rgb="FFFF0000"/>
      <name val="Aptos Narrow"/>
      <family val="2"/>
      <scheme val="minor"/>
    </font>
    <font>
      <sz val="12"/>
      <color theme="4" tint="-0.249977111117893"/>
      <name val="Times New Roman"/>
      <family val="1"/>
    </font>
    <font>
      <i/>
      <sz val="12"/>
      <color theme="4" tint="-0.249977111117893"/>
      <name val="Times New Roman"/>
      <family val="1"/>
    </font>
    <font>
      <vertAlign val="subscript"/>
      <sz val="12"/>
      <color theme="4" tint="-0.249977111117893"/>
      <name val="Times New Roman"/>
      <family val="1"/>
    </font>
    <font>
      <vertAlign val="superscript"/>
      <sz val="12"/>
      <color theme="4" tint="-0.249977111117893"/>
      <name val="Times New Roman"/>
      <family val="1"/>
    </font>
    <font>
      <b/>
      <u/>
      <sz val="12"/>
      <color theme="4" tint="-0.249977111117893"/>
      <name val="Times New Roman"/>
      <family val="1"/>
    </font>
    <font>
      <b/>
      <sz val="12"/>
      <color theme="4" tint="-0.249977111117893"/>
      <name val="Times New Roman"/>
      <family val="1"/>
    </font>
    <font>
      <b/>
      <sz val="14"/>
      <color theme="4" tint="-0.249977111117893"/>
      <name val="Times New Roman"/>
      <family val="1"/>
    </font>
    <font>
      <sz val="12"/>
      <color rgb="FF305496"/>
      <name val="Times New Roman"/>
      <family val="1"/>
    </font>
    <font>
      <i/>
      <sz val="12"/>
      <color rgb="FF305496"/>
      <name val="Times New Roman"/>
      <family val="1"/>
    </font>
    <font>
      <b/>
      <sz val="12"/>
      <color rgb="FF305496"/>
      <name val="Times New Roman"/>
      <family val="1"/>
    </font>
    <font>
      <b/>
      <u/>
      <sz val="12"/>
      <color rgb="FF305496"/>
      <name val="Times New Roman"/>
      <family val="1"/>
    </font>
    <font>
      <vertAlign val="subscript"/>
      <sz val="12"/>
      <color rgb="FF305496"/>
      <name val="Times New Roman"/>
      <family val="1"/>
    </font>
    <font>
      <vertAlign val="superscript"/>
      <sz val="12"/>
      <color rgb="FF305496"/>
      <name val="Times New Roman"/>
      <family val="1"/>
    </font>
    <font>
      <sz val="11"/>
      <color rgb="FF002060"/>
      <name val="Times New Roman"/>
      <family val="1"/>
    </font>
    <font>
      <sz val="12"/>
      <name val="Times New Roman"/>
      <family val="1"/>
    </font>
    <font>
      <b/>
      <sz val="12"/>
      <color rgb="FF7030A0"/>
      <name val="Times New Roman"/>
      <family val="1"/>
    </font>
    <font>
      <sz val="12"/>
      <color rgb="FF7030A0"/>
      <name val="Times New Roman"/>
      <family val="1"/>
    </font>
    <font>
      <b/>
      <sz val="12"/>
      <color theme="1"/>
      <name val="Times New Roman"/>
      <family val="1"/>
    </font>
    <font>
      <b/>
      <sz val="12"/>
      <name val="Times New Roman"/>
      <family val="1"/>
    </font>
    <font>
      <i/>
      <u/>
      <sz val="12"/>
      <color rgb="FF002060"/>
      <name val="Times New Roman"/>
      <family val="1"/>
    </font>
    <font>
      <i/>
      <sz val="12"/>
      <color theme="1"/>
      <name val="Times New Roman"/>
      <family val="1"/>
    </font>
    <font>
      <u/>
      <sz val="12"/>
      <color rgb="FF002060"/>
      <name val="Times New Roman"/>
      <family val="1"/>
    </font>
    <font>
      <u/>
      <sz val="12"/>
      <color theme="1"/>
      <name val="Times New Roman"/>
      <family val="1"/>
    </font>
    <font>
      <i/>
      <sz val="12"/>
      <color rgb="FFFF0000"/>
      <name val="Times New Roman"/>
      <family val="1"/>
    </font>
    <font>
      <i/>
      <sz val="12"/>
      <name val="Times New Roman"/>
      <family val="1"/>
    </font>
    <font>
      <u/>
      <sz val="12"/>
      <name val="Times New Roman"/>
      <family val="1"/>
    </font>
    <font>
      <b/>
      <sz val="11"/>
      <color rgb="FF000000"/>
      <name val="Calibri"/>
      <family val="2"/>
    </font>
    <font>
      <u/>
      <sz val="11"/>
      <color theme="1"/>
      <name val="Aptos Narrow"/>
      <family val="2"/>
      <scheme val="minor"/>
    </font>
    <font>
      <sz val="8"/>
      <color rgb="FF000000"/>
      <name val="Calibri"/>
      <family val="2"/>
    </font>
    <font>
      <sz val="10"/>
      <color rgb="FF002060"/>
      <name val="Arial"/>
      <family val="2"/>
    </font>
    <font>
      <sz val="10"/>
      <color rgb="FF7030A0"/>
      <name val="Arial"/>
      <family val="2"/>
    </font>
    <font>
      <i/>
      <sz val="10"/>
      <color rgb="FF002060"/>
      <name val="Arial"/>
      <family val="2"/>
    </font>
    <font>
      <b/>
      <sz val="10"/>
      <color rgb="FF002060"/>
      <name val="Arial"/>
      <family val="2"/>
    </font>
    <font>
      <b/>
      <u/>
      <sz val="10"/>
      <color rgb="FF002060"/>
      <name val="Arial"/>
      <family val="2"/>
    </font>
    <font>
      <b/>
      <sz val="10"/>
      <color theme="5"/>
      <name val="Arial"/>
      <family val="2"/>
    </font>
    <font>
      <u/>
      <sz val="10"/>
      <color rgb="FF7030A0"/>
      <name val="Arial"/>
      <family val="2"/>
    </font>
    <font>
      <u/>
      <sz val="10"/>
      <color rgb="FF002060"/>
      <name val="Arial"/>
      <family val="2"/>
    </font>
    <font>
      <sz val="10"/>
      <color rgb="FFFF0000"/>
      <name val="Arial"/>
      <family val="2"/>
    </font>
    <font>
      <sz val="10"/>
      <color theme="5"/>
      <name val="Arial"/>
      <family val="2"/>
    </font>
    <font>
      <sz val="9"/>
      <color theme="1"/>
      <name val="Arial"/>
      <family val="2"/>
    </font>
    <font>
      <sz val="9"/>
      <color rgb="FF0000FF"/>
      <name val="Arial"/>
      <family val="2"/>
    </font>
    <font>
      <i/>
      <sz val="9"/>
      <color rgb="FF0000FF"/>
      <name val="Arial"/>
      <family val="2"/>
    </font>
    <font>
      <b/>
      <sz val="9"/>
      <color theme="0"/>
      <name val="Arial"/>
      <family val="2"/>
    </font>
    <font>
      <b/>
      <sz val="9"/>
      <color rgb="FF0000FF"/>
      <name val="Arial"/>
      <family val="2"/>
    </font>
    <font>
      <sz val="9"/>
      <name val="Arial"/>
      <family val="2"/>
    </font>
    <font>
      <i/>
      <sz val="11"/>
      <color rgb="FF0000FF"/>
      <name val="Aptos Narrow"/>
      <family val="2"/>
      <scheme val="minor"/>
    </font>
    <font>
      <u val="singleAccounting"/>
      <sz val="9"/>
      <color rgb="FF0000FF"/>
      <name val="Arial"/>
      <family val="2"/>
    </font>
    <font>
      <u/>
      <sz val="9"/>
      <color rgb="FF0000FF"/>
      <name val="Arial"/>
      <family val="2"/>
    </font>
    <font>
      <i/>
      <u/>
      <sz val="9"/>
      <color rgb="FF0000FF"/>
      <name val="Arial"/>
      <family val="2"/>
    </font>
    <font>
      <b/>
      <u/>
      <sz val="9"/>
      <color rgb="FF0000FF"/>
      <name val="Arial"/>
      <family val="2"/>
    </font>
    <font>
      <sz val="9"/>
      <color theme="0"/>
      <name val="Arial"/>
      <family val="2"/>
    </font>
    <font>
      <b/>
      <sz val="11"/>
      <color rgb="FF0000FF"/>
      <name val="Aptos Narrow"/>
      <family val="2"/>
      <scheme val="minor"/>
    </font>
    <font>
      <sz val="11"/>
      <color rgb="FF0000FF"/>
      <name val="Aptos Narrow"/>
      <family val="2"/>
      <scheme val="minor"/>
    </font>
    <font>
      <b/>
      <sz val="9"/>
      <name val="Arial"/>
      <family val="2"/>
    </font>
    <font>
      <u/>
      <sz val="9"/>
      <name val="Arial"/>
      <family val="2"/>
    </font>
    <font>
      <i/>
      <sz val="9"/>
      <name val="Arial"/>
      <family val="2"/>
    </font>
    <font>
      <i/>
      <sz val="11"/>
      <color theme="1"/>
      <name val="Aptos Narrow"/>
      <family val="2"/>
      <scheme val="minor"/>
    </font>
    <font>
      <sz val="11"/>
      <name val="Aptos Narrow"/>
      <family val="2"/>
      <scheme val="minor"/>
    </font>
    <font>
      <b/>
      <sz val="11"/>
      <color theme="9"/>
      <name val="Aptos Narrow"/>
      <family val="2"/>
      <scheme val="minor"/>
    </font>
    <font>
      <sz val="11"/>
      <color theme="9"/>
      <name val="Aptos Narrow"/>
      <family val="2"/>
      <scheme val="minor"/>
    </font>
    <font>
      <vertAlign val="subscript"/>
      <sz val="11"/>
      <color theme="1"/>
      <name val="Aptos Narrow"/>
      <family val="2"/>
      <scheme val="minor"/>
    </font>
    <font>
      <b/>
      <vertAlign val="subscript"/>
      <sz val="11"/>
      <color theme="1"/>
      <name val="Aptos Narrow"/>
      <family val="2"/>
      <scheme val="minor"/>
    </font>
    <font>
      <b/>
      <u/>
      <sz val="12"/>
      <color theme="1"/>
      <name val="Times New Roman"/>
      <family val="1"/>
    </font>
    <font>
      <sz val="12"/>
      <color rgb="FF000000"/>
      <name val="Times New Roman"/>
      <family val="1"/>
    </font>
    <font>
      <u/>
      <sz val="12"/>
      <color rgb="FF000000"/>
      <name val="Times New Roman"/>
      <family val="1"/>
    </font>
    <font>
      <sz val="10"/>
      <color rgb="FF002060"/>
      <name val="Times New Roman"/>
      <family val="1"/>
    </font>
    <font>
      <sz val="10"/>
      <name val="Times New Roman"/>
      <family val="1"/>
    </font>
    <font>
      <sz val="10"/>
      <color rgb="FFFF0000"/>
      <name val="Times New Roman"/>
      <family val="1"/>
    </font>
    <font>
      <b/>
      <sz val="10"/>
      <color theme="1"/>
      <name val="Aptos Narrow"/>
      <family val="2"/>
      <scheme val="minor"/>
    </font>
    <font>
      <sz val="10"/>
      <color theme="1"/>
      <name val="Aptos Narrow"/>
      <family val="2"/>
      <scheme val="minor"/>
    </font>
    <font>
      <b/>
      <sz val="11"/>
      <color rgb="FF0070C0"/>
      <name val="Aptos Narrow"/>
      <family val="2"/>
      <scheme val="minor"/>
    </font>
    <font>
      <u val="singleAccounting"/>
      <sz val="11"/>
      <color theme="4"/>
      <name val="Aptos Narrow"/>
      <family val="2"/>
      <scheme val="minor"/>
    </font>
    <font>
      <sz val="11"/>
      <color rgb="FF0070C0"/>
      <name val="Aptos Narrow"/>
      <family val="2"/>
      <scheme val="minor"/>
    </font>
    <font>
      <sz val="11"/>
      <color theme="4"/>
      <name val="Aptos Narrow"/>
      <family val="2"/>
      <scheme val="minor"/>
    </font>
    <font>
      <b/>
      <sz val="11"/>
      <name val="Aptos Narrow"/>
      <family val="2"/>
      <scheme val="minor"/>
    </font>
    <font>
      <i/>
      <sz val="11"/>
      <color rgb="FF002060"/>
      <name val="Times New Roman"/>
      <family val="1"/>
    </font>
    <font>
      <strike/>
      <sz val="11"/>
      <name val="Aptos Narrow"/>
      <family val="2"/>
      <scheme val="minor"/>
    </font>
    <font>
      <sz val="10"/>
      <color theme="1"/>
      <name val="Arial"/>
      <family val="2"/>
    </font>
    <font>
      <b/>
      <sz val="9"/>
      <color rgb="FFFF0000"/>
      <name val="Arial"/>
      <family val="2"/>
    </font>
    <font>
      <sz val="10"/>
      <color rgb="FF7030A0"/>
      <name val="Arial1"/>
    </font>
    <font>
      <b/>
      <u/>
      <sz val="10"/>
      <color rgb="FF7030A0"/>
      <name val="Arial1"/>
    </font>
    <font>
      <b/>
      <sz val="10"/>
      <color theme="1"/>
      <name val="Arial"/>
      <family val="2"/>
    </font>
    <font>
      <sz val="11"/>
      <color theme="4" tint="-0.249977111117893"/>
      <name val="Aptos Narrow"/>
      <family val="2"/>
      <scheme val="minor"/>
    </font>
    <font>
      <u/>
      <sz val="12"/>
      <color theme="4" tint="-0.249977111117893"/>
      <name val="Times New Roman"/>
      <family val="1"/>
    </font>
    <font>
      <b/>
      <i/>
      <sz val="12"/>
      <color theme="1"/>
      <name val="Times New Roman"/>
      <family val="1"/>
    </font>
    <font>
      <u val="singleAccounting"/>
      <sz val="12"/>
      <color theme="1"/>
      <name val="Times New Roman"/>
      <family val="1"/>
    </font>
    <font>
      <sz val="12"/>
      <color rgb="FF000000"/>
      <name val="Symbol"/>
      <family val="1"/>
      <charset val="2"/>
    </font>
    <font>
      <b/>
      <sz val="10"/>
      <color rgb="FF7030A0"/>
      <name val="Arial"/>
      <family val="2"/>
    </font>
    <font>
      <u/>
      <sz val="10"/>
      <color theme="1"/>
      <name val="Arial"/>
      <family val="2"/>
    </font>
    <font>
      <b/>
      <sz val="10"/>
      <color theme="4" tint="-0.249977111117893"/>
      <name val="Arial"/>
      <family val="2"/>
    </font>
    <font>
      <sz val="11"/>
      <color theme="3"/>
      <name val="Aptos Narrow"/>
      <family val="2"/>
      <scheme val="minor"/>
    </font>
    <font>
      <sz val="12"/>
      <color theme="3"/>
      <name val="Times New Roman"/>
      <family val="1"/>
    </font>
    <font>
      <i/>
      <sz val="12"/>
      <color theme="3"/>
      <name val="Times New Roman"/>
      <family val="1"/>
    </font>
    <font>
      <sz val="11"/>
      <color theme="1"/>
      <name val="Times New Roman"/>
      <family val="1"/>
    </font>
    <font>
      <u/>
      <sz val="12"/>
      <color rgb="FF305496"/>
      <name val="Times New Roman"/>
      <family val="1"/>
    </font>
    <font>
      <sz val="7"/>
      <color theme="1"/>
      <name val="Times New Roman"/>
      <family val="1"/>
    </font>
    <font>
      <sz val="7"/>
      <color rgb="FF000000"/>
      <name val="Times New Roman"/>
      <family val="1"/>
    </font>
    <font>
      <sz val="12"/>
      <color theme="1"/>
      <name val="Aptos Narrow"/>
      <family val="2"/>
      <scheme val="minor"/>
    </font>
    <font>
      <sz val="12"/>
      <color theme="1"/>
      <name val="Arial"/>
      <family val="2"/>
    </font>
    <font>
      <sz val="12"/>
      <color rgb="FF002060"/>
      <name val="Arial"/>
      <family val="2"/>
    </font>
    <font>
      <sz val="12"/>
      <color theme="5" tint="-0.249977111117893"/>
      <name val="Times New Roman"/>
      <family val="1"/>
    </font>
    <font>
      <sz val="12"/>
      <color rgb="FFFF0000"/>
      <name val="Arial"/>
      <family val="2"/>
    </font>
    <font>
      <sz val="12"/>
      <color theme="5"/>
      <name val="Times New Roman"/>
      <family val="1"/>
    </font>
    <font>
      <b/>
      <sz val="12"/>
      <color rgb="FF7030A0"/>
      <name val="Arial"/>
      <family val="2"/>
    </font>
    <font>
      <sz val="12"/>
      <name val="Arial"/>
      <family val="2"/>
    </font>
    <font>
      <strike/>
      <sz val="12"/>
      <name val="Times New Roman"/>
      <family val="1"/>
    </font>
    <font>
      <strike/>
      <sz val="12"/>
      <color rgb="FF002060"/>
      <name val="Times New Roman"/>
      <family val="1"/>
    </font>
    <font>
      <sz val="12"/>
      <color rgb="FF305496"/>
      <name val="Arial"/>
      <family val="2"/>
    </font>
    <font>
      <b/>
      <sz val="12"/>
      <color theme="5" tint="-0.249977111117893"/>
      <name val="Arial"/>
      <family val="2"/>
    </font>
    <font>
      <b/>
      <sz val="12"/>
      <color theme="5" tint="-0.249977111117893"/>
      <name val="Times New Roman"/>
      <family val="1"/>
    </font>
    <font>
      <b/>
      <sz val="26"/>
      <color theme="4"/>
      <name val="Calibri Light"/>
      <family val="2"/>
    </font>
    <font>
      <sz val="16"/>
      <color theme="4"/>
      <name val="Aptos Display"/>
      <family val="2"/>
      <scheme val="major"/>
    </font>
    <font>
      <sz val="11"/>
      <name val="Aptos Narrow"/>
      <family val="2"/>
    </font>
    <font>
      <u/>
      <sz val="11"/>
      <color theme="10"/>
      <name val="Aptos Narrow"/>
      <family val="2"/>
      <scheme val="minor"/>
    </font>
  </fonts>
  <fills count="23">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3" tint="-0.499984740745262"/>
        <bgColor indexed="64"/>
      </patternFill>
    </fill>
    <fill>
      <patternFill patternType="solid">
        <fgColor theme="8" tint="0.79998168889431442"/>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tint="-0.14999847407452621"/>
        <bgColor rgb="FF000000"/>
      </patternFill>
    </fill>
    <fill>
      <patternFill patternType="solid">
        <fgColor rgb="FFD9D9D9"/>
        <bgColor rgb="FF000000"/>
      </patternFill>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rgb="FFF2F2F2"/>
        <bgColor indexed="64"/>
      </patternFill>
    </fill>
    <fill>
      <patternFill patternType="solid">
        <fgColor rgb="FFD9D9D9"/>
        <bgColor indexed="64"/>
      </patternFill>
    </fill>
    <fill>
      <patternFill patternType="solid">
        <fgColor theme="2"/>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s>
  <cellStyleXfs count="21">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76" fontId="1" fillId="0" borderId="0" applyFont="0" applyFill="0" applyBorder="0" applyAlignment="0" applyProtection="0"/>
    <xf numFmtId="0" fontId="1" fillId="0" borderId="0"/>
    <xf numFmtId="180" fontId="1" fillId="0" borderId="0" applyFont="0" applyFill="0" applyBorder="0" applyAlignment="0" applyProtection="0"/>
    <xf numFmtId="190" fontId="1" fillId="0" borderId="0" applyFont="0" applyFill="0" applyBorder="0" applyAlignment="0" applyProtection="0"/>
    <xf numFmtId="180" fontId="1" fillId="0" borderId="0" applyFont="0" applyFill="0" applyBorder="0" applyAlignment="0" applyProtection="0"/>
    <xf numFmtId="195" fontId="1" fillId="0" borderId="0" applyFont="0" applyFill="0" applyBorder="0" applyAlignment="0" applyProtection="0"/>
    <xf numFmtId="43" fontId="100" fillId="0" borderId="0" applyFont="0" applyFill="0" applyBorder="0" applyAlignment="0" applyProtection="0"/>
    <xf numFmtId="9" fontId="100"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00" fillId="0" borderId="0"/>
    <xf numFmtId="0" fontId="1" fillId="0" borderId="0"/>
    <xf numFmtId="0" fontId="136" fillId="0" borderId="0" applyNumberFormat="0" applyFill="0" applyBorder="0" applyAlignment="0" applyProtection="0"/>
  </cellStyleXfs>
  <cellXfs count="2323">
    <xf numFmtId="0" fontId="0" fillId="0" borderId="0" xfId="0"/>
    <xf numFmtId="0" fontId="2" fillId="2" borderId="0" xfId="0" applyFont="1" applyFill="1"/>
    <xf numFmtId="0" fontId="3" fillId="2" borderId="0" xfId="0" applyFont="1" applyFill="1"/>
    <xf numFmtId="0" fontId="4" fillId="0" borderId="0" xfId="0" applyFont="1"/>
    <xf numFmtId="0" fontId="5" fillId="2" borderId="0" xfId="0" applyFont="1" applyFill="1"/>
    <xf numFmtId="0" fontId="6" fillId="2" borderId="0" xfId="0" applyFont="1" applyFill="1"/>
    <xf numFmtId="0" fontId="3" fillId="0" borderId="0" xfId="0" applyFont="1"/>
    <xf numFmtId="0" fontId="7" fillId="0" borderId="0" xfId="0" applyFont="1" applyAlignment="1">
      <alignment horizontal="center" vertical="center" wrapText="1"/>
    </xf>
    <xf numFmtId="0" fontId="8" fillId="0" borderId="0" xfId="0" applyFont="1"/>
    <xf numFmtId="0" fontId="8" fillId="0" borderId="0" xfId="0" applyFont="1" applyAlignment="1">
      <alignment vertical="center"/>
    </xf>
    <xf numFmtId="164" fontId="8" fillId="0" borderId="0" xfId="2" applyNumberFormat="1" applyFont="1" applyBorder="1" applyAlignment="1">
      <alignment horizontal="center" vertical="center" wrapText="1"/>
    </xf>
    <xf numFmtId="10" fontId="3" fillId="0" borderId="0" xfId="0" applyNumberFormat="1" applyFont="1"/>
    <xf numFmtId="0" fontId="8" fillId="0" borderId="0" xfId="0" applyFont="1" applyAlignment="1">
      <alignment vertical="center" wrapText="1"/>
    </xf>
    <xf numFmtId="9" fontId="8" fillId="0" borderId="0" xfId="2" applyFont="1" applyBorder="1" applyAlignment="1">
      <alignment horizontal="center" vertical="center" wrapText="1"/>
    </xf>
    <xf numFmtId="0" fontId="2" fillId="2" borderId="1" xfId="0" applyFont="1" applyFill="1" applyBorder="1" applyAlignment="1">
      <alignment vertical="center" wrapText="1"/>
    </xf>
    <xf numFmtId="9" fontId="2"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9" fontId="3" fillId="2" borderId="1" xfId="0" applyNumberFormat="1" applyFont="1" applyFill="1" applyBorder="1" applyAlignment="1">
      <alignment horizontal="center" vertical="center" wrapText="1"/>
    </xf>
    <xf numFmtId="10" fontId="8" fillId="0" borderId="0" xfId="0" applyNumberFormat="1" applyFont="1" applyAlignment="1">
      <alignment horizontal="center" vertical="center" wrapText="1"/>
    </xf>
    <xf numFmtId="0" fontId="3" fillId="2" borderId="0" xfId="0" applyFont="1" applyFill="1" applyAlignment="1">
      <alignment vertical="center" wrapText="1"/>
    </xf>
    <xf numFmtId="9" fontId="3" fillId="2" borderId="0" xfId="0" applyNumberFormat="1" applyFont="1" applyFill="1" applyAlignment="1">
      <alignment horizontal="center" vertical="center" wrapText="1"/>
    </xf>
    <xf numFmtId="0" fontId="3" fillId="2" borderId="0" xfId="0" applyFont="1" applyFill="1" applyAlignment="1">
      <alignment vertical="center"/>
    </xf>
    <xf numFmtId="0" fontId="3" fillId="2" borderId="0" xfId="0" applyFont="1" applyFill="1" applyAlignment="1">
      <alignment horizontal="left" vertical="center" indent="1"/>
    </xf>
    <xf numFmtId="165" fontId="8" fillId="0" borderId="0" xfId="0" applyNumberFormat="1" applyFont="1" applyAlignment="1">
      <alignment horizontal="center" vertical="center" wrapText="1"/>
    </xf>
    <xf numFmtId="0" fontId="9" fillId="2" borderId="0" xfId="0" applyFont="1" applyFill="1" applyAlignment="1">
      <alignment horizontal="left" vertical="center" wrapText="1" indent="7"/>
    </xf>
    <xf numFmtId="0" fontId="3" fillId="2" borderId="0" xfId="0" applyFont="1" applyFill="1" applyAlignment="1">
      <alignment horizontal="left" vertical="center" wrapText="1" indent="7"/>
    </xf>
    <xf numFmtId="0" fontId="7" fillId="0" borderId="0" xfId="0" applyFont="1" applyAlignment="1">
      <alignment vertical="center" wrapText="1"/>
    </xf>
    <xf numFmtId="10" fontId="7" fillId="0" borderId="0" xfId="0" applyNumberFormat="1" applyFont="1" applyAlignment="1">
      <alignment horizontal="center" vertical="center" wrapText="1"/>
    </xf>
    <xf numFmtId="0" fontId="7" fillId="0" borderId="0" xfId="0" applyFont="1" applyAlignment="1">
      <alignment horizontal="center"/>
    </xf>
    <xf numFmtId="164" fontId="3" fillId="2" borderId="1" xfId="0" applyNumberFormat="1" applyFont="1" applyFill="1" applyBorder="1" applyAlignment="1">
      <alignment horizontal="center" vertical="center" wrapText="1"/>
    </xf>
    <xf numFmtId="166" fontId="3" fillId="2" borderId="0" xfId="1" applyNumberFormat="1" applyFont="1" applyFill="1" applyBorder="1" applyAlignment="1">
      <alignment horizontal="left" vertical="center" wrapText="1" indent="7"/>
    </xf>
    <xf numFmtId="164" fontId="3" fillId="0" borderId="0" xfId="0" applyNumberFormat="1" applyFont="1"/>
    <xf numFmtId="0" fontId="11" fillId="2" borderId="0" xfId="0" applyFont="1" applyFill="1"/>
    <xf numFmtId="0" fontId="3" fillId="2" borderId="1" xfId="0" applyFont="1" applyFill="1" applyBorder="1" applyAlignment="1">
      <alignment horizontal="center" vertical="center" wrapText="1"/>
    </xf>
    <xf numFmtId="0" fontId="2" fillId="2" borderId="0" xfId="0" applyFont="1" applyFill="1" applyAlignment="1">
      <alignment vertical="center" wrapText="1"/>
    </xf>
    <xf numFmtId="9" fontId="3" fillId="2" borderId="1" xfId="0" applyNumberFormat="1" applyFont="1" applyFill="1" applyBorder="1" applyAlignment="1">
      <alignment horizontal="left" vertical="center" wrapText="1" indent="1"/>
    </xf>
    <xf numFmtId="0" fontId="7" fillId="0" borderId="0" xfId="0" applyFont="1"/>
    <xf numFmtId="9" fontId="3" fillId="0" borderId="0" xfId="0" applyNumberFormat="1" applyFont="1"/>
    <xf numFmtId="9" fontId="3" fillId="2" borderId="1" xfId="0" quotePrefix="1" applyNumberFormat="1" applyFont="1" applyFill="1" applyBorder="1" applyAlignment="1">
      <alignment horizontal="left" vertical="center" wrapText="1" indent="1"/>
    </xf>
    <xf numFmtId="164" fontId="8" fillId="0" borderId="0" xfId="0" applyNumberFormat="1" applyFont="1" applyAlignment="1">
      <alignment horizontal="center" vertical="center" wrapText="1"/>
    </xf>
    <xf numFmtId="0" fontId="8" fillId="0" borderId="0" xfId="0" applyFont="1" applyAlignment="1">
      <alignment horizontal="left" indent="3"/>
    </xf>
    <xf numFmtId="9" fontId="8" fillId="0" borderId="0" xfId="2" applyFont="1" applyBorder="1" applyAlignment="1">
      <alignment horizontal="center"/>
    </xf>
    <xf numFmtId="0" fontId="3" fillId="2" borderId="0" xfId="0" quotePrefix="1" applyFont="1" applyFill="1"/>
    <xf numFmtId="9" fontId="8" fillId="0" borderId="0" xfId="0" applyNumberFormat="1" applyFont="1" applyAlignment="1">
      <alignment horizontal="center"/>
    </xf>
    <xf numFmtId="0" fontId="6" fillId="2" borderId="0" xfId="0" applyFont="1" applyFill="1" applyAlignment="1">
      <alignment horizontal="left" wrapText="1"/>
    </xf>
    <xf numFmtId="0" fontId="8" fillId="0" borderId="0" xfId="0" applyFont="1" applyAlignment="1">
      <alignment horizontal="left"/>
    </xf>
    <xf numFmtId="164" fontId="8" fillId="0" borderId="0" xfId="0" applyNumberFormat="1" applyFont="1" applyAlignment="1">
      <alignment horizontal="center"/>
    </xf>
    <xf numFmtId="10" fontId="8" fillId="0" borderId="0" xfId="0" applyNumberFormat="1" applyFont="1"/>
    <xf numFmtId="164" fontId="8" fillId="0" borderId="0" xfId="0" applyNumberFormat="1" applyFont="1"/>
    <xf numFmtId="10" fontId="8" fillId="0" borderId="0" xfId="0" applyNumberFormat="1" applyFont="1" applyAlignment="1">
      <alignment horizontal="center"/>
    </xf>
    <xf numFmtId="165" fontId="8" fillId="0" borderId="0" xfId="0" applyNumberFormat="1" applyFont="1" applyAlignment="1">
      <alignment horizontal="left"/>
    </xf>
    <xf numFmtId="0" fontId="8" fillId="0" borderId="0" xfId="0" applyFont="1" applyAlignment="1">
      <alignment horizontal="center"/>
    </xf>
    <xf numFmtId="2" fontId="8" fillId="0" borderId="0" xfId="0" applyNumberFormat="1" applyFont="1"/>
    <xf numFmtId="0" fontId="7" fillId="0" borderId="0" xfId="0" applyFont="1" applyAlignment="1">
      <alignment horizontal="left"/>
    </xf>
    <xf numFmtId="164" fontId="7" fillId="0" borderId="0" xfId="0" applyNumberFormat="1" applyFont="1" applyAlignment="1">
      <alignment horizontal="center" vertical="center" wrapText="1"/>
    </xf>
    <xf numFmtId="0" fontId="3" fillId="2" borderId="2" xfId="0" applyFont="1" applyFill="1" applyBorder="1"/>
    <xf numFmtId="0" fontId="3" fillId="2" borderId="3" xfId="0" applyFont="1" applyFill="1" applyBorder="1"/>
    <xf numFmtId="0" fontId="3" fillId="2" borderId="4" xfId="0" applyFont="1" applyFill="1" applyBorder="1"/>
    <xf numFmtId="0" fontId="6" fillId="2" borderId="5" xfId="0" applyFont="1" applyFill="1" applyBorder="1"/>
    <xf numFmtId="0" fontId="3" fillId="2" borderId="6" xfId="0" applyFont="1" applyFill="1" applyBorder="1"/>
    <xf numFmtId="0" fontId="3" fillId="2" borderId="7" xfId="0" applyFont="1" applyFill="1" applyBorder="1"/>
    <xf numFmtId="0" fontId="17" fillId="0" borderId="0" xfId="0" applyFont="1"/>
    <xf numFmtId="10" fontId="17" fillId="0" borderId="0" xfId="0" applyNumberFormat="1" applyFont="1"/>
    <xf numFmtId="0" fontId="18" fillId="0" borderId="0" xfId="0" applyFont="1"/>
    <xf numFmtId="167" fontId="18" fillId="0" borderId="0" xfId="0" applyNumberFormat="1" applyFont="1"/>
    <xf numFmtId="168" fontId="18" fillId="0" borderId="0" xfId="0" applyNumberFormat="1" applyFont="1"/>
    <xf numFmtId="0" fontId="19" fillId="0" borderId="0" xfId="0" applyFont="1"/>
    <xf numFmtId="44" fontId="18" fillId="0" borderId="0" xfId="0" applyNumberFormat="1" applyFont="1"/>
    <xf numFmtId="0" fontId="17" fillId="2" borderId="0" xfId="0" applyFont="1" applyFill="1"/>
    <xf numFmtId="0" fontId="3" fillId="2" borderId="0" xfId="0" applyFont="1" applyFill="1" applyAlignment="1">
      <alignment horizontal="left"/>
    </xf>
    <xf numFmtId="0" fontId="3" fillId="2" borderId="0" xfId="0" applyFont="1" applyFill="1" applyAlignment="1">
      <alignment horizontal="right" vertical="center" wrapText="1"/>
    </xf>
    <xf numFmtId="168" fontId="3" fillId="2" borderId="0" xfId="0" applyNumberFormat="1" applyFont="1" applyFill="1" applyAlignment="1">
      <alignment horizontal="left"/>
    </xf>
    <xf numFmtId="0" fontId="3" fillId="2" borderId="0" xfId="0" applyFont="1" applyFill="1" applyAlignment="1">
      <alignment horizontal="right"/>
    </xf>
    <xf numFmtId="10" fontId="3" fillId="2" borderId="1" xfId="0" applyNumberFormat="1" applyFont="1" applyFill="1" applyBorder="1"/>
    <xf numFmtId="169" fontId="3" fillId="2" borderId="1" xfId="0" applyNumberFormat="1" applyFont="1" applyFill="1" applyBorder="1"/>
    <xf numFmtId="0" fontId="3" fillId="2" borderId="1" xfId="0" applyFont="1" applyFill="1" applyBorder="1" applyAlignment="1">
      <alignment horizontal="right" wrapText="1"/>
    </xf>
    <xf numFmtId="0" fontId="3" fillId="2" borderId="1" xfId="0" applyFont="1" applyFill="1" applyBorder="1" applyAlignment="1">
      <alignment horizontal="right"/>
    </xf>
    <xf numFmtId="10" fontId="18" fillId="0" borderId="0" xfId="0" applyNumberFormat="1" applyFont="1"/>
    <xf numFmtId="10" fontId="18" fillId="0" borderId="0" xfId="2" applyNumberFormat="1" applyFont="1"/>
    <xf numFmtId="0" fontId="22" fillId="0" borderId="0" xfId="0" applyFont="1"/>
    <xf numFmtId="10" fontId="17" fillId="0" borderId="1" xfId="0" applyNumberFormat="1" applyFont="1" applyBorder="1"/>
    <xf numFmtId="16" fontId="17" fillId="0" borderId="1" xfId="0" applyNumberFormat="1" applyFont="1" applyBorder="1"/>
    <xf numFmtId="0" fontId="3" fillId="2" borderId="8" xfId="0" applyFont="1" applyFill="1" applyBorder="1" applyAlignment="1">
      <alignment horizontal="left"/>
    </xf>
    <xf numFmtId="0" fontId="3" fillId="2" borderId="9" xfId="0" applyFont="1" applyFill="1" applyBorder="1" applyAlignment="1">
      <alignment horizontal="left"/>
    </xf>
    <xf numFmtId="0" fontId="3" fillId="2" borderId="10" xfId="0" applyFont="1" applyFill="1" applyBorder="1" applyAlignment="1">
      <alignment wrapText="1"/>
    </xf>
    <xf numFmtId="170" fontId="3" fillId="2" borderId="1" xfId="0" applyNumberFormat="1" applyFont="1" applyFill="1" applyBorder="1" applyAlignment="1">
      <alignment horizontal="right" wrapText="1"/>
    </xf>
    <xf numFmtId="0" fontId="3" fillId="2" borderId="10" xfId="0" applyFont="1" applyFill="1" applyBorder="1"/>
    <xf numFmtId="171" fontId="3" fillId="2" borderId="1" xfId="0" applyNumberFormat="1" applyFont="1" applyFill="1" applyBorder="1" applyAlignment="1">
      <alignment horizontal="right"/>
    </xf>
    <xf numFmtId="171" fontId="3" fillId="2" borderId="1" xfId="0" applyNumberFormat="1" applyFont="1" applyFill="1" applyBorder="1" applyAlignment="1">
      <alignment horizontal="right" wrapText="1"/>
    </xf>
    <xf numFmtId="0" fontId="2" fillId="2" borderId="1" xfId="0" applyFont="1" applyFill="1" applyBorder="1" applyAlignment="1">
      <alignment horizontal="right"/>
    </xf>
    <xf numFmtId="0" fontId="23" fillId="2" borderId="0" xfId="0" applyFont="1" applyFill="1"/>
    <xf numFmtId="0" fontId="24" fillId="2" borderId="0" xfId="0" applyFont="1" applyFill="1"/>
    <xf numFmtId="168" fontId="23" fillId="2" borderId="1" xfId="0" applyNumberFormat="1" applyFont="1" applyFill="1" applyBorder="1"/>
    <xf numFmtId="0" fontId="23" fillId="2" borderId="1" xfId="0" applyFont="1" applyFill="1" applyBorder="1"/>
    <xf numFmtId="0" fontId="27" fillId="2" borderId="0" xfId="0" applyFont="1" applyFill="1"/>
    <xf numFmtId="10" fontId="23" fillId="2" borderId="0" xfId="0" applyNumberFormat="1" applyFont="1" applyFill="1" applyAlignment="1">
      <alignment horizontal="right"/>
    </xf>
    <xf numFmtId="10" fontId="23" fillId="2" borderId="1" xfId="0" applyNumberFormat="1" applyFont="1" applyFill="1" applyBorder="1" applyAlignment="1">
      <alignment horizontal="right"/>
    </xf>
    <xf numFmtId="16" fontId="23" fillId="2" borderId="1" xfId="0" quotePrefix="1" applyNumberFormat="1" applyFont="1" applyFill="1" applyBorder="1" applyAlignment="1">
      <alignment horizontal="right"/>
    </xf>
    <xf numFmtId="10" fontId="23" fillId="2" borderId="1" xfId="0" applyNumberFormat="1" applyFont="1" applyFill="1" applyBorder="1"/>
    <xf numFmtId="0" fontId="23" fillId="2" borderId="1" xfId="0" applyFont="1" applyFill="1" applyBorder="1" applyAlignment="1">
      <alignment horizontal="right"/>
    </xf>
    <xf numFmtId="0" fontId="23" fillId="2" borderId="8" xfId="0" applyFont="1" applyFill="1" applyBorder="1"/>
    <xf numFmtId="0" fontId="23" fillId="2" borderId="11" xfId="0" applyFont="1" applyFill="1" applyBorder="1"/>
    <xf numFmtId="0" fontId="23" fillId="2" borderId="9" xfId="0" applyFont="1" applyFill="1" applyBorder="1"/>
    <xf numFmtId="167" fontId="23" fillId="2" borderId="8" xfId="3" applyNumberFormat="1" applyFont="1" applyFill="1" applyBorder="1"/>
    <xf numFmtId="172" fontId="4" fillId="0" borderId="0" xfId="0" applyNumberFormat="1" applyFont="1"/>
    <xf numFmtId="0" fontId="28" fillId="2" borderId="0" xfId="0" applyFont="1" applyFill="1"/>
    <xf numFmtId="0" fontId="29" fillId="2" borderId="0" xfId="0" applyFont="1" applyFill="1"/>
    <xf numFmtId="0" fontId="30" fillId="2" borderId="0" xfId="0" applyFont="1" applyFill="1"/>
    <xf numFmtId="0" fontId="31" fillId="2" borderId="0" xfId="0" applyFont="1" applyFill="1"/>
    <xf numFmtId="10" fontId="30" fillId="2" borderId="1" xfId="0" applyNumberFormat="1" applyFont="1" applyFill="1" applyBorder="1" applyAlignment="1">
      <alignment horizontal="right" vertical="center"/>
    </xf>
    <xf numFmtId="10" fontId="30" fillId="2" borderId="1" xfId="0" applyNumberFormat="1" applyFont="1" applyFill="1" applyBorder="1" applyAlignment="1">
      <alignment horizontal="right" vertical="center" wrapText="1"/>
    </xf>
    <xf numFmtId="17" fontId="32" fillId="2" borderId="1" xfId="0" applyNumberFormat="1" applyFont="1" applyFill="1" applyBorder="1" applyAlignment="1">
      <alignment horizontal="left" vertical="center"/>
    </xf>
    <xf numFmtId="0" fontId="32" fillId="2" borderId="0" xfId="0" applyFont="1" applyFill="1" applyAlignment="1">
      <alignment vertical="center"/>
    </xf>
    <xf numFmtId="0" fontId="30" fillId="2" borderId="0" xfId="0" applyFont="1" applyFill="1" applyAlignment="1">
      <alignment vertical="center" wrapText="1"/>
    </xf>
    <xf numFmtId="17" fontId="30" fillId="2" borderId="1" xfId="0" applyNumberFormat="1" applyFont="1" applyFill="1" applyBorder="1" applyAlignment="1">
      <alignment vertical="center"/>
    </xf>
    <xf numFmtId="0" fontId="33" fillId="2" borderId="0" xfId="0" applyFont="1" applyFill="1"/>
    <xf numFmtId="0" fontId="30" fillId="2" borderId="10" xfId="0" applyFont="1" applyFill="1" applyBorder="1"/>
    <xf numFmtId="0" fontId="30" fillId="2" borderId="1" xfId="0" applyFont="1" applyFill="1" applyBorder="1" applyAlignment="1">
      <alignment horizontal="center"/>
    </xf>
    <xf numFmtId="0" fontId="34" fillId="2" borderId="1" xfId="0" applyFont="1" applyFill="1" applyBorder="1" applyAlignment="1">
      <alignment vertical="center"/>
    </xf>
    <xf numFmtId="0" fontId="30" fillId="2" borderId="13" xfId="0" applyFont="1" applyFill="1" applyBorder="1"/>
    <xf numFmtId="168" fontId="30" fillId="2" borderId="1" xfId="0" applyNumberFormat="1" applyFont="1" applyFill="1" applyBorder="1" applyAlignment="1">
      <alignment horizontal="center"/>
    </xf>
    <xf numFmtId="0" fontId="32" fillId="2" borderId="1" xfId="0" applyFont="1" applyFill="1" applyBorder="1"/>
    <xf numFmtId="0" fontId="32" fillId="2" borderId="1" xfId="0" applyFont="1" applyFill="1" applyBorder="1" applyAlignment="1">
      <alignment horizontal="center" wrapText="1"/>
    </xf>
    <xf numFmtId="0" fontId="32" fillId="2" borderId="1" xfId="0" applyFont="1" applyFill="1" applyBorder="1" applyAlignment="1">
      <alignment horizontal="left"/>
    </xf>
    <xf numFmtId="0" fontId="32" fillId="2" borderId="13" xfId="0" applyFont="1" applyFill="1" applyBorder="1"/>
    <xf numFmtId="0" fontId="30" fillId="2" borderId="1" xfId="0" applyFont="1" applyFill="1" applyBorder="1"/>
    <xf numFmtId="173" fontId="30" fillId="2" borderId="1" xfId="3" applyNumberFormat="1" applyFont="1" applyFill="1" applyBorder="1"/>
    <xf numFmtId="0" fontId="32" fillId="2" borderId="1" xfId="0" applyFont="1" applyFill="1" applyBorder="1" applyAlignment="1">
      <alignment horizontal="right"/>
    </xf>
    <xf numFmtId="0" fontId="32" fillId="2" borderId="0" xfId="0" applyFont="1" applyFill="1"/>
    <xf numFmtId="0" fontId="3" fillId="2" borderId="0" xfId="0" applyFont="1" applyFill="1" applyAlignment="1">
      <alignment wrapText="1"/>
    </xf>
    <xf numFmtId="0" fontId="8" fillId="2" borderId="0" xfId="0" applyFont="1" applyFill="1"/>
    <xf numFmtId="0" fontId="3" fillId="2" borderId="1" xfId="0" applyFont="1" applyFill="1" applyBorder="1" applyAlignment="1">
      <alignment horizontal="right" vertical="center" wrapText="1"/>
    </xf>
    <xf numFmtId="0" fontId="20" fillId="2" borderId="1" xfId="0" applyFont="1" applyFill="1" applyBorder="1" applyAlignment="1">
      <alignment horizontal="right" vertical="center" wrapText="1"/>
    </xf>
    <xf numFmtId="0" fontId="3" fillId="2" borderId="1" xfId="0" applyFont="1" applyFill="1" applyBorder="1" applyAlignment="1">
      <alignment horizontal="right" vertical="center"/>
    </xf>
    <xf numFmtId="0" fontId="20" fillId="2" borderId="1" xfId="0" applyFont="1" applyFill="1" applyBorder="1" applyAlignment="1">
      <alignment horizontal="right" vertical="center"/>
    </xf>
    <xf numFmtId="168" fontId="3" fillId="2" borderId="1" xfId="0" applyNumberFormat="1" applyFont="1" applyFill="1" applyBorder="1" applyAlignment="1">
      <alignment horizontal="right" vertical="center" wrapText="1"/>
    </xf>
    <xf numFmtId="168" fontId="3" fillId="2" borderId="1" xfId="0" applyNumberFormat="1" applyFont="1" applyFill="1" applyBorder="1" applyAlignment="1">
      <alignment horizontal="right" vertical="center"/>
    </xf>
    <xf numFmtId="0" fontId="11" fillId="2" borderId="0" xfId="0" applyFont="1" applyFill="1" applyAlignment="1">
      <alignment vertical="center"/>
    </xf>
    <xf numFmtId="0" fontId="2" fillId="2" borderId="0" xfId="0" applyFont="1" applyFill="1" applyAlignment="1">
      <alignment vertical="center"/>
    </xf>
    <xf numFmtId="10" fontId="36" fillId="2" borderId="1" xfId="0" applyNumberFormat="1" applyFont="1" applyFill="1" applyBorder="1" applyAlignment="1">
      <alignment horizontal="center" vertical="center"/>
    </xf>
    <xf numFmtId="10" fontId="36" fillId="2" borderId="1" xfId="0" applyNumberFormat="1" applyFont="1" applyFill="1" applyBorder="1" applyAlignment="1">
      <alignment horizontal="center" vertical="center" wrapText="1"/>
    </xf>
    <xf numFmtId="17" fontId="36" fillId="2" borderId="1" xfId="0" applyNumberFormat="1" applyFont="1" applyFill="1" applyBorder="1" applyAlignment="1">
      <alignment vertical="center"/>
    </xf>
    <xf numFmtId="0" fontId="36" fillId="2" borderId="12" xfId="0" applyFont="1" applyFill="1" applyBorder="1" applyAlignment="1">
      <alignment horizontal="center" vertical="center" wrapText="1"/>
    </xf>
    <xf numFmtId="0" fontId="36" fillId="2" borderId="14" xfId="0" applyFont="1" applyFill="1" applyBorder="1" applyAlignment="1">
      <alignment horizontal="center" vertical="center" wrapText="1"/>
    </xf>
    <xf numFmtId="10" fontId="3" fillId="2" borderId="1" xfId="0" applyNumberFormat="1" applyFont="1" applyFill="1" applyBorder="1" applyAlignment="1">
      <alignment horizontal="right" vertical="center"/>
    </xf>
    <xf numFmtId="17" fontId="3" fillId="2" borderId="1" xfId="0" applyNumberFormat="1"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8" xfId="0" applyFont="1" applyFill="1" applyBorder="1"/>
    <xf numFmtId="0" fontId="3" fillId="2" borderId="11" xfId="0" applyFont="1" applyFill="1" applyBorder="1"/>
    <xf numFmtId="0" fontId="3" fillId="2" borderId="9" xfId="0" applyFont="1" applyFill="1" applyBorder="1"/>
    <xf numFmtId="0" fontId="3" fillId="2" borderId="1" xfId="0" applyFont="1" applyFill="1" applyBorder="1"/>
    <xf numFmtId="0" fontId="3" fillId="2" borderId="5" xfId="0" applyFont="1" applyFill="1" applyBorder="1"/>
    <xf numFmtId="0" fontId="3" fillId="2" borderId="12" xfId="0" applyFont="1" applyFill="1" applyBorder="1"/>
    <xf numFmtId="0" fontId="3" fillId="2" borderId="14" xfId="0" applyFont="1" applyFill="1" applyBorder="1"/>
    <xf numFmtId="8" fontId="3" fillId="2" borderId="0" xfId="0" applyNumberFormat="1" applyFont="1" applyFill="1" applyAlignment="1">
      <alignment horizontal="center"/>
    </xf>
    <xf numFmtId="8" fontId="3" fillId="2" borderId="1" xfId="0" applyNumberFormat="1" applyFont="1" applyFill="1" applyBorder="1" applyAlignment="1">
      <alignment horizontal="center"/>
    </xf>
    <xf numFmtId="6" fontId="3" fillId="2" borderId="1" xfId="0" applyNumberFormat="1"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left"/>
    </xf>
    <xf numFmtId="0" fontId="3" fillId="2" borderId="0" xfId="0" applyFont="1" applyFill="1" applyAlignment="1">
      <alignment horizontal="center"/>
    </xf>
    <xf numFmtId="0" fontId="2" fillId="2" borderId="1" xfId="0" applyFont="1" applyFill="1" applyBorder="1" applyAlignment="1">
      <alignment horizontal="center"/>
    </xf>
    <xf numFmtId="174" fontId="3" fillId="2" borderId="1" xfId="0" applyNumberFormat="1" applyFont="1" applyFill="1" applyBorder="1" applyAlignment="1">
      <alignment horizontal="center"/>
    </xf>
    <xf numFmtId="0" fontId="2" fillId="2" borderId="1" xfId="0" applyFont="1" applyFill="1" applyBorder="1" applyAlignment="1">
      <alignment vertical="center"/>
    </xf>
    <xf numFmtId="0" fontId="37" fillId="0" borderId="0" xfId="0" applyFont="1"/>
    <xf numFmtId="0" fontId="37" fillId="3" borderId="0" xfId="0" applyFont="1" applyFill="1"/>
    <xf numFmtId="0" fontId="37" fillId="2" borderId="0" xfId="0" applyFont="1" applyFill="1"/>
    <xf numFmtId="37" fontId="38" fillId="0" borderId="1" xfId="0" applyNumberFormat="1" applyFont="1" applyBorder="1"/>
    <xf numFmtId="37" fontId="39" fillId="0" borderId="1" xfId="0" applyNumberFormat="1" applyFont="1" applyBorder="1"/>
    <xf numFmtId="37" fontId="2" fillId="2" borderId="0" xfId="0" applyNumberFormat="1" applyFont="1" applyFill="1"/>
    <xf numFmtId="2" fontId="3" fillId="2" borderId="0" xfId="0" applyNumberFormat="1" applyFont="1" applyFill="1" applyAlignment="1">
      <alignment horizontal="left" vertical="center"/>
    </xf>
    <xf numFmtId="0" fontId="40" fillId="2" borderId="0" xfId="0" applyFont="1" applyFill="1"/>
    <xf numFmtId="0" fontId="4" fillId="2" borderId="0" xfId="0" applyFont="1" applyFill="1"/>
    <xf numFmtId="0" fontId="39" fillId="0" borderId="1" xfId="0" applyFont="1" applyBorder="1" applyAlignment="1">
      <alignment horizontal="left" indent="1"/>
    </xf>
    <xf numFmtId="37" fontId="3" fillId="0" borderId="1" xfId="0" applyNumberFormat="1" applyFont="1" applyBorder="1"/>
    <xf numFmtId="0" fontId="4" fillId="0" borderId="1" xfId="0" applyFont="1" applyBorder="1" applyAlignment="1">
      <alignment horizontal="left" indent="1"/>
    </xf>
    <xf numFmtId="2" fontId="4" fillId="2" borderId="0" xfId="0" applyNumberFormat="1" applyFont="1" applyFill="1" applyAlignment="1">
      <alignment horizontal="right" vertical="center"/>
    </xf>
    <xf numFmtId="2" fontId="4" fillId="2" borderId="0" xfId="0" applyNumberFormat="1" applyFont="1" applyFill="1" applyAlignment="1">
      <alignment horizontal="left" vertical="center"/>
    </xf>
    <xf numFmtId="0" fontId="6" fillId="2" borderId="8" xfId="0" applyFont="1" applyFill="1" applyBorder="1" applyAlignment="1">
      <alignment horizontal="left"/>
    </xf>
    <xf numFmtId="0" fontId="6" fillId="2" borderId="11" xfId="0" applyFont="1" applyFill="1" applyBorder="1" applyAlignment="1">
      <alignment horizontal="left"/>
    </xf>
    <xf numFmtId="0" fontId="6" fillId="2" borderId="9" xfId="0" applyFont="1" applyFill="1" applyBorder="1" applyAlignment="1">
      <alignment horizontal="left"/>
    </xf>
    <xf numFmtId="0" fontId="2" fillId="2" borderId="0" xfId="0" applyFont="1" applyFill="1" applyAlignment="1">
      <alignment vertical="top"/>
    </xf>
    <xf numFmtId="0" fontId="3" fillId="2" borderId="0" xfId="0" applyFont="1" applyFill="1" applyAlignment="1">
      <alignment vertical="top"/>
    </xf>
    <xf numFmtId="0" fontId="41" fillId="2" borderId="0" xfId="0" applyFont="1" applyFill="1"/>
    <xf numFmtId="0" fontId="37" fillId="2" borderId="0" xfId="0" applyFont="1" applyFill="1" applyAlignment="1">
      <alignment vertical="top"/>
    </xf>
    <xf numFmtId="175" fontId="2" fillId="2" borderId="0" xfId="4" applyNumberFormat="1" applyFont="1" applyFill="1"/>
    <xf numFmtId="175" fontId="39" fillId="0" borderId="1" xfId="0" applyNumberFormat="1" applyFont="1" applyBorder="1"/>
    <xf numFmtId="175" fontId="3" fillId="2" borderId="0" xfId="4" applyNumberFormat="1" applyFont="1" applyFill="1"/>
    <xf numFmtId="175" fontId="39" fillId="0" borderId="1" xfId="4" applyNumberFormat="1" applyFont="1" applyFill="1" applyBorder="1"/>
    <xf numFmtId="0" fontId="3" fillId="2" borderId="0" xfId="0" applyFont="1" applyFill="1" applyAlignment="1">
      <alignment horizontal="left" indent="1"/>
    </xf>
    <xf numFmtId="175" fontId="38" fillId="0" borderId="1" xfId="0" applyNumberFormat="1" applyFont="1" applyBorder="1"/>
    <xf numFmtId="10" fontId="3" fillId="2" borderId="0" xfId="2" applyNumberFormat="1" applyFont="1" applyFill="1" applyBorder="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left" vertical="top"/>
    </xf>
    <xf numFmtId="0" fontId="6" fillId="2" borderId="0" xfId="0" applyFont="1" applyFill="1" applyAlignment="1">
      <alignment horizontal="left" vertical="top"/>
    </xf>
    <xf numFmtId="37" fontId="2" fillId="2" borderId="0" xfId="5" applyNumberFormat="1" applyFont="1" applyFill="1" applyBorder="1" applyAlignment="1">
      <alignment horizontal="right" vertical="center"/>
    </xf>
    <xf numFmtId="0" fontId="2" fillId="2" borderId="0" xfId="0" applyFont="1" applyFill="1" applyAlignment="1">
      <alignment horizontal="left" vertical="center"/>
    </xf>
    <xf numFmtId="0" fontId="37" fillId="2" borderId="0" xfId="0" applyFont="1" applyFill="1" applyAlignment="1">
      <alignment horizontal="left" vertical="top"/>
    </xf>
    <xf numFmtId="37" fontId="3" fillId="2" borderId="6" xfId="5" applyNumberFormat="1" applyFont="1" applyFill="1" applyBorder="1" applyAlignment="1">
      <alignment horizontal="right" vertical="center"/>
    </xf>
    <xf numFmtId="37" fontId="3" fillId="2" borderId="0" xfId="5" applyNumberFormat="1" applyFont="1" applyFill="1" applyBorder="1" applyAlignment="1">
      <alignment horizontal="right" vertical="center"/>
    </xf>
    <xf numFmtId="0" fontId="3" fillId="2" borderId="0" xfId="0" quotePrefix="1" applyFont="1" applyFill="1" applyAlignment="1">
      <alignment horizontal="left" vertical="center"/>
    </xf>
    <xf numFmtId="10" fontId="17" fillId="2" borderId="0" xfId="2" applyNumberFormat="1" applyFont="1" applyFill="1" applyBorder="1" applyAlignment="1">
      <alignment horizontal="center" vertical="center"/>
    </xf>
    <xf numFmtId="0" fontId="11" fillId="2" borderId="0" xfId="0" applyFont="1" applyFill="1" applyAlignment="1">
      <alignment horizontal="left" vertical="center"/>
    </xf>
    <xf numFmtId="10" fontId="3" fillId="2" borderId="1" xfId="2" applyNumberFormat="1" applyFont="1" applyFill="1" applyBorder="1" applyAlignment="1">
      <alignment horizontal="right" vertical="top"/>
    </xf>
    <xf numFmtId="0" fontId="17" fillId="2" borderId="0" xfId="0" applyFont="1" applyFill="1" applyAlignment="1">
      <alignment horizontal="left" vertical="center"/>
    </xf>
    <xf numFmtId="0" fontId="17" fillId="2" borderId="0" xfId="0" applyFont="1" applyFill="1" applyAlignment="1">
      <alignment vertical="center"/>
    </xf>
    <xf numFmtId="175" fontId="17" fillId="2" borderId="0" xfId="4" applyNumberFormat="1" applyFont="1" applyFill="1" applyBorder="1" applyAlignment="1">
      <alignment horizontal="right" vertical="center"/>
    </xf>
    <xf numFmtId="10" fontId="3" fillId="2" borderId="1" xfId="2" applyNumberFormat="1" applyFont="1" applyFill="1" applyBorder="1" applyAlignment="1">
      <alignment horizontal="right" vertical="center"/>
    </xf>
    <xf numFmtId="0" fontId="3" fillId="2" borderId="1" xfId="0" applyFont="1" applyFill="1" applyBorder="1" applyAlignment="1">
      <alignment horizontal="left" vertical="center"/>
    </xf>
    <xf numFmtId="175" fontId="3" fillId="2" borderId="1" xfId="4" applyNumberFormat="1" applyFont="1" applyFill="1" applyBorder="1" applyAlignment="1">
      <alignment horizontal="right" vertical="center"/>
    </xf>
    <xf numFmtId="0" fontId="3" fillId="2" borderId="8" xfId="0" applyFont="1" applyFill="1" applyBorder="1" applyAlignment="1">
      <alignment horizontal="left" vertical="center"/>
    </xf>
    <xf numFmtId="0" fontId="3" fillId="2" borderId="11" xfId="0" applyFont="1" applyFill="1" applyBorder="1" applyAlignment="1">
      <alignment horizontal="left" vertical="center"/>
    </xf>
    <xf numFmtId="0" fontId="3" fillId="2" borderId="9" xfId="0" applyFont="1" applyFill="1" applyBorder="1" applyAlignment="1">
      <alignment horizontal="left" vertical="center"/>
    </xf>
    <xf numFmtId="0" fontId="3" fillId="2" borderId="1" xfId="0" applyFont="1" applyFill="1" applyBorder="1" applyAlignment="1">
      <alignment horizontal="left" vertical="center" wrapText="1"/>
    </xf>
    <xf numFmtId="0" fontId="11" fillId="2" borderId="8"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9" xfId="0" applyFont="1" applyFill="1" applyBorder="1" applyAlignment="1">
      <alignment horizontal="left" vertical="center"/>
    </xf>
    <xf numFmtId="0" fontId="11" fillId="2" borderId="1" xfId="0" applyFont="1" applyFill="1" applyBorder="1" applyAlignment="1">
      <alignment horizontal="left" vertical="center" wrapText="1"/>
    </xf>
    <xf numFmtId="175" fontId="41" fillId="2" borderId="0" xfId="4" applyNumberFormat="1" applyFont="1" applyFill="1"/>
    <xf numFmtId="0" fontId="37" fillId="2" borderId="8" xfId="0" applyFont="1" applyFill="1" applyBorder="1"/>
    <xf numFmtId="0" fontId="37" fillId="2" borderId="11" xfId="0" applyFont="1" applyFill="1" applyBorder="1"/>
    <xf numFmtId="0" fontId="6" fillId="2" borderId="9" xfId="0" applyFont="1" applyFill="1" applyBorder="1"/>
    <xf numFmtId="175" fontId="3" fillId="2" borderId="0" xfId="0" applyNumberFormat="1" applyFont="1" applyFill="1"/>
    <xf numFmtId="175" fontId="3" fillId="2" borderId="0" xfId="4" applyNumberFormat="1" applyFont="1" applyFill="1" applyBorder="1" applyAlignment="1"/>
    <xf numFmtId="9" fontId="3" fillId="2" borderId="11" xfId="0" applyNumberFormat="1" applyFont="1" applyFill="1" applyBorder="1"/>
    <xf numFmtId="0" fontId="4" fillId="3" borderId="0" xfId="0" applyFont="1" applyFill="1"/>
    <xf numFmtId="0" fontId="3" fillId="3" borderId="5" xfId="0" applyFont="1" applyFill="1" applyBorder="1"/>
    <xf numFmtId="168" fontId="3" fillId="3" borderId="5" xfId="0" applyNumberFormat="1" applyFont="1" applyFill="1" applyBorder="1" applyAlignment="1">
      <alignment horizontal="right" vertical="center"/>
    </xf>
    <xf numFmtId="0" fontId="3" fillId="3" borderId="2" xfId="0" applyFont="1" applyFill="1" applyBorder="1"/>
    <xf numFmtId="0" fontId="3" fillId="3" borderId="0" xfId="0" applyFont="1" applyFill="1"/>
    <xf numFmtId="168" fontId="3" fillId="3" borderId="0" xfId="0" applyNumberFormat="1" applyFont="1" applyFill="1"/>
    <xf numFmtId="0" fontId="42" fillId="3" borderId="0" xfId="0" applyFont="1" applyFill="1"/>
    <xf numFmtId="0" fontId="3" fillId="3" borderId="10" xfId="0" applyFont="1" applyFill="1" applyBorder="1"/>
    <xf numFmtId="0" fontId="3" fillId="3" borderId="12" xfId="0" applyFont="1" applyFill="1" applyBorder="1"/>
    <xf numFmtId="168" fontId="4" fillId="3" borderId="0" xfId="0" applyNumberFormat="1" applyFont="1" applyFill="1" applyAlignment="1">
      <alignment horizontal="right" vertical="center"/>
    </xf>
    <xf numFmtId="0" fontId="3" fillId="3" borderId="14" xfId="0" applyFont="1" applyFill="1" applyBorder="1"/>
    <xf numFmtId="2" fontId="4" fillId="3" borderId="0" xfId="0" applyNumberFormat="1" applyFont="1" applyFill="1" applyAlignment="1">
      <alignment horizontal="center" vertical="center"/>
    </xf>
    <xf numFmtId="0" fontId="43" fillId="3" borderId="0" xfId="0" applyFont="1" applyFill="1"/>
    <xf numFmtId="2" fontId="4" fillId="3" borderId="0" xfId="0" applyNumberFormat="1" applyFont="1" applyFill="1" applyAlignment="1">
      <alignment horizontal="right" vertical="center"/>
    </xf>
    <xf numFmtId="1" fontId="3" fillId="3" borderId="0" xfId="0" applyNumberFormat="1" applyFont="1" applyFill="1" applyAlignment="1">
      <alignment horizontal="center" vertical="center"/>
    </xf>
    <xf numFmtId="168" fontId="3" fillId="3" borderId="0" xfId="0" applyNumberFormat="1" applyFont="1" applyFill="1" applyAlignment="1">
      <alignment horizontal="center" vertical="center"/>
    </xf>
    <xf numFmtId="168" fontId="3" fillId="3" borderId="1" xfId="0" applyNumberFormat="1" applyFont="1" applyFill="1" applyBorder="1" applyAlignment="1">
      <alignment horizontal="center" vertical="center"/>
    </xf>
    <xf numFmtId="1" fontId="3" fillId="3" borderId="1" xfId="0" applyNumberFormat="1" applyFont="1" applyFill="1" applyBorder="1" applyAlignment="1">
      <alignment horizontal="center" vertical="center"/>
    </xf>
    <xf numFmtId="168" fontId="17" fillId="3" borderId="0" xfId="0" applyNumberFormat="1" applyFont="1" applyFill="1"/>
    <xf numFmtId="168" fontId="37" fillId="3" borderId="0" xfId="0" applyNumberFormat="1" applyFont="1" applyFill="1"/>
    <xf numFmtId="1" fontId="3" fillId="3" borderId="10" xfId="0" applyNumberFormat="1" applyFont="1" applyFill="1" applyBorder="1" applyAlignment="1">
      <alignment horizontal="center" vertical="center"/>
    </xf>
    <xf numFmtId="2" fontId="3" fillId="3" borderId="0" xfId="0" applyNumberFormat="1" applyFont="1" applyFill="1" applyAlignment="1">
      <alignment horizontal="center" vertical="center"/>
    </xf>
    <xf numFmtId="2" fontId="3" fillId="3" borderId="10" xfId="0" applyNumberFormat="1" applyFont="1" applyFill="1" applyBorder="1" applyAlignment="1">
      <alignment horizontal="center" vertical="center"/>
    </xf>
    <xf numFmtId="2" fontId="3" fillId="3" borderId="1" xfId="0" applyNumberFormat="1" applyFont="1" applyFill="1" applyBorder="1" applyAlignment="1">
      <alignment horizontal="center" vertical="center"/>
    </xf>
    <xf numFmtId="9" fontId="3" fillId="3" borderId="0" xfId="0" applyNumberFormat="1" applyFont="1" applyFill="1"/>
    <xf numFmtId="0" fontId="44" fillId="3" borderId="0" xfId="0" applyFont="1" applyFill="1"/>
    <xf numFmtId="0" fontId="17" fillId="3" borderId="0" xfId="0" applyFont="1" applyFill="1"/>
    <xf numFmtId="168" fontId="37" fillId="3" borderId="0" xfId="0" applyNumberFormat="1" applyFont="1" applyFill="1" applyAlignment="1">
      <alignment horizontal="right" vertical="center"/>
    </xf>
    <xf numFmtId="168" fontId="17" fillId="3" borderId="0" xfId="0" applyNumberFormat="1" applyFont="1" applyFill="1" applyAlignment="1">
      <alignment horizontal="center" vertical="center"/>
    </xf>
    <xf numFmtId="1" fontId="17" fillId="3" borderId="0" xfId="0" applyNumberFormat="1" applyFont="1" applyFill="1" applyAlignment="1">
      <alignment horizontal="center" vertical="center"/>
    </xf>
    <xf numFmtId="9" fontId="4" fillId="3" borderId="0" xfId="0" applyNumberFormat="1" applyFont="1" applyFill="1"/>
    <xf numFmtId="0" fontId="40" fillId="3" borderId="0" xfId="0" applyFont="1" applyFill="1"/>
    <xf numFmtId="0" fontId="45" fillId="3" borderId="0" xfId="0" applyFont="1" applyFill="1"/>
    <xf numFmtId="168" fontId="3" fillId="3" borderId="1" xfId="0" applyNumberFormat="1" applyFont="1" applyFill="1" applyBorder="1" applyAlignment="1">
      <alignment horizontal="right" vertical="center"/>
    </xf>
    <xf numFmtId="10" fontId="3" fillId="3" borderId="1" xfId="0" applyNumberFormat="1" applyFont="1" applyFill="1" applyBorder="1"/>
    <xf numFmtId="0" fontId="2" fillId="3" borderId="1" xfId="0" applyFont="1" applyFill="1" applyBorder="1" applyAlignment="1">
      <alignment horizontal="right"/>
    </xf>
    <xf numFmtId="0" fontId="2" fillId="3" borderId="1" xfId="0" applyFont="1" applyFill="1" applyBorder="1"/>
    <xf numFmtId="0" fontId="44" fillId="3" borderId="1" xfId="0" applyFont="1" applyFill="1" applyBorder="1"/>
    <xf numFmtId="10" fontId="3" fillId="3" borderId="0" xfId="0" applyNumberFormat="1" applyFont="1" applyFill="1"/>
    <xf numFmtId="168" fontId="3" fillId="3" borderId="0" xfId="0" applyNumberFormat="1" applyFont="1" applyFill="1" applyAlignment="1">
      <alignment horizontal="right" vertical="center"/>
    </xf>
    <xf numFmtId="0" fontId="3" fillId="3" borderId="1" xfId="0" applyFont="1" applyFill="1" applyBorder="1"/>
    <xf numFmtId="0" fontId="3" fillId="3" borderId="6" xfId="0" applyFont="1" applyFill="1" applyBorder="1"/>
    <xf numFmtId="168" fontId="4" fillId="3" borderId="0" xfId="0" applyNumberFormat="1" applyFont="1" applyFill="1"/>
    <xf numFmtId="0" fontId="46" fillId="3" borderId="0" xfId="0" applyFont="1" applyFill="1"/>
    <xf numFmtId="0" fontId="11" fillId="3" borderId="0" xfId="0" applyFont="1" applyFill="1"/>
    <xf numFmtId="177" fontId="3" fillId="2" borderId="0" xfId="6" applyNumberFormat="1" applyFont="1" applyFill="1" applyBorder="1"/>
    <xf numFmtId="177" fontId="3" fillId="2" borderId="1" xfId="6" applyNumberFormat="1" applyFont="1" applyFill="1" applyBorder="1"/>
    <xf numFmtId="6" fontId="3" fillId="2" borderId="1" xfId="0" applyNumberFormat="1" applyFont="1" applyFill="1" applyBorder="1" applyAlignment="1">
      <alignment horizontal="right" vertical="center" wrapText="1"/>
    </xf>
    <xf numFmtId="175" fontId="3" fillId="2" borderId="1" xfId="4" applyNumberFormat="1" applyFont="1" applyFill="1" applyBorder="1" applyAlignment="1">
      <alignment vertical="center"/>
    </xf>
    <xf numFmtId="178" fontId="3" fillId="2" borderId="1" xfId="0" applyNumberFormat="1" applyFont="1" applyFill="1" applyBorder="1" applyAlignment="1">
      <alignment horizontal="right" vertical="center" wrapText="1"/>
    </xf>
    <xf numFmtId="0" fontId="2" fillId="2" borderId="1" xfId="0" applyFont="1" applyFill="1" applyBorder="1" applyAlignment="1">
      <alignment horizontal="right" vertical="center"/>
    </xf>
    <xf numFmtId="0" fontId="37" fillId="2" borderId="0" xfId="0" applyFont="1" applyFill="1" applyAlignment="1">
      <alignment horizontal="right" vertical="center"/>
    </xf>
    <xf numFmtId="168" fontId="37" fillId="2" borderId="0" xfId="0" applyNumberFormat="1" applyFont="1" applyFill="1"/>
    <xf numFmtId="43" fontId="37" fillId="2" borderId="0" xfId="0" applyNumberFormat="1" applyFont="1" applyFill="1"/>
    <xf numFmtId="0" fontId="47" fillId="2" borderId="0" xfId="0" applyFont="1" applyFill="1"/>
    <xf numFmtId="175" fontId="37" fillId="2" borderId="0" xfId="0" applyNumberFormat="1" applyFont="1" applyFill="1"/>
    <xf numFmtId="178" fontId="3" fillId="2" borderId="1" xfId="0" applyNumberFormat="1" applyFont="1" applyFill="1" applyBorder="1" applyAlignment="1">
      <alignment horizontal="center" vertical="center"/>
    </xf>
    <xf numFmtId="178" fontId="3" fillId="2" borderId="1" xfId="0" applyNumberFormat="1" applyFont="1" applyFill="1" applyBorder="1" applyAlignment="1">
      <alignment horizontal="center"/>
    </xf>
    <xf numFmtId="3" fontId="3" fillId="2" borderId="1" xfId="4" applyNumberFormat="1" applyFont="1" applyFill="1" applyBorder="1" applyAlignment="1">
      <alignment horizontal="center" vertical="center"/>
    </xf>
    <xf numFmtId="0" fontId="48" fillId="2" borderId="0" xfId="0" applyFont="1" applyFill="1"/>
    <xf numFmtId="9" fontId="17" fillId="2" borderId="0" xfId="0" applyNumberFormat="1" applyFont="1" applyFill="1" applyAlignment="1">
      <alignment horizontal="center"/>
    </xf>
    <xf numFmtId="10" fontId="3" fillId="2" borderId="0" xfId="2" applyNumberFormat="1" applyFont="1" applyFill="1" applyBorder="1" applyAlignment="1">
      <alignment horizontal="left" vertical="top"/>
    </xf>
    <xf numFmtId="10" fontId="17" fillId="2" borderId="0" xfId="2" applyNumberFormat="1" applyFont="1" applyFill="1" applyBorder="1" applyAlignment="1">
      <alignment horizontal="left" vertical="top"/>
    </xf>
    <xf numFmtId="10" fontId="3" fillId="2" borderId="1" xfId="2" applyNumberFormat="1" applyFont="1" applyFill="1" applyBorder="1" applyAlignment="1">
      <alignment horizontal="center" vertical="top"/>
    </xf>
    <xf numFmtId="0" fontId="3" fillId="2" borderId="1" xfId="0" applyFont="1" applyFill="1" applyBorder="1" applyAlignment="1">
      <alignment vertical="top"/>
    </xf>
    <xf numFmtId="10" fontId="3" fillId="2" borderId="8" xfId="2" applyNumberFormat="1" applyFont="1" applyFill="1" applyBorder="1" applyAlignment="1">
      <alignment horizontal="center" vertical="top"/>
    </xf>
    <xf numFmtId="0" fontId="3" fillId="2" borderId="9" xfId="0" applyFont="1" applyFill="1" applyBorder="1" applyAlignment="1">
      <alignment vertical="center"/>
    </xf>
    <xf numFmtId="9" fontId="37" fillId="2" borderId="0" xfId="0" applyNumberFormat="1" applyFont="1" applyFill="1" applyAlignment="1">
      <alignment horizontal="center"/>
    </xf>
    <xf numFmtId="0" fontId="37" fillId="2" borderId="0" xfId="0" applyFont="1" applyFill="1" applyAlignment="1">
      <alignment horizontal="center"/>
    </xf>
    <xf numFmtId="0" fontId="3" fillId="2" borderId="7" xfId="0" applyFont="1" applyFill="1" applyBorder="1" applyAlignment="1">
      <alignment horizontal="left" vertical="center"/>
    </xf>
    <xf numFmtId="0" fontId="3" fillId="2" borderId="5" xfId="0" applyFont="1" applyFill="1" applyBorder="1" applyAlignment="1">
      <alignment horizontal="left" vertical="center"/>
    </xf>
    <xf numFmtId="0" fontId="3" fillId="2" borderId="2" xfId="0" applyFont="1" applyFill="1" applyBorder="1" applyAlignment="1">
      <alignment horizontal="left" vertical="center"/>
    </xf>
    <xf numFmtId="164" fontId="3" fillId="2" borderId="8" xfId="2" applyNumberFormat="1" applyFont="1" applyFill="1" applyBorder="1" applyAlignment="1">
      <alignment horizontal="center" vertical="center"/>
    </xf>
    <xf numFmtId="0" fontId="3" fillId="2" borderId="9" xfId="0" quotePrefix="1" applyFont="1" applyFill="1" applyBorder="1" applyAlignment="1">
      <alignment horizontal="center" vertical="center"/>
    </xf>
    <xf numFmtId="0" fontId="3" fillId="2" borderId="9"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9" fontId="3" fillId="2" borderId="9" xfId="0" applyNumberFormat="1" applyFont="1" applyFill="1" applyBorder="1"/>
    <xf numFmtId="9" fontId="3" fillId="2" borderId="9" xfId="2" applyFont="1" applyFill="1" applyBorder="1" applyAlignment="1">
      <alignment horizontal="center"/>
    </xf>
    <xf numFmtId="179" fontId="3" fillId="2" borderId="9" xfId="2" applyNumberFormat="1" applyFont="1" applyFill="1" applyBorder="1" applyAlignment="1">
      <alignment horizontal="center" vertical="center"/>
    </xf>
    <xf numFmtId="10" fontId="3" fillId="2" borderId="9" xfId="2" applyNumberFormat="1" applyFont="1" applyFill="1" applyBorder="1" applyAlignment="1">
      <alignment horizontal="center" vertical="center"/>
    </xf>
    <xf numFmtId="0" fontId="44" fillId="2" borderId="0" xfId="0" applyFont="1" applyFill="1"/>
    <xf numFmtId="0" fontId="37" fillId="2" borderId="0" xfId="0" applyFont="1" applyFill="1" applyAlignment="1">
      <alignment horizontal="left"/>
    </xf>
    <xf numFmtId="0" fontId="44" fillId="2" borderId="0" xfId="0" applyFont="1" applyFill="1" applyAlignment="1">
      <alignment vertical="center"/>
    </xf>
    <xf numFmtId="10" fontId="18" fillId="0" borderId="0" xfId="2" applyNumberFormat="1" applyFont="1" applyBorder="1"/>
    <xf numFmtId="169" fontId="3" fillId="2" borderId="0" xfId="0" applyNumberFormat="1" applyFont="1" applyFill="1" applyAlignment="1">
      <alignment vertical="center" wrapText="1"/>
    </xf>
    <xf numFmtId="16" fontId="17" fillId="0" borderId="0" xfId="0" applyNumberFormat="1" applyFont="1"/>
    <xf numFmtId="0" fontId="17" fillId="0" borderId="0" xfId="0" applyFont="1" applyAlignment="1">
      <alignment wrapText="1"/>
    </xf>
    <xf numFmtId="0" fontId="17" fillId="0" borderId="0" xfId="0" applyFont="1" applyAlignment="1">
      <alignment horizontal="left" indent="1"/>
    </xf>
    <xf numFmtId="0" fontId="49" fillId="0" borderId="0" xfId="0" applyFont="1" applyAlignment="1">
      <alignment horizontal="left" vertical="top"/>
    </xf>
    <xf numFmtId="0" fontId="3" fillId="0" borderId="0" xfId="7" applyFont="1"/>
    <xf numFmtId="0" fontId="3" fillId="2" borderId="0" xfId="7" applyFont="1" applyFill="1"/>
    <xf numFmtId="0" fontId="3" fillId="2" borderId="0" xfId="7" applyFont="1" applyFill="1" applyAlignment="1">
      <alignment horizontal="right" vertical="top"/>
    </xf>
    <xf numFmtId="0" fontId="6" fillId="2" borderId="0" xfId="7" applyFont="1" applyFill="1" applyAlignment="1">
      <alignment vertical="center" wrapText="1"/>
    </xf>
    <xf numFmtId="0" fontId="3" fillId="2" borderId="0" xfId="7" applyFont="1" applyFill="1" applyAlignment="1">
      <alignment horizontal="left"/>
    </xf>
    <xf numFmtId="0" fontId="3" fillId="2" borderId="1" xfId="7" applyFont="1" applyFill="1" applyBorder="1" applyAlignment="1">
      <alignment horizontal="center" vertical="center" wrapText="1"/>
    </xf>
    <xf numFmtId="2" fontId="3" fillId="2" borderId="1" xfId="7" applyNumberFormat="1" applyFont="1" applyFill="1" applyBorder="1" applyAlignment="1">
      <alignment horizontal="center" vertical="center" wrapText="1"/>
    </xf>
    <xf numFmtId="0" fontId="50" fillId="0" borderId="0" xfId="0" applyFont="1"/>
    <xf numFmtId="0" fontId="15" fillId="0" borderId="0" xfId="0" applyFont="1"/>
    <xf numFmtId="3" fontId="0" fillId="0" borderId="0" xfId="0" applyNumberFormat="1"/>
    <xf numFmtId="3" fontId="51" fillId="0" borderId="0" xfId="0" applyNumberFormat="1" applyFont="1" applyAlignment="1">
      <alignment horizontal="left" vertical="top"/>
    </xf>
    <xf numFmtId="4" fontId="51" fillId="0" borderId="0" xfId="0" applyNumberFormat="1" applyFont="1" applyAlignment="1">
      <alignment horizontal="left" vertical="top" wrapText="1"/>
    </xf>
    <xf numFmtId="9" fontId="51" fillId="0" borderId="0" xfId="0" applyNumberFormat="1" applyFont="1" applyAlignment="1">
      <alignment horizontal="left" vertical="top"/>
    </xf>
    <xf numFmtId="0" fontId="51" fillId="0" borderId="0" xfId="0" applyFont="1" applyAlignment="1">
      <alignment horizontal="left" vertical="top"/>
    </xf>
    <xf numFmtId="0" fontId="2" fillId="2" borderId="0" xfId="7" applyFont="1" applyFill="1"/>
    <xf numFmtId="181" fontId="0" fillId="0" borderId="0" xfId="8" applyNumberFormat="1" applyFont="1" applyFill="1"/>
    <xf numFmtId="182" fontId="0" fillId="0" borderId="0" xfId="0" applyNumberFormat="1"/>
    <xf numFmtId="182" fontId="3" fillId="2" borderId="7" xfId="8" applyNumberFormat="1" applyFont="1" applyFill="1" applyBorder="1" applyAlignment="1">
      <alignment horizontal="center" wrapText="1"/>
    </xf>
    <xf numFmtId="182" fontId="3" fillId="2" borderId="6" xfId="8" applyNumberFormat="1" applyFont="1" applyFill="1" applyBorder="1" applyAlignment="1">
      <alignment horizontal="center" wrapText="1"/>
    </xf>
    <xf numFmtId="0" fontId="3" fillId="2" borderId="12" xfId="7" applyFont="1" applyFill="1" applyBorder="1" applyAlignment="1">
      <alignment horizontal="center" wrapText="1"/>
    </xf>
    <xf numFmtId="0" fontId="3" fillId="2" borderId="5" xfId="7" applyFont="1" applyFill="1" applyBorder="1" applyAlignment="1">
      <alignment horizontal="center" wrapText="1"/>
    </xf>
    <xf numFmtId="0" fontId="3" fillId="2" borderId="12" xfId="7" applyFont="1" applyFill="1" applyBorder="1" applyAlignment="1">
      <alignment horizontal="center"/>
    </xf>
    <xf numFmtId="0" fontId="3" fillId="2" borderId="5" xfId="7" applyFont="1" applyFill="1" applyBorder="1" applyAlignment="1">
      <alignment horizontal="center"/>
    </xf>
    <xf numFmtId="0" fontId="2" fillId="2" borderId="7" xfId="7" applyFont="1" applyFill="1" applyBorder="1" applyAlignment="1">
      <alignment horizontal="center" wrapText="1"/>
    </xf>
    <xf numFmtId="0" fontId="2" fillId="2" borderId="6" xfId="7" applyFont="1" applyFill="1" applyBorder="1" applyAlignment="1">
      <alignment horizontal="center" wrapText="1"/>
    </xf>
    <xf numFmtId="0" fontId="2" fillId="2" borderId="12" xfId="7" applyFont="1" applyFill="1" applyBorder="1" applyAlignment="1">
      <alignment horizontal="center" wrapText="1"/>
    </xf>
    <xf numFmtId="0" fontId="2" fillId="2" borderId="12" xfId="7" applyFont="1" applyFill="1" applyBorder="1" applyAlignment="1">
      <alignment horizontal="center" vertical="top"/>
    </xf>
    <xf numFmtId="0" fontId="2" fillId="2" borderId="5" xfId="7" applyFont="1" applyFill="1" applyBorder="1" applyAlignment="1">
      <alignment horizontal="center" vertical="top"/>
    </xf>
    <xf numFmtId="0" fontId="2" fillId="2" borderId="8" xfId="7" applyFont="1" applyFill="1" applyBorder="1" applyAlignment="1">
      <alignment horizontal="centerContinuous"/>
    </xf>
    <xf numFmtId="0" fontId="2" fillId="2" borderId="11" xfId="7" applyFont="1" applyFill="1" applyBorder="1" applyAlignment="1">
      <alignment horizontal="centerContinuous"/>
    </xf>
    <xf numFmtId="0" fontId="2" fillId="2" borderId="9" xfId="7" applyFont="1" applyFill="1" applyBorder="1" applyAlignment="1">
      <alignment horizontal="centerContinuous"/>
    </xf>
    <xf numFmtId="0" fontId="2" fillId="2" borderId="14" xfId="7" applyFont="1" applyFill="1" applyBorder="1" applyAlignment="1">
      <alignment wrapText="1"/>
    </xf>
    <xf numFmtId="0" fontId="2" fillId="2" borderId="14" xfId="7" applyFont="1" applyFill="1" applyBorder="1" applyAlignment="1">
      <alignment vertical="top"/>
    </xf>
    <xf numFmtId="0" fontId="2" fillId="2" borderId="2" xfId="7" applyFont="1" applyFill="1" applyBorder="1" applyAlignment="1">
      <alignment vertical="top"/>
    </xf>
    <xf numFmtId="0" fontId="49" fillId="0" borderId="0" xfId="0" applyFont="1" applyAlignment="1">
      <alignment vertical="center"/>
    </xf>
    <xf numFmtId="0" fontId="4" fillId="0" borderId="0" xfId="7" applyFont="1"/>
    <xf numFmtId="0" fontId="5" fillId="2" borderId="0" xfId="7" applyFont="1" applyFill="1"/>
    <xf numFmtId="0" fontId="40" fillId="0" borderId="0" xfId="7" applyFont="1"/>
    <xf numFmtId="0" fontId="52" fillId="0" borderId="0" xfId="0" applyFont="1"/>
    <xf numFmtId="0" fontId="52" fillId="4" borderId="0" xfId="0" applyFont="1" applyFill="1"/>
    <xf numFmtId="175" fontId="53" fillId="5" borderId="1" xfId="1" applyNumberFormat="1" applyFont="1" applyFill="1" applyBorder="1" applyAlignment="1">
      <alignment horizontal="left" indent="2"/>
    </xf>
    <xf numFmtId="0" fontId="54" fillId="4" borderId="0" xfId="0" applyFont="1" applyFill="1"/>
    <xf numFmtId="2" fontId="52" fillId="4" borderId="0" xfId="0" applyNumberFormat="1" applyFont="1" applyFill="1" applyAlignment="1">
      <alignment horizontal="left" vertical="center"/>
    </xf>
    <xf numFmtId="0" fontId="52" fillId="4" borderId="1" xfId="0" applyFont="1" applyFill="1" applyBorder="1"/>
    <xf numFmtId="0" fontId="52" fillId="4" borderId="1" xfId="0" applyFont="1" applyFill="1" applyBorder="1" applyAlignment="1">
      <alignment horizontal="left" indent="1"/>
    </xf>
    <xf numFmtId="0" fontId="55" fillId="4" borderId="0" xfId="0" applyFont="1" applyFill="1"/>
    <xf numFmtId="0" fontId="56" fillId="4" borderId="0" xfId="0" applyFont="1" applyFill="1" applyAlignment="1">
      <alignment vertical="top"/>
    </xf>
    <xf numFmtId="37" fontId="52" fillId="4" borderId="0" xfId="0" applyNumberFormat="1" applyFont="1" applyFill="1"/>
    <xf numFmtId="0" fontId="57" fillId="4" borderId="0" xfId="0" applyFont="1" applyFill="1"/>
    <xf numFmtId="2" fontId="3" fillId="4" borderId="0" xfId="0" applyNumberFormat="1" applyFont="1" applyFill="1" applyAlignment="1">
      <alignment horizontal="left" vertical="center"/>
    </xf>
    <xf numFmtId="2" fontId="3" fillId="4" borderId="0" xfId="0" applyNumberFormat="1" applyFont="1" applyFill="1" applyAlignment="1">
      <alignment horizontal="right" vertical="center"/>
    </xf>
    <xf numFmtId="2" fontId="52" fillId="4" borderId="0" xfId="0" applyNumberFormat="1" applyFont="1" applyFill="1" applyAlignment="1">
      <alignment horizontal="right" vertical="center"/>
    </xf>
    <xf numFmtId="0" fontId="6" fillId="4" borderId="1" xfId="0" applyFont="1" applyFill="1" applyBorder="1" applyAlignment="1">
      <alignment horizontal="left"/>
    </xf>
    <xf numFmtId="0" fontId="54" fillId="4" borderId="1" xfId="0" applyFont="1" applyFill="1" applyBorder="1" applyAlignment="1">
      <alignment horizontal="left"/>
    </xf>
    <xf numFmtId="175" fontId="58" fillId="4" borderId="0" xfId="1" applyNumberFormat="1" applyFont="1" applyFill="1" applyBorder="1" applyAlignment="1">
      <alignment horizontal="left" indent="2"/>
    </xf>
    <xf numFmtId="0" fontId="59" fillId="4" borderId="0" xfId="0" applyFont="1" applyFill="1"/>
    <xf numFmtId="0" fontId="55" fillId="4" borderId="0" xfId="0" applyFont="1" applyFill="1" applyAlignment="1">
      <alignment vertical="top"/>
    </xf>
    <xf numFmtId="0" fontId="52" fillId="4" borderId="0" xfId="0" applyFont="1" applyFill="1" applyAlignment="1">
      <alignment vertical="top"/>
    </xf>
    <xf numFmtId="0" fontId="52" fillId="4" borderId="0" xfId="0" applyFont="1" applyFill="1" applyAlignment="1">
      <alignment horizontal="left" indent="1"/>
    </xf>
    <xf numFmtId="0" fontId="60" fillId="4" borderId="0" xfId="0" applyFont="1" applyFill="1"/>
    <xf numFmtId="0" fontId="56" fillId="4" borderId="0" xfId="0" applyFont="1" applyFill="1" applyAlignment="1">
      <alignment horizontal="left" indent="1"/>
    </xf>
    <xf numFmtId="177" fontId="52" fillId="4" borderId="1" xfId="0" applyNumberFormat="1" applyFont="1" applyFill="1" applyBorder="1"/>
    <xf numFmtId="175" fontId="52" fillId="4" borderId="1" xfId="1" applyNumberFormat="1" applyFont="1" applyFill="1" applyBorder="1"/>
    <xf numFmtId="0" fontId="61" fillId="4" borderId="0" xfId="0" applyFont="1" applyFill="1"/>
    <xf numFmtId="175" fontId="53" fillId="5" borderId="1" xfId="1" applyNumberFormat="1" applyFont="1" applyFill="1" applyBorder="1"/>
    <xf numFmtId="43" fontId="52" fillId="4" borderId="0" xfId="1" applyFont="1" applyFill="1" applyBorder="1"/>
    <xf numFmtId="43" fontId="53" fillId="5" borderId="1" xfId="1" applyFont="1" applyFill="1" applyBorder="1"/>
    <xf numFmtId="43" fontId="53" fillId="4" borderId="0" xfId="1" applyFont="1" applyFill="1" applyBorder="1"/>
    <xf numFmtId="180" fontId="52" fillId="4" borderId="0" xfId="0" applyNumberFormat="1" applyFont="1" applyFill="1"/>
    <xf numFmtId="175" fontId="52" fillId="4" borderId="0" xfId="0" applyNumberFormat="1" applyFont="1" applyFill="1"/>
    <xf numFmtId="168" fontId="52" fillId="4" borderId="0" xfId="0" applyNumberFormat="1" applyFont="1" applyFill="1" applyAlignment="1">
      <alignment horizontal="center"/>
    </xf>
    <xf numFmtId="0" fontId="52" fillId="4" borderId="0" xfId="0" applyFont="1" applyFill="1" applyAlignment="1">
      <alignment horizontal="center"/>
    </xf>
    <xf numFmtId="0" fontId="55" fillId="4" borderId="0" xfId="0" applyFont="1" applyFill="1" applyAlignment="1">
      <alignment horizontal="center" vertical="center" textRotation="90"/>
    </xf>
    <xf numFmtId="168" fontId="52" fillId="4" borderId="7" xfId="0" applyNumberFormat="1" applyFont="1" applyFill="1" applyBorder="1"/>
    <xf numFmtId="168" fontId="52" fillId="4" borderId="5" xfId="0" applyNumberFormat="1" applyFont="1" applyFill="1" applyBorder="1"/>
    <xf numFmtId="0" fontId="52" fillId="4" borderId="5" xfId="0" applyFont="1" applyFill="1" applyBorder="1" applyAlignment="1">
      <alignment horizontal="center"/>
    </xf>
    <xf numFmtId="168" fontId="52" fillId="4" borderId="15" xfId="0" applyNumberFormat="1" applyFont="1" applyFill="1" applyBorder="1"/>
    <xf numFmtId="168" fontId="52" fillId="4" borderId="10" xfId="0" applyNumberFormat="1" applyFont="1" applyFill="1" applyBorder="1"/>
    <xf numFmtId="0" fontId="52" fillId="4" borderId="10" xfId="0" applyFont="1" applyFill="1" applyBorder="1" applyAlignment="1">
      <alignment horizontal="center"/>
    </xf>
    <xf numFmtId="10" fontId="55" fillId="4" borderId="8" xfId="0" applyNumberFormat="1" applyFont="1" applyFill="1" applyBorder="1"/>
    <xf numFmtId="10" fontId="55" fillId="4" borderId="9" xfId="0" applyNumberFormat="1" applyFont="1" applyFill="1" applyBorder="1"/>
    <xf numFmtId="0" fontId="55" fillId="4" borderId="9" xfId="0" applyFont="1" applyFill="1" applyBorder="1" applyAlignment="1">
      <alignment horizontal="center"/>
    </xf>
    <xf numFmtId="0" fontId="55" fillId="4" borderId="4" xfId="0" applyFont="1" applyFill="1" applyBorder="1" applyAlignment="1">
      <alignment horizontal="center"/>
    </xf>
    <xf numFmtId="0" fontId="55" fillId="4" borderId="2" xfId="0" applyFont="1" applyFill="1" applyBorder="1" applyAlignment="1">
      <alignment horizontal="center"/>
    </xf>
    <xf numFmtId="0" fontId="55" fillId="4" borderId="8" xfId="0" applyFont="1" applyFill="1" applyBorder="1" applyAlignment="1">
      <alignment horizontal="center"/>
    </xf>
    <xf numFmtId="0" fontId="52" fillId="4" borderId="0" xfId="0" applyFont="1" applyFill="1" applyAlignment="1">
      <alignment horizontal="left"/>
    </xf>
    <xf numFmtId="0" fontId="59" fillId="4" borderId="0" xfId="0" applyFont="1" applyFill="1" applyAlignment="1">
      <alignment horizontal="left"/>
    </xf>
    <xf numFmtId="168" fontId="52" fillId="4" borderId="7" xfId="0" applyNumberFormat="1" applyFont="1" applyFill="1" applyBorder="1" applyAlignment="1">
      <alignment horizontal="center"/>
    </xf>
    <xf numFmtId="168" fontId="52" fillId="4" borderId="6" xfId="0" applyNumberFormat="1" applyFont="1" applyFill="1" applyBorder="1" applyAlignment="1">
      <alignment horizontal="center"/>
    </xf>
    <xf numFmtId="168" fontId="52" fillId="4" borderId="5" xfId="0" applyNumberFormat="1" applyFont="1" applyFill="1" applyBorder="1" applyAlignment="1">
      <alignment horizontal="center"/>
    </xf>
    <xf numFmtId="0" fontId="52" fillId="4" borderId="12" xfId="0" applyFont="1" applyFill="1" applyBorder="1" applyAlignment="1">
      <alignment horizontal="center"/>
    </xf>
    <xf numFmtId="0" fontId="55" fillId="4" borderId="15" xfId="0" applyFont="1" applyFill="1" applyBorder="1" applyAlignment="1">
      <alignment vertical="center" textRotation="90"/>
    </xf>
    <xf numFmtId="0" fontId="55" fillId="4" borderId="0" xfId="0" applyFont="1" applyFill="1" applyAlignment="1">
      <alignment vertical="center" textRotation="90"/>
    </xf>
    <xf numFmtId="168" fontId="52" fillId="4" borderId="15" xfId="0" applyNumberFormat="1" applyFont="1" applyFill="1" applyBorder="1" applyAlignment="1">
      <alignment horizontal="center"/>
    </xf>
    <xf numFmtId="168" fontId="52" fillId="4" borderId="10" xfId="0" applyNumberFormat="1" applyFont="1" applyFill="1" applyBorder="1" applyAlignment="1">
      <alignment horizontal="center"/>
    </xf>
    <xf numFmtId="0" fontId="52" fillId="4" borderId="13" xfId="0" applyFont="1" applyFill="1" applyBorder="1" applyAlignment="1">
      <alignment horizontal="center"/>
    </xf>
    <xf numFmtId="168" fontId="52" fillId="4" borderId="4" xfId="0" applyNumberFormat="1" applyFont="1" applyFill="1" applyBorder="1" applyAlignment="1">
      <alignment horizontal="center"/>
    </xf>
    <xf numFmtId="168" fontId="52" fillId="4" borderId="3" xfId="0" applyNumberFormat="1" applyFont="1" applyFill="1" applyBorder="1" applyAlignment="1">
      <alignment horizontal="center"/>
    </xf>
    <xf numFmtId="168" fontId="52" fillId="4" borderId="2" xfId="0" applyNumberFormat="1" applyFont="1" applyFill="1" applyBorder="1" applyAlignment="1">
      <alignment horizontal="center"/>
    </xf>
    <xf numFmtId="0" fontId="52" fillId="4" borderId="14" xfId="0" applyFont="1" applyFill="1" applyBorder="1" applyAlignment="1">
      <alignment horizontal="center"/>
    </xf>
    <xf numFmtId="164" fontId="55" fillId="4" borderId="8" xfId="0" applyNumberFormat="1" applyFont="1" applyFill="1" applyBorder="1" applyAlignment="1">
      <alignment horizontal="center"/>
    </xf>
    <xf numFmtId="164" fontId="55" fillId="4" borderId="11" xfId="0" applyNumberFormat="1" applyFont="1" applyFill="1" applyBorder="1" applyAlignment="1">
      <alignment horizontal="center"/>
    </xf>
    <xf numFmtId="164" fontId="55" fillId="4" borderId="9" xfId="0" applyNumberFormat="1" applyFont="1" applyFill="1" applyBorder="1" applyAlignment="1">
      <alignment horizontal="center"/>
    </xf>
    <xf numFmtId="0" fontId="55" fillId="4" borderId="8" xfId="0" applyFont="1" applyFill="1" applyBorder="1" applyAlignment="1">
      <alignment horizontal="centerContinuous"/>
    </xf>
    <xf numFmtId="0" fontId="55" fillId="4" borderId="11" xfId="0" applyFont="1" applyFill="1" applyBorder="1" applyAlignment="1">
      <alignment horizontal="centerContinuous"/>
    </xf>
    <xf numFmtId="0" fontId="55" fillId="4" borderId="9" xfId="0" applyFont="1" applyFill="1" applyBorder="1" applyAlignment="1">
      <alignment horizontal="centerContinuous"/>
    </xf>
    <xf numFmtId="0" fontId="56" fillId="4" borderId="0" xfId="0" applyFont="1" applyFill="1"/>
    <xf numFmtId="0" fontId="52" fillId="4" borderId="1" xfId="0" applyFont="1" applyFill="1" applyBorder="1" applyAlignment="1">
      <alignment horizontal="center" vertical="center"/>
    </xf>
    <xf numFmtId="3" fontId="52" fillId="4" borderId="1" xfId="4" applyNumberFormat="1" applyFont="1" applyFill="1" applyBorder="1" applyAlignment="1">
      <alignment horizontal="center" vertical="center"/>
    </xf>
    <xf numFmtId="0" fontId="52" fillId="4" borderId="1" xfId="0" applyFont="1" applyFill="1" applyBorder="1" applyAlignment="1">
      <alignment vertical="center"/>
    </xf>
    <xf numFmtId="0" fontId="52" fillId="4" borderId="1" xfId="0" applyFont="1" applyFill="1" applyBorder="1" applyAlignment="1">
      <alignment horizontal="center" vertical="center" wrapText="1"/>
    </xf>
    <xf numFmtId="10" fontId="54" fillId="4" borderId="0" xfId="0" applyNumberFormat="1" applyFont="1" applyFill="1"/>
    <xf numFmtId="0" fontId="52" fillId="4" borderId="1" xfId="0" applyFont="1" applyFill="1" applyBorder="1" applyAlignment="1">
      <alignment horizontal="left" vertical="center"/>
    </xf>
    <xf numFmtId="9" fontId="52" fillId="4" borderId="0" xfId="0" applyNumberFormat="1" applyFont="1" applyFill="1" applyAlignment="1">
      <alignment horizontal="center"/>
    </xf>
    <xf numFmtId="10" fontId="52" fillId="4" borderId="0" xfId="2" applyNumberFormat="1" applyFont="1" applyFill="1" applyBorder="1" applyAlignment="1">
      <alignment horizontal="left" vertical="top"/>
    </xf>
    <xf numFmtId="0" fontId="52" fillId="4" borderId="0" xfId="0" applyFont="1" applyFill="1" applyAlignment="1">
      <alignment vertical="center"/>
    </xf>
    <xf numFmtId="10" fontId="52" fillId="4" borderId="1" xfId="2" applyNumberFormat="1" applyFont="1" applyFill="1" applyBorder="1" applyAlignment="1">
      <alignment horizontal="center" vertical="center"/>
    </xf>
    <xf numFmtId="0" fontId="52" fillId="4" borderId="1" xfId="0" applyFont="1" applyFill="1" applyBorder="1" applyAlignment="1">
      <alignment vertical="top"/>
    </xf>
    <xf numFmtId="10" fontId="52" fillId="4" borderId="14" xfId="2" applyNumberFormat="1" applyFont="1" applyFill="1" applyBorder="1" applyAlignment="1">
      <alignment horizontal="center" vertical="center"/>
    </xf>
    <xf numFmtId="0" fontId="52" fillId="4" borderId="2" xfId="0" applyFont="1" applyFill="1" applyBorder="1" applyAlignment="1">
      <alignment wrapText="1"/>
    </xf>
    <xf numFmtId="0" fontId="52" fillId="4" borderId="9" xfId="0" applyFont="1" applyFill="1" applyBorder="1" applyAlignment="1">
      <alignment vertical="center"/>
    </xf>
    <xf numFmtId="0" fontId="56" fillId="4" borderId="0" xfId="0" applyFont="1" applyFill="1" applyAlignment="1">
      <alignment vertical="center"/>
    </xf>
    <xf numFmtId="179" fontId="52" fillId="4" borderId="0" xfId="2" applyNumberFormat="1" applyFont="1" applyFill="1" applyBorder="1" applyAlignment="1">
      <alignment horizontal="center" vertical="center"/>
    </xf>
    <xf numFmtId="0" fontId="52" fillId="4" borderId="8" xfId="0" applyFont="1" applyFill="1" applyBorder="1"/>
    <xf numFmtId="179" fontId="52" fillId="4" borderId="9" xfId="2" applyNumberFormat="1" applyFont="1" applyFill="1" applyBorder="1" applyAlignment="1">
      <alignment horizontal="left" vertical="center"/>
    </xf>
    <xf numFmtId="0" fontId="52" fillId="4" borderId="9" xfId="0" applyFont="1" applyFill="1" applyBorder="1"/>
    <xf numFmtId="0" fontId="52" fillId="4" borderId="9" xfId="0" applyFont="1" applyFill="1" applyBorder="1" applyAlignment="1">
      <alignment horizontal="left" vertical="center"/>
    </xf>
    <xf numFmtId="0" fontId="52" fillId="4" borderId="5" xfId="0" applyFont="1" applyFill="1" applyBorder="1" applyAlignment="1">
      <alignment vertical="center"/>
    </xf>
    <xf numFmtId="0" fontId="52" fillId="4" borderId="2" xfId="0" applyFont="1" applyFill="1" applyBorder="1" applyAlignment="1">
      <alignment vertical="center"/>
    </xf>
    <xf numFmtId="164" fontId="52" fillId="4" borderId="7" xfId="2" applyNumberFormat="1" applyFont="1" applyFill="1" applyBorder="1" applyAlignment="1">
      <alignment horizontal="center" vertical="center"/>
    </xf>
    <xf numFmtId="0" fontId="52" fillId="4" borderId="5" xfId="0" quotePrefix="1" applyFont="1" applyFill="1" applyBorder="1" applyAlignment="1">
      <alignment horizontal="center" vertical="center"/>
    </xf>
    <xf numFmtId="0" fontId="52" fillId="4" borderId="10" xfId="0" applyFont="1" applyFill="1" applyBorder="1" applyAlignment="1">
      <alignment vertical="top"/>
    </xf>
    <xf numFmtId="164" fontId="52" fillId="4" borderId="15" xfId="2" applyNumberFormat="1" applyFont="1" applyFill="1" applyBorder="1" applyAlignment="1">
      <alignment horizontal="center" vertical="center"/>
    </xf>
    <xf numFmtId="0" fontId="52" fillId="4" borderId="10" xfId="0" applyFont="1" applyFill="1" applyBorder="1" applyAlignment="1">
      <alignment horizontal="center" vertical="center"/>
    </xf>
    <xf numFmtId="0" fontId="52" fillId="4" borderId="2" xfId="0" applyFont="1" applyFill="1" applyBorder="1" applyAlignment="1">
      <alignment vertical="top"/>
    </xf>
    <xf numFmtId="9" fontId="52" fillId="4" borderId="7" xfId="2" applyFont="1" applyFill="1" applyBorder="1" applyAlignment="1">
      <alignment horizontal="center" vertical="center"/>
    </xf>
    <xf numFmtId="9" fontId="52" fillId="4" borderId="15" xfId="2" applyFont="1" applyFill="1" applyBorder="1" applyAlignment="1">
      <alignment horizontal="center" vertical="center"/>
    </xf>
    <xf numFmtId="9" fontId="52" fillId="4" borderId="9" xfId="0" applyNumberFormat="1" applyFont="1" applyFill="1" applyBorder="1"/>
    <xf numFmtId="0" fontId="8" fillId="4" borderId="0" xfId="0" applyFont="1" applyFill="1"/>
    <xf numFmtId="175" fontId="52" fillId="4" borderId="0" xfId="0" applyNumberFormat="1" applyFont="1" applyFill="1" applyAlignment="1">
      <alignment horizontal="center"/>
    </xf>
    <xf numFmtId="9" fontId="52" fillId="4" borderId="9" xfId="2" applyFont="1" applyFill="1" applyBorder="1" applyAlignment="1">
      <alignment horizontal="center"/>
    </xf>
    <xf numFmtId="10" fontId="52" fillId="4" borderId="9" xfId="2" applyNumberFormat="1" applyFont="1" applyFill="1" applyBorder="1" applyAlignment="1">
      <alignment horizontal="center" vertical="center"/>
    </xf>
    <xf numFmtId="6" fontId="52" fillId="4" borderId="1" xfId="0" applyNumberFormat="1" applyFont="1" applyFill="1" applyBorder="1" applyAlignment="1">
      <alignment horizontal="right" vertical="center" wrapText="1"/>
    </xf>
    <xf numFmtId="168" fontId="52" fillId="4" borderId="1" xfId="0" applyNumberFormat="1" applyFont="1" applyFill="1" applyBorder="1" applyAlignment="1">
      <alignment horizontal="right" vertical="center" wrapText="1"/>
    </xf>
    <xf numFmtId="175" fontId="52" fillId="4" borderId="1" xfId="4" applyNumberFormat="1" applyFont="1" applyFill="1" applyBorder="1" applyAlignment="1">
      <alignment horizontal="right" vertical="center"/>
    </xf>
    <xf numFmtId="0" fontId="52" fillId="4" borderId="1" xfId="0" applyFont="1" applyFill="1" applyBorder="1" applyAlignment="1">
      <alignment horizontal="right" vertical="center" wrapText="1"/>
    </xf>
    <xf numFmtId="0" fontId="55" fillId="4" borderId="1" xfId="0" applyFont="1" applyFill="1" applyBorder="1" applyAlignment="1">
      <alignment horizontal="right" vertical="center"/>
    </xf>
    <xf numFmtId="177" fontId="52" fillId="4" borderId="0" xfId="6" applyNumberFormat="1" applyFont="1" applyFill="1" applyBorder="1"/>
    <xf numFmtId="177" fontId="52" fillId="4" borderId="1" xfId="6" applyNumberFormat="1" applyFont="1" applyFill="1" applyBorder="1"/>
    <xf numFmtId="0" fontId="52" fillId="4" borderId="0" xfId="0" applyFont="1" applyFill="1" applyAlignment="1">
      <alignment horizontal="left" vertical="center"/>
    </xf>
    <xf numFmtId="0" fontId="52" fillId="4" borderId="0" xfId="0" applyFont="1" applyFill="1" applyAlignment="1">
      <alignment horizontal="left" vertical="top" wrapText="1"/>
    </xf>
    <xf numFmtId="0" fontId="52" fillId="4" borderId="8" xfId="0" applyFont="1" applyFill="1" applyBorder="1" applyAlignment="1">
      <alignment horizontal="left" vertical="center"/>
    </xf>
    <xf numFmtId="0" fontId="52" fillId="4" borderId="11" xfId="0" applyFont="1" applyFill="1" applyBorder="1" applyAlignment="1">
      <alignment horizontal="left" vertical="center"/>
    </xf>
    <xf numFmtId="0" fontId="52" fillId="4" borderId="9" xfId="0" applyFont="1" applyFill="1" applyBorder="1" applyAlignment="1">
      <alignment vertical="top" wrapText="1"/>
    </xf>
    <xf numFmtId="0" fontId="52" fillId="4" borderId="4" xfId="0" applyFont="1" applyFill="1" applyBorder="1" applyAlignment="1">
      <alignment horizontal="left" vertical="center"/>
    </xf>
    <xf numFmtId="0" fontId="52" fillId="4" borderId="3" xfId="0" applyFont="1" applyFill="1" applyBorder="1" applyAlignment="1">
      <alignment horizontal="left" vertical="center"/>
    </xf>
    <xf numFmtId="0" fontId="52" fillId="4" borderId="2" xfId="0" applyFont="1" applyFill="1" applyBorder="1" applyAlignment="1">
      <alignment horizontal="left" vertical="center"/>
    </xf>
    <xf numFmtId="0" fontId="52" fillId="4" borderId="0" xfId="0" applyFont="1" applyFill="1" applyAlignment="1">
      <alignment wrapText="1"/>
    </xf>
    <xf numFmtId="0" fontId="54" fillId="4" borderId="0" xfId="0" applyFont="1" applyFill="1" applyAlignment="1">
      <alignment vertical="center"/>
    </xf>
    <xf numFmtId="0" fontId="55" fillId="4" borderId="0" xfId="0" applyFont="1" applyFill="1" applyAlignment="1">
      <alignment vertical="center"/>
    </xf>
    <xf numFmtId="0" fontId="55" fillId="4" borderId="1" xfId="0" applyFont="1" applyFill="1" applyBorder="1"/>
    <xf numFmtId="0" fontId="55" fillId="4" borderId="1" xfId="0" applyFont="1" applyFill="1" applyBorder="1" applyAlignment="1">
      <alignment horizontal="left" indent="1"/>
    </xf>
    <xf numFmtId="0" fontId="55" fillId="4" borderId="0" xfId="0" applyFont="1" applyFill="1" applyAlignment="1">
      <alignment wrapText="1"/>
    </xf>
    <xf numFmtId="177" fontId="52" fillId="4" borderId="0" xfId="0" applyNumberFormat="1" applyFont="1" applyFill="1"/>
    <xf numFmtId="175" fontId="52" fillId="4" borderId="6" xfId="1" applyNumberFormat="1" applyFont="1" applyFill="1" applyBorder="1"/>
    <xf numFmtId="175" fontId="52" fillId="4" borderId="0" xfId="1" applyNumberFormat="1" applyFont="1" applyFill="1"/>
    <xf numFmtId="0" fontId="55" fillId="4" borderId="13" xfId="0" applyFont="1" applyFill="1" applyBorder="1" applyAlignment="1">
      <alignment vertical="center" textRotation="90"/>
    </xf>
    <xf numFmtId="0" fontId="62" fillId="0" borderId="0" xfId="0" applyFont="1"/>
    <xf numFmtId="0" fontId="63" fillId="0" borderId="0" xfId="0" applyFont="1" applyAlignment="1">
      <alignment horizontal="left" indent="1"/>
    </xf>
    <xf numFmtId="0" fontId="63" fillId="0" borderId="0" xfId="0" applyFont="1"/>
    <xf numFmtId="0" fontId="64" fillId="0" borderId="0" xfId="0" applyFont="1"/>
    <xf numFmtId="0" fontId="65" fillId="6" borderId="0" xfId="0" applyFont="1" applyFill="1"/>
    <xf numFmtId="0" fontId="66" fillId="0" borderId="0" xfId="0" applyFont="1" applyAlignment="1">
      <alignment horizontal="center"/>
    </xf>
    <xf numFmtId="175" fontId="62" fillId="0" borderId="0" xfId="0" applyNumberFormat="1" applyFont="1"/>
    <xf numFmtId="175" fontId="63" fillId="0" borderId="0" xfId="0" applyNumberFormat="1" applyFont="1"/>
    <xf numFmtId="37" fontId="63" fillId="0" borderId="0" xfId="0" applyNumberFormat="1" applyFont="1" applyAlignment="1">
      <alignment horizontal="center"/>
    </xf>
    <xf numFmtId="0" fontId="66" fillId="0" borderId="0" xfId="0" applyFont="1" applyAlignment="1">
      <alignment horizontal="left"/>
    </xf>
    <xf numFmtId="0" fontId="63" fillId="0" borderId="0" xfId="0" applyFont="1" applyAlignment="1">
      <alignment horizontal="left"/>
    </xf>
    <xf numFmtId="37" fontId="63" fillId="0" borderId="0" xfId="0" applyNumberFormat="1" applyFont="1"/>
    <xf numFmtId="37" fontId="66" fillId="0" borderId="0" xfId="0" applyNumberFormat="1" applyFont="1" applyAlignment="1">
      <alignment horizontal="center"/>
    </xf>
    <xf numFmtId="14" fontId="66" fillId="0" borderId="0" xfId="0" applyNumberFormat="1" applyFont="1" applyAlignment="1">
      <alignment horizontal="left"/>
    </xf>
    <xf numFmtId="0" fontId="55" fillId="4" borderId="10" xfId="0" applyFont="1" applyFill="1" applyBorder="1" applyAlignment="1">
      <alignment vertical="center" textRotation="90"/>
    </xf>
    <xf numFmtId="164" fontId="64" fillId="0" borderId="0" xfId="2" applyNumberFormat="1" applyFont="1" applyAlignment="1">
      <alignment horizontal="center"/>
    </xf>
    <xf numFmtId="37" fontId="63" fillId="0" borderId="6" xfId="0" applyNumberFormat="1" applyFont="1" applyBorder="1" applyAlignment="1">
      <alignment horizontal="center"/>
    </xf>
    <xf numFmtId="0" fontId="63" fillId="0" borderId="6" xfId="0" applyFont="1" applyBorder="1" applyAlignment="1">
      <alignment horizontal="left"/>
    </xf>
    <xf numFmtId="0" fontId="64" fillId="0" borderId="0" xfId="0" applyFont="1" applyAlignment="1">
      <alignment horizontal="center"/>
    </xf>
    <xf numFmtId="37" fontId="66" fillId="0" borderId="0" xfId="1" applyNumberFormat="1" applyFont="1" applyFill="1" applyAlignment="1">
      <alignment horizontal="center"/>
    </xf>
    <xf numFmtId="37" fontId="63" fillId="0" borderId="0" xfId="1" applyNumberFormat="1" applyFont="1" applyFill="1" applyAlignment="1">
      <alignment horizontal="center"/>
    </xf>
    <xf numFmtId="14" fontId="63" fillId="0" borderId="0" xfId="0" applyNumberFormat="1" applyFont="1" applyAlignment="1">
      <alignment horizontal="left"/>
    </xf>
    <xf numFmtId="0" fontId="63" fillId="0" borderId="0" xfId="0" applyFont="1" applyAlignment="1">
      <alignment horizontal="center"/>
    </xf>
    <xf numFmtId="10" fontId="63" fillId="0" borderId="0" xfId="0" applyNumberFormat="1" applyFont="1"/>
    <xf numFmtId="175" fontId="63" fillId="0" borderId="0" xfId="1" applyNumberFormat="1" applyFont="1"/>
    <xf numFmtId="0" fontId="67" fillId="0" borderId="0" xfId="0" applyFont="1"/>
    <xf numFmtId="0" fontId="68" fillId="0" borderId="0" xfId="0" applyFont="1"/>
    <xf numFmtId="175" fontId="63" fillId="4" borderId="8" xfId="0" applyNumberFormat="1" applyFont="1" applyFill="1" applyBorder="1"/>
    <xf numFmtId="175" fontId="63" fillId="4" borderId="11" xfId="0" applyNumberFormat="1" applyFont="1" applyFill="1" applyBorder="1"/>
    <xf numFmtId="0" fontId="63" fillId="4" borderId="9" xfId="0" applyFont="1" applyFill="1" applyBorder="1" applyAlignment="1">
      <alignment horizontal="left"/>
    </xf>
    <xf numFmtId="175" fontId="69" fillId="0" borderId="0" xfId="0" applyNumberFormat="1" applyFont="1"/>
    <xf numFmtId="0" fontId="69" fillId="0" borderId="0" xfId="0" applyFont="1" applyAlignment="1">
      <alignment horizontal="left"/>
    </xf>
    <xf numFmtId="175" fontId="70" fillId="0" borderId="0" xfId="0" applyNumberFormat="1" applyFont="1"/>
    <xf numFmtId="175" fontId="70" fillId="0" borderId="0" xfId="1" applyNumberFormat="1" applyFont="1"/>
    <xf numFmtId="0" fontId="70" fillId="0" borderId="0" xfId="0" applyFont="1" applyAlignment="1">
      <alignment horizontal="left"/>
    </xf>
    <xf numFmtId="0" fontId="70" fillId="0" borderId="0" xfId="0" applyFont="1" applyAlignment="1">
      <alignment horizontal="right"/>
    </xf>
    <xf numFmtId="10" fontId="70" fillId="0" borderId="0" xfId="0" applyNumberFormat="1" applyFont="1"/>
    <xf numFmtId="43" fontId="63" fillId="0" borderId="0" xfId="0" applyNumberFormat="1" applyFont="1"/>
    <xf numFmtId="0" fontId="63" fillId="0" borderId="0" xfId="0" applyFont="1" applyAlignment="1">
      <alignment horizontal="right"/>
    </xf>
    <xf numFmtId="0" fontId="64" fillId="0" borderId="0" xfId="0" applyFont="1" applyAlignment="1">
      <alignment horizontal="left"/>
    </xf>
    <xf numFmtId="175" fontId="69" fillId="0" borderId="0" xfId="0" applyNumberFormat="1" applyFont="1" applyAlignment="1">
      <alignment horizontal="right"/>
    </xf>
    <xf numFmtId="0" fontId="71" fillId="0" borderId="0" xfId="0" applyFont="1" applyAlignment="1">
      <alignment horizontal="left" indent="1"/>
    </xf>
    <xf numFmtId="175" fontId="63" fillId="0" borderId="0" xfId="0" applyNumberFormat="1" applyFont="1" applyAlignment="1">
      <alignment horizontal="right"/>
    </xf>
    <xf numFmtId="0" fontId="64" fillId="0" borderId="0" xfId="0" applyFont="1" applyAlignment="1">
      <alignment horizontal="left" indent="1"/>
    </xf>
    <xf numFmtId="0" fontId="66" fillId="0" borderId="0" xfId="0" applyFont="1"/>
    <xf numFmtId="43" fontId="63" fillId="0" borderId="0" xfId="0" applyNumberFormat="1" applyFont="1" applyAlignment="1">
      <alignment horizontal="right"/>
    </xf>
    <xf numFmtId="0" fontId="72" fillId="0" borderId="0" xfId="0" applyFont="1"/>
    <xf numFmtId="10" fontId="52" fillId="4" borderId="8" xfId="2" applyNumberFormat="1" applyFont="1" applyFill="1" applyBorder="1" applyAlignment="1">
      <alignment horizontal="center" vertical="center"/>
    </xf>
    <xf numFmtId="175" fontId="63" fillId="0" borderId="0" xfId="1" applyNumberFormat="1" applyFont="1" applyFill="1"/>
    <xf numFmtId="175" fontId="70" fillId="0" borderId="0" xfId="1" applyNumberFormat="1" applyFont="1" applyFill="1"/>
    <xf numFmtId="0" fontId="68" fillId="0" borderId="0" xfId="0" applyFont="1" applyAlignment="1">
      <alignment wrapText="1"/>
    </xf>
    <xf numFmtId="0" fontId="52" fillId="4" borderId="10" xfId="0" quotePrefix="1" applyFont="1" applyFill="1" applyBorder="1" applyAlignment="1">
      <alignment horizontal="center" vertical="center"/>
    </xf>
    <xf numFmtId="175" fontId="63" fillId="0" borderId="0" xfId="1" applyNumberFormat="1" applyFont="1" applyBorder="1"/>
    <xf numFmtId="0" fontId="70" fillId="0" borderId="0" xfId="0" applyFont="1"/>
    <xf numFmtId="0" fontId="73" fillId="6" borderId="0" xfId="0" applyFont="1" applyFill="1"/>
    <xf numFmtId="0" fontId="74" fillId="0" borderId="0" xfId="0" applyFont="1"/>
    <xf numFmtId="43" fontId="76" fillId="0" borderId="0" xfId="1" applyFont="1"/>
    <xf numFmtId="0" fontId="76" fillId="0" borderId="0" xfId="0" applyFont="1" applyAlignment="1">
      <alignment horizontal="right"/>
    </xf>
    <xf numFmtId="0" fontId="67" fillId="0" borderId="0" xfId="0" applyFont="1" applyAlignment="1">
      <alignment horizontal="right"/>
    </xf>
    <xf numFmtId="0" fontId="77" fillId="0" borderId="0" xfId="0" applyFont="1" applyAlignment="1">
      <alignment horizontal="right"/>
    </xf>
    <xf numFmtId="0" fontId="77" fillId="0" borderId="0" xfId="0" applyFont="1"/>
    <xf numFmtId="43" fontId="67" fillId="0" borderId="0" xfId="1" applyFont="1"/>
    <xf numFmtId="175" fontId="76" fillId="0" borderId="0" xfId="1" applyNumberFormat="1" applyFont="1"/>
    <xf numFmtId="43" fontId="67" fillId="0" borderId="0" xfId="0" applyNumberFormat="1" applyFont="1" applyAlignment="1">
      <alignment horizontal="right"/>
    </xf>
    <xf numFmtId="43" fontId="67" fillId="0" borderId="0" xfId="1" applyFont="1" applyAlignment="1">
      <alignment horizontal="right"/>
    </xf>
    <xf numFmtId="43" fontId="77" fillId="0" borderId="0" xfId="1" applyFont="1" applyAlignment="1">
      <alignment horizontal="right"/>
    </xf>
    <xf numFmtId="175" fontId="67" fillId="0" borderId="0" xfId="1" applyNumberFormat="1" applyFont="1" applyAlignment="1">
      <alignment horizontal="right"/>
    </xf>
    <xf numFmtId="0" fontId="78" fillId="0" borderId="0" xfId="0" applyFont="1" applyAlignment="1">
      <alignment horizontal="left"/>
    </xf>
    <xf numFmtId="9" fontId="67" fillId="0" borderId="0" xfId="0" applyNumberFormat="1" applyFont="1"/>
    <xf numFmtId="0" fontId="76" fillId="0" borderId="0" xfId="0" applyFont="1" applyAlignment="1">
      <alignment horizontal="left"/>
    </xf>
    <xf numFmtId="0" fontId="76" fillId="0" borderId="0" xfId="0" applyFont="1"/>
    <xf numFmtId="175" fontId="67" fillId="0" borderId="0" xfId="1" applyNumberFormat="1" applyFont="1"/>
    <xf numFmtId="175" fontId="67" fillId="0" borderId="0" xfId="0" applyNumberFormat="1" applyFont="1" applyAlignment="1">
      <alignment horizontal="center"/>
    </xf>
    <xf numFmtId="0" fontId="67" fillId="0" borderId="0" xfId="0" applyFont="1" applyAlignment="1">
      <alignment horizontal="center"/>
    </xf>
    <xf numFmtId="10" fontId="67" fillId="0" borderId="0" xfId="0" applyNumberFormat="1" applyFont="1"/>
    <xf numFmtId="168" fontId="67" fillId="0" borderId="0" xfId="0" applyNumberFormat="1" applyFont="1"/>
    <xf numFmtId="175" fontId="67" fillId="0" borderId="0" xfId="0" applyNumberFormat="1" applyFont="1"/>
    <xf numFmtId="175" fontId="67" fillId="0" borderId="11" xfId="0" applyNumberFormat="1" applyFont="1" applyBorder="1" applyAlignment="1">
      <alignment horizontal="center"/>
    </xf>
    <xf numFmtId="0" fontId="67" fillId="0" borderId="11" xfId="0" applyFont="1" applyBorder="1" applyAlignment="1">
      <alignment horizontal="center"/>
    </xf>
    <xf numFmtId="175" fontId="76" fillId="0" borderId="0" xfId="1" applyNumberFormat="1" applyFont="1" applyFill="1"/>
    <xf numFmtId="0" fontId="78" fillId="0" borderId="0" xfId="0" applyFont="1" applyAlignment="1">
      <alignment horizontal="center"/>
    </xf>
    <xf numFmtId="175" fontId="77" fillId="0" borderId="0" xfId="1" applyNumberFormat="1" applyFont="1" applyFill="1" applyAlignment="1">
      <alignment horizontal="right"/>
    </xf>
    <xf numFmtId="175" fontId="67" fillId="0" borderId="0" xfId="1" applyNumberFormat="1" applyFont="1" applyFill="1"/>
    <xf numFmtId="175" fontId="77" fillId="0" borderId="0" xfId="1" applyNumberFormat="1" applyFont="1" applyAlignment="1">
      <alignment horizontal="right"/>
    </xf>
    <xf numFmtId="183" fontId="67" fillId="0" borderId="0" xfId="0" applyNumberFormat="1" applyFont="1" applyAlignment="1">
      <alignment horizontal="right"/>
    </xf>
    <xf numFmtId="165" fontId="77" fillId="0" borderId="0" xfId="0" applyNumberFormat="1" applyFont="1"/>
    <xf numFmtId="184" fontId="67" fillId="0" borderId="0" xfId="0" applyNumberFormat="1" applyFont="1" applyAlignment="1">
      <alignment horizontal="right"/>
    </xf>
    <xf numFmtId="183" fontId="77" fillId="0" borderId="0" xfId="0" applyNumberFormat="1" applyFont="1" applyAlignment="1">
      <alignment horizontal="right"/>
    </xf>
    <xf numFmtId="168" fontId="77" fillId="0" borderId="0" xfId="0" applyNumberFormat="1" applyFont="1" applyAlignment="1">
      <alignment horizontal="right"/>
    </xf>
    <xf numFmtId="43" fontId="77" fillId="0" borderId="0" xfId="0" applyNumberFormat="1" applyFont="1" applyAlignment="1">
      <alignment horizontal="right"/>
    </xf>
    <xf numFmtId="43" fontId="76" fillId="0" borderId="0" xfId="0" applyNumberFormat="1" applyFont="1"/>
    <xf numFmtId="43" fontId="67" fillId="0" borderId="0" xfId="0" applyNumberFormat="1" applyFont="1"/>
    <xf numFmtId="185" fontId="67" fillId="0" borderId="0" xfId="0" applyNumberFormat="1" applyFont="1"/>
    <xf numFmtId="175" fontId="67" fillId="0" borderId="0" xfId="1" applyNumberFormat="1" applyFont="1" applyFill="1" applyAlignment="1">
      <alignment horizontal="right"/>
    </xf>
    <xf numFmtId="165" fontId="67" fillId="0" borderId="0" xfId="0" applyNumberFormat="1" applyFont="1" applyAlignment="1">
      <alignment horizontal="right"/>
    </xf>
    <xf numFmtId="168" fontId="67" fillId="0" borderId="0" xfId="0" applyNumberFormat="1" applyFont="1" applyAlignment="1">
      <alignment horizontal="right"/>
    </xf>
    <xf numFmtId="0" fontId="78" fillId="0" borderId="0" xfId="0" applyFont="1"/>
    <xf numFmtId="175" fontId="76" fillId="0" borderId="0" xfId="0" applyNumberFormat="1" applyFont="1"/>
    <xf numFmtId="175" fontId="77" fillId="0" borderId="0" xfId="0" applyNumberFormat="1" applyFont="1" applyAlignment="1">
      <alignment horizontal="right"/>
    </xf>
    <xf numFmtId="186" fontId="77" fillId="0" borderId="0" xfId="0" applyNumberFormat="1" applyFont="1"/>
    <xf numFmtId="175" fontId="67" fillId="0" borderId="0" xfId="0" applyNumberFormat="1" applyFont="1" applyAlignment="1">
      <alignment horizontal="right"/>
    </xf>
    <xf numFmtId="186" fontId="67" fillId="0" borderId="0" xfId="0" applyNumberFormat="1" applyFont="1" applyAlignment="1">
      <alignment horizontal="right"/>
    </xf>
    <xf numFmtId="0" fontId="79" fillId="0" borderId="0" xfId="0" applyFont="1" applyAlignment="1">
      <alignment horizontal="left"/>
    </xf>
    <xf numFmtId="4" fontId="15" fillId="0" borderId="0" xfId="0" applyNumberFormat="1" applyFont="1" applyAlignment="1">
      <alignment horizontal="center"/>
    </xf>
    <xf numFmtId="0" fontId="15" fillId="0" borderId="0" xfId="0" applyFont="1" applyAlignment="1">
      <alignment horizontal="right"/>
    </xf>
    <xf numFmtId="0" fontId="0" fillId="0" borderId="0" xfId="0" applyAlignment="1">
      <alignment horizontal="center"/>
    </xf>
    <xf numFmtId="3" fontId="15" fillId="0" borderId="0" xfId="0" applyNumberFormat="1" applyFont="1" applyAlignment="1">
      <alignment horizontal="center"/>
    </xf>
    <xf numFmtId="4" fontId="0" fillId="0" borderId="0" xfId="0" applyNumberFormat="1" applyAlignment="1">
      <alignment horizontal="center"/>
    </xf>
    <xf numFmtId="0" fontId="0" fillId="0" borderId="0" xfId="0" applyAlignment="1">
      <alignment horizontal="right"/>
    </xf>
    <xf numFmtId="0" fontId="14" fillId="0" borderId="0" xfId="0" applyFont="1" applyAlignment="1">
      <alignment horizontal="center"/>
    </xf>
    <xf numFmtId="4" fontId="15" fillId="0" borderId="0" xfId="0" applyNumberFormat="1" applyFont="1"/>
    <xf numFmtId="9" fontId="0" fillId="0" borderId="0" xfId="0" applyNumberFormat="1" applyAlignment="1">
      <alignment horizontal="center"/>
    </xf>
    <xf numFmtId="2" fontId="80" fillId="0" borderId="0" xfId="0" applyNumberFormat="1" applyFont="1" applyAlignment="1">
      <alignment horizontal="center"/>
    </xf>
    <xf numFmtId="2" fontId="0" fillId="0" borderId="0" xfId="0" applyNumberFormat="1" applyAlignment="1">
      <alignment horizontal="center"/>
    </xf>
    <xf numFmtId="4" fontId="0" fillId="0" borderId="0" xfId="0" applyNumberFormat="1"/>
    <xf numFmtId="175" fontId="0" fillId="0" borderId="0" xfId="0" applyNumberFormat="1"/>
    <xf numFmtId="0" fontId="15" fillId="0" borderId="0" xfId="0" applyFont="1" applyAlignment="1">
      <alignment horizontal="center" wrapText="1"/>
    </xf>
    <xf numFmtId="0" fontId="13" fillId="0" borderId="0" xfId="0" applyFont="1" applyAlignment="1">
      <alignment horizontal="center"/>
    </xf>
    <xf numFmtId="3" fontId="0" fillId="0" borderId="0" xfId="0" applyNumberFormat="1" applyAlignment="1">
      <alignment horizontal="center"/>
    </xf>
    <xf numFmtId="0" fontId="15" fillId="0" borderId="0" xfId="0" applyFont="1" applyAlignment="1">
      <alignment horizontal="center"/>
    </xf>
    <xf numFmtId="0" fontId="16" fillId="0" borderId="0" xfId="0" applyFont="1"/>
    <xf numFmtId="0" fontId="13" fillId="0" borderId="0" xfId="0" applyFont="1"/>
    <xf numFmtId="0" fontId="79" fillId="0" borderId="0" xfId="0" applyFont="1"/>
    <xf numFmtId="0" fontId="0" fillId="0" borderId="0" xfId="0" quotePrefix="1" applyAlignment="1">
      <alignment horizontal="center"/>
    </xf>
    <xf numFmtId="10" fontId="0" fillId="0" borderId="0" xfId="0" applyNumberFormat="1"/>
    <xf numFmtId="0" fontId="4" fillId="0" borderId="0" xfId="0" applyFont="1" applyAlignment="1">
      <alignment wrapText="1"/>
    </xf>
    <xf numFmtId="0" fontId="3" fillId="2" borderId="1" xfId="0" applyFont="1" applyFill="1" applyBorder="1" applyAlignment="1">
      <alignment wrapText="1"/>
    </xf>
    <xf numFmtId="0" fontId="14" fillId="0" borderId="0" xfId="0" applyFont="1" applyAlignment="1">
      <alignment horizontal="left"/>
    </xf>
    <xf numFmtId="187" fontId="3" fillId="2" borderId="1" xfId="0" applyNumberFormat="1" applyFont="1" applyFill="1" applyBorder="1"/>
    <xf numFmtId="0" fontId="3" fillId="2" borderId="12" xfId="0" applyFont="1" applyFill="1" applyBorder="1" applyAlignment="1">
      <alignment horizontal="right"/>
    </xf>
    <xf numFmtId="0" fontId="3" fillId="2" borderId="14" xfId="0" applyFont="1" applyFill="1" applyBorder="1" applyAlignment="1">
      <alignment horizontal="right" wrapText="1"/>
    </xf>
    <xf numFmtId="0" fontId="3" fillId="2" borderId="2" xfId="0" applyFont="1" applyFill="1" applyBorder="1" applyAlignment="1">
      <alignment horizontal="right" wrapText="1"/>
    </xf>
    <xf numFmtId="0" fontId="0" fillId="0" borderId="0" xfId="0" quotePrefix="1"/>
    <xf numFmtId="10" fontId="79" fillId="0" borderId="0" xfId="2" applyNumberFormat="1" applyFont="1" applyFill="1" applyBorder="1" applyAlignment="1">
      <alignment horizontal="center"/>
    </xf>
    <xf numFmtId="10" fontId="0" fillId="0" borderId="0" xfId="0" applyNumberFormat="1" applyAlignment="1">
      <alignment horizontal="center"/>
    </xf>
    <xf numFmtId="10" fontId="0" fillId="0" borderId="0" xfId="2" applyNumberFormat="1" applyFont="1" applyFill="1" applyBorder="1"/>
    <xf numFmtId="0" fontId="81" fillId="0" borderId="0" xfId="0" applyFont="1"/>
    <xf numFmtId="10" fontId="15" fillId="0" borderId="0" xfId="2" applyNumberFormat="1" applyFont="1" applyFill="1" applyBorder="1"/>
    <xf numFmtId="3" fontId="3" fillId="2" borderId="1" xfId="0" applyNumberFormat="1" applyFont="1" applyFill="1" applyBorder="1"/>
    <xf numFmtId="4" fontId="3" fillId="2" borderId="1" xfId="0" applyNumberFormat="1" applyFont="1" applyFill="1" applyBorder="1"/>
    <xf numFmtId="188" fontId="0" fillId="0" borderId="0" xfId="2" applyNumberFormat="1" applyFont="1" applyFill="1" applyBorder="1"/>
    <xf numFmtId="10" fontId="15" fillId="0" borderId="0" xfId="0" applyNumberFormat="1" applyFont="1"/>
    <xf numFmtId="189" fontId="0" fillId="0" borderId="0" xfId="2" applyNumberFormat="1" applyFont="1" applyFill="1" applyBorder="1"/>
    <xf numFmtId="189" fontId="0" fillId="0" borderId="0" xfId="0" applyNumberFormat="1"/>
    <xf numFmtId="0" fontId="82" fillId="0" borderId="0" xfId="0" applyFont="1"/>
    <xf numFmtId="0" fontId="2" fillId="2" borderId="1" xfId="0" applyFont="1" applyFill="1" applyBorder="1"/>
    <xf numFmtId="14" fontId="3" fillId="2" borderId="1" xfId="0" applyNumberFormat="1" applyFont="1" applyFill="1" applyBorder="1"/>
    <xf numFmtId="4" fontId="15" fillId="0" borderId="8" xfId="0" applyNumberFormat="1" applyFont="1" applyBorder="1" applyAlignment="1">
      <alignment horizontal="center"/>
    </xf>
    <xf numFmtId="0" fontId="15" fillId="0" borderId="9" xfId="0" applyFont="1" applyBorder="1" applyAlignment="1">
      <alignment horizontal="right"/>
    </xf>
    <xf numFmtId="9" fontId="0" fillId="7" borderId="0" xfId="0" applyNumberFormat="1" applyFill="1" applyAlignment="1">
      <alignment horizontal="center"/>
    </xf>
    <xf numFmtId="4" fontId="0" fillId="7" borderId="0" xfId="0" applyNumberFormat="1" applyFill="1"/>
    <xf numFmtId="0" fontId="0" fillId="7" borderId="0" xfId="0" applyFill="1"/>
    <xf numFmtId="0" fontId="13" fillId="10" borderId="0" xfId="0" applyFont="1" applyFill="1" applyAlignment="1">
      <alignment horizontal="center"/>
    </xf>
    <xf numFmtId="3" fontId="0" fillId="7" borderId="0" xfId="0" applyNumberFormat="1" applyFill="1" applyAlignment="1">
      <alignment horizontal="center"/>
    </xf>
    <xf numFmtId="0" fontId="0" fillId="11" borderId="0" xfId="0" applyFill="1"/>
    <xf numFmtId="0" fontId="0" fillId="11" borderId="0" xfId="0" applyFill="1" applyAlignment="1">
      <alignment horizontal="center"/>
    </xf>
    <xf numFmtId="0" fontId="16" fillId="11" borderId="0" xfId="0" applyFont="1" applyFill="1"/>
    <xf numFmtId="0" fontId="13" fillId="11" borderId="0" xfId="0" applyFont="1" applyFill="1"/>
    <xf numFmtId="3" fontId="0" fillId="7" borderId="0" xfId="0" applyNumberFormat="1" applyFill="1"/>
    <xf numFmtId="10" fontId="79" fillId="0" borderId="7" xfId="2" applyNumberFormat="1" applyFont="1" applyBorder="1" applyAlignment="1">
      <alignment horizontal="center"/>
    </xf>
    <xf numFmtId="10" fontId="79" fillId="0" borderId="6" xfId="2" applyNumberFormat="1" applyFont="1" applyBorder="1" applyAlignment="1">
      <alignment horizontal="center"/>
    </xf>
    <xf numFmtId="0" fontId="79" fillId="0" borderId="5" xfId="0" applyFont="1" applyBorder="1"/>
    <xf numFmtId="10" fontId="0" fillId="0" borderId="15" xfId="0" applyNumberFormat="1" applyBorder="1" applyAlignment="1">
      <alignment horizontal="center"/>
    </xf>
    <xf numFmtId="0" fontId="0" fillId="0" borderId="10" xfId="0" applyBorder="1"/>
    <xf numFmtId="4" fontId="15" fillId="0" borderId="4" xfId="0" applyNumberFormat="1" applyFont="1" applyBorder="1" applyAlignment="1">
      <alignment horizontal="center"/>
    </xf>
    <xf numFmtId="0" fontId="15" fillId="0" borderId="3" xfId="0" applyFont="1" applyBorder="1" applyAlignment="1">
      <alignment horizontal="center"/>
    </xf>
    <xf numFmtId="0" fontId="0" fillId="0" borderId="2" xfId="0" applyBorder="1"/>
    <xf numFmtId="10" fontId="0" fillId="0" borderId="0" xfId="2" applyNumberFormat="1" applyFont="1"/>
    <xf numFmtId="0" fontId="0" fillId="12" borderId="0" xfId="0" applyFill="1" applyAlignment="1">
      <alignment horizontal="right"/>
    </xf>
    <xf numFmtId="10" fontId="15" fillId="0" borderId="0" xfId="2" applyNumberFormat="1" applyFont="1"/>
    <xf numFmtId="0" fontId="15" fillId="12" borderId="0" xfId="0" applyFont="1" applyFill="1" applyAlignment="1">
      <alignment horizontal="right"/>
    </xf>
    <xf numFmtId="188" fontId="0" fillId="0" borderId="0" xfId="2" applyNumberFormat="1" applyFont="1"/>
    <xf numFmtId="0" fontId="0" fillId="13" borderId="0" xfId="0" applyFill="1" applyAlignment="1">
      <alignment horizontal="right"/>
    </xf>
    <xf numFmtId="189" fontId="0" fillId="0" borderId="0" xfId="2" applyNumberFormat="1" applyFont="1"/>
    <xf numFmtId="0" fontId="0" fillId="14" borderId="0" xfId="0" applyFill="1" applyAlignment="1">
      <alignment horizontal="right"/>
    </xf>
    <xf numFmtId="0" fontId="37" fillId="15" borderId="0" xfId="0" applyFont="1" applyFill="1"/>
    <xf numFmtId="0" fontId="3" fillId="15" borderId="0" xfId="0" applyFont="1" applyFill="1"/>
    <xf numFmtId="0" fontId="2" fillId="15" borderId="0" xfId="0" applyFont="1" applyFill="1"/>
    <xf numFmtId="0" fontId="3" fillId="15" borderId="0" xfId="0" applyFont="1" applyFill="1" applyAlignment="1">
      <alignment vertical="top"/>
    </xf>
    <xf numFmtId="0" fontId="3" fillId="16" borderId="0" xfId="0" applyFont="1" applyFill="1" applyAlignment="1">
      <alignment vertical="top"/>
    </xf>
    <xf numFmtId="0" fontId="3" fillId="15" borderId="0" xfId="0" applyFont="1" applyFill="1" applyAlignment="1">
      <alignment horizontal="center" vertical="center"/>
    </xf>
    <xf numFmtId="0" fontId="3" fillId="15" borderId="0" xfId="0" applyFont="1" applyFill="1" applyAlignment="1">
      <alignment horizontal="left" vertical="center"/>
    </xf>
    <xf numFmtId="0" fontId="3" fillId="15" borderId="0" xfId="0" applyFont="1" applyFill="1" applyAlignment="1">
      <alignment horizontal="left" vertical="top"/>
    </xf>
    <xf numFmtId="0" fontId="17" fillId="15" borderId="0" xfId="0" applyFont="1" applyFill="1"/>
    <xf numFmtId="0" fontId="3" fillId="16" borderId="0" xfId="0" applyFont="1" applyFill="1" applyAlignment="1">
      <alignment horizontal="left" vertical="top"/>
    </xf>
    <xf numFmtId="0" fontId="37" fillId="16" borderId="0" xfId="0" applyFont="1" applyFill="1" applyAlignment="1">
      <alignment horizontal="left" vertical="top"/>
    </xf>
    <xf numFmtId="175" fontId="39" fillId="5" borderId="1" xfId="0" applyNumberFormat="1" applyFont="1" applyFill="1" applyBorder="1"/>
    <xf numFmtId="0" fontId="41" fillId="15" borderId="0" xfId="0" applyFont="1" applyFill="1"/>
    <xf numFmtId="0" fontId="2" fillId="15" borderId="0" xfId="0" applyFont="1" applyFill="1" applyAlignment="1">
      <alignment horizontal="left" vertical="center"/>
    </xf>
    <xf numFmtId="0" fontId="46" fillId="15" borderId="0" xfId="0" applyFont="1" applyFill="1"/>
    <xf numFmtId="0" fontId="41" fillId="16" borderId="0" xfId="0" applyFont="1" applyFill="1" applyAlignment="1">
      <alignment horizontal="left" vertical="top"/>
    </xf>
    <xf numFmtId="0" fontId="47" fillId="15" borderId="0" xfId="0" applyFont="1" applyFill="1"/>
    <xf numFmtId="181" fontId="37" fillId="15" borderId="0" xfId="0" applyNumberFormat="1" applyFont="1" applyFill="1" applyAlignment="1">
      <alignment horizontal="right"/>
    </xf>
    <xf numFmtId="43" fontId="2" fillId="2" borderId="0" xfId="9" applyNumberFormat="1" applyFont="1" applyFill="1"/>
    <xf numFmtId="175" fontId="2" fillId="2" borderId="0" xfId="9" applyNumberFormat="1" applyFont="1" applyFill="1"/>
    <xf numFmtId="191" fontId="37" fillId="15" borderId="0" xfId="0" applyNumberFormat="1" applyFont="1" applyFill="1" applyAlignment="1">
      <alignment horizontal="right"/>
    </xf>
    <xf numFmtId="0" fontId="6" fillId="15" borderId="0" xfId="0" applyFont="1" applyFill="1" applyAlignment="1">
      <alignment horizontal="left" vertical="center"/>
    </xf>
    <xf numFmtId="0" fontId="2" fillId="16" borderId="0" xfId="0" applyFont="1" applyFill="1" applyAlignment="1">
      <alignment horizontal="left" vertical="center"/>
    </xf>
    <xf numFmtId="0" fontId="17" fillId="15" borderId="8" xfId="0" applyFont="1" applyFill="1" applyBorder="1"/>
    <xf numFmtId="0" fontId="3" fillId="15" borderId="9" xfId="0" applyFont="1" applyFill="1" applyBorder="1" applyAlignment="1">
      <alignment horizontal="left" vertical="center"/>
    </xf>
    <xf numFmtId="181" fontId="41" fillId="15" borderId="0" xfId="0" applyNumberFormat="1" applyFont="1" applyFill="1"/>
    <xf numFmtId="181" fontId="37" fillId="15" borderId="7" xfId="0" applyNumberFormat="1" applyFont="1" applyFill="1" applyBorder="1"/>
    <xf numFmtId="0" fontId="17" fillId="15" borderId="7" xfId="0" applyFont="1" applyFill="1" applyBorder="1"/>
    <xf numFmtId="0" fontId="3" fillId="15" borderId="5" xfId="0" applyFont="1" applyFill="1" applyBorder="1" applyAlignment="1">
      <alignment horizontal="left" vertical="center"/>
    </xf>
    <xf numFmtId="181" fontId="37" fillId="15" borderId="8" xfId="0" applyNumberFormat="1" applyFont="1" applyFill="1" applyBorder="1"/>
    <xf numFmtId="0" fontId="37" fillId="16" borderId="0" xfId="0" applyFont="1" applyFill="1"/>
    <xf numFmtId="3" fontId="40" fillId="0" borderId="0" xfId="0" applyNumberFormat="1" applyFont="1"/>
    <xf numFmtId="0" fontId="3" fillId="16" borderId="0" xfId="0" applyFont="1" applyFill="1" applyAlignment="1">
      <alignment horizontal="left" vertical="center"/>
    </xf>
    <xf numFmtId="180" fontId="37" fillId="15" borderId="0" xfId="0" applyNumberFormat="1" applyFont="1" applyFill="1"/>
    <xf numFmtId="43" fontId="39" fillId="5" borderId="1" xfId="0" applyNumberFormat="1" applyFont="1" applyFill="1" applyBorder="1"/>
    <xf numFmtId="192" fontId="37" fillId="15" borderId="0" xfId="0" applyNumberFormat="1" applyFont="1" applyFill="1"/>
    <xf numFmtId="181" fontId="4" fillId="0" borderId="0" xfId="0" applyNumberFormat="1" applyFont="1"/>
    <xf numFmtId="3" fontId="4" fillId="0" borderId="0" xfId="0" applyNumberFormat="1" applyFont="1"/>
    <xf numFmtId="0" fontId="85" fillId="0" borderId="0" xfId="0" applyFont="1"/>
    <xf numFmtId="181" fontId="37" fillId="15" borderId="0" xfId="0" applyNumberFormat="1" applyFont="1" applyFill="1"/>
    <xf numFmtId="175" fontId="4" fillId="0" borderId="0" xfId="0" applyNumberFormat="1" applyFont="1"/>
    <xf numFmtId="0" fontId="40" fillId="0" borderId="0" xfId="0" applyFont="1"/>
    <xf numFmtId="180" fontId="37" fillId="15" borderId="0" xfId="10" applyFont="1" applyFill="1"/>
    <xf numFmtId="0" fontId="85" fillId="0" borderId="0" xfId="0" applyFont="1" applyAlignment="1">
      <alignment horizontal="right"/>
    </xf>
    <xf numFmtId="10" fontId="4" fillId="0" borderId="0" xfId="0" applyNumberFormat="1" applyFont="1"/>
    <xf numFmtId="0" fontId="86" fillId="15" borderId="0" xfId="0" applyFont="1" applyFill="1"/>
    <xf numFmtId="0" fontId="87" fillId="15" borderId="0" xfId="0" applyFont="1" applyFill="1"/>
    <xf numFmtId="0" fontId="3" fillId="15" borderId="1" xfId="0" applyFont="1" applyFill="1" applyBorder="1" applyAlignment="1">
      <alignment horizontal="center" vertical="center"/>
    </xf>
    <xf numFmtId="0" fontId="20" fillId="15" borderId="1" xfId="0" applyFont="1" applyFill="1" applyBorder="1" applyAlignment="1">
      <alignment vertical="center"/>
    </xf>
    <xf numFmtId="0" fontId="3" fillId="15" borderId="1" xfId="0" applyFont="1" applyFill="1" applyBorder="1" applyAlignment="1">
      <alignment horizontal="center"/>
    </xf>
    <xf numFmtId="168" fontId="3" fillId="15" borderId="1" xfId="0" applyNumberFormat="1" applyFont="1" applyFill="1" applyBorder="1" applyAlignment="1">
      <alignment horizontal="center" vertical="center"/>
    </xf>
    <xf numFmtId="180" fontId="4" fillId="0" borderId="0" xfId="10" applyFont="1" applyFill="1"/>
    <xf numFmtId="0" fontId="4" fillId="0" borderId="0" xfId="0" applyFont="1" applyAlignment="1">
      <alignment horizontal="right"/>
    </xf>
    <xf numFmtId="0" fontId="42" fillId="15" borderId="0" xfId="0" applyFont="1" applyFill="1" applyAlignment="1">
      <alignment horizontal="center"/>
    </xf>
    <xf numFmtId="181" fontId="4" fillId="0" borderId="0" xfId="10" applyNumberFormat="1" applyFont="1" applyFill="1"/>
    <xf numFmtId="9" fontId="4" fillId="0" borderId="0" xfId="2" applyFont="1" applyFill="1"/>
    <xf numFmtId="181" fontId="40" fillId="0" borderId="0" xfId="0" applyNumberFormat="1" applyFont="1"/>
    <xf numFmtId="0" fontId="40" fillId="0" borderId="0" xfId="0" applyFont="1" applyAlignment="1">
      <alignment horizontal="right"/>
    </xf>
    <xf numFmtId="181" fontId="4" fillId="0" borderId="6" xfId="0" applyNumberFormat="1" applyFont="1" applyBorder="1"/>
    <xf numFmtId="10" fontId="2" fillId="15" borderId="1" xfId="0" applyNumberFormat="1" applyFont="1" applyFill="1" applyBorder="1" applyAlignment="1">
      <alignment horizontal="center" wrapText="1"/>
    </xf>
    <xf numFmtId="0" fontId="3" fillId="16" borderId="0" xfId="0" applyFont="1" applyFill="1"/>
    <xf numFmtId="170" fontId="3" fillId="15" borderId="1" xfId="0" applyNumberFormat="1" applyFont="1" applyFill="1" applyBorder="1"/>
    <xf numFmtId="0" fontId="3" fillId="16" borderId="11" xfId="0" applyFont="1" applyFill="1" applyBorder="1"/>
    <xf numFmtId="0" fontId="3" fillId="16" borderId="9" xfId="0" applyFont="1" applyFill="1" applyBorder="1"/>
    <xf numFmtId="9" fontId="40" fillId="0" borderId="0" xfId="0" applyNumberFormat="1" applyFont="1"/>
    <xf numFmtId="9" fontId="4" fillId="0" borderId="6" xfId="0" applyNumberFormat="1" applyFont="1" applyBorder="1"/>
    <xf numFmtId="0" fontId="2" fillId="16" borderId="0" xfId="0" applyFont="1" applyFill="1"/>
    <xf numFmtId="9" fontId="4" fillId="0" borderId="0" xfId="0" applyNumberFormat="1" applyFont="1"/>
    <xf numFmtId="0" fontId="3" fillId="16" borderId="0" xfId="0" applyFont="1" applyFill="1" applyAlignment="1">
      <alignment horizontal="right" vertical="center"/>
    </xf>
    <xf numFmtId="0" fontId="3" fillId="15" borderId="1" xfId="0" applyFont="1" applyFill="1" applyBorder="1" applyAlignment="1">
      <alignment horizontal="right" vertical="center"/>
    </xf>
    <xf numFmtId="0" fontId="3" fillId="16" borderId="1" xfId="0" applyFont="1" applyFill="1" applyBorder="1" applyAlignment="1">
      <alignment horizontal="left" vertical="center"/>
    </xf>
    <xf numFmtId="3" fontId="3" fillId="15" borderId="1" xfId="0" applyNumberFormat="1" applyFont="1" applyFill="1" applyBorder="1" applyAlignment="1">
      <alignment vertical="center"/>
    </xf>
    <xf numFmtId="14" fontId="3" fillId="15" borderId="1" xfId="0" applyNumberFormat="1" applyFont="1" applyFill="1" applyBorder="1" applyAlignment="1">
      <alignment horizontal="right" vertical="center"/>
    </xf>
    <xf numFmtId="0" fontId="2" fillId="16" borderId="1" xfId="0" applyFont="1" applyFill="1" applyBorder="1" applyAlignment="1">
      <alignment horizontal="right" vertical="center"/>
    </xf>
    <xf numFmtId="0" fontId="2" fillId="16" borderId="1" xfId="0" applyFont="1" applyFill="1" applyBorder="1" applyAlignment="1">
      <alignment vertical="center"/>
    </xf>
    <xf numFmtId="0" fontId="4" fillId="0" borderId="0" xfId="0" applyFont="1" applyAlignment="1">
      <alignment horizontal="center"/>
    </xf>
    <xf numFmtId="0" fontId="3" fillId="15" borderId="1" xfId="0" applyFont="1" applyFill="1" applyBorder="1" applyAlignment="1">
      <alignment horizontal="right" vertical="center" wrapText="1"/>
    </xf>
    <xf numFmtId="181" fontId="40" fillId="0" borderId="0" xfId="10" applyNumberFormat="1" applyFont="1" applyFill="1"/>
    <xf numFmtId="0" fontId="3" fillId="16" borderId="1" xfId="0" applyFont="1" applyFill="1" applyBorder="1" applyAlignment="1">
      <alignment vertical="center"/>
    </xf>
    <xf numFmtId="193" fontId="4" fillId="0" borderId="0" xfId="10" applyNumberFormat="1" applyFont="1" applyFill="1"/>
    <xf numFmtId="2" fontId="4" fillId="0" borderId="0" xfId="0" applyNumberFormat="1" applyFont="1"/>
    <xf numFmtId="0" fontId="17" fillId="16" borderId="0" xfId="0" applyFont="1" applyFill="1"/>
    <xf numFmtId="14" fontId="37" fillId="16" borderId="0" xfId="0" applyNumberFormat="1" applyFont="1" applyFill="1"/>
    <xf numFmtId="0" fontId="3" fillId="16" borderId="8" xfId="0" applyFont="1" applyFill="1" applyBorder="1" applyAlignment="1">
      <alignment horizontal="left" vertical="center"/>
    </xf>
    <xf numFmtId="0" fontId="3" fillId="16" borderId="9" xfId="0" applyFont="1" applyFill="1" applyBorder="1" applyAlignment="1">
      <alignment horizontal="left" vertical="center"/>
    </xf>
    <xf numFmtId="10" fontId="37" fillId="0" borderId="0" xfId="0" applyNumberFormat="1" applyFont="1"/>
    <xf numFmtId="0" fontId="3" fillId="15" borderId="8" xfId="0" applyFont="1" applyFill="1" applyBorder="1" applyAlignment="1">
      <alignment horizontal="left" vertical="top"/>
    </xf>
    <xf numFmtId="0" fontId="3" fillId="16" borderId="5" xfId="0" applyFont="1" applyFill="1" applyBorder="1" applyAlignment="1">
      <alignment horizontal="left" vertical="center"/>
    </xf>
    <xf numFmtId="0" fontId="3" fillId="16" borderId="7" xfId="0" applyFont="1" applyFill="1" applyBorder="1" applyAlignment="1">
      <alignment horizontal="left" vertical="top"/>
    </xf>
    <xf numFmtId="0" fontId="3" fillId="16" borderId="6" xfId="0" applyFont="1" applyFill="1" applyBorder="1" applyAlignment="1">
      <alignment horizontal="left" vertical="top"/>
    </xf>
    <xf numFmtId="0" fontId="6" fillId="16" borderId="5" xfId="0" applyFont="1" applyFill="1" applyBorder="1" applyAlignment="1">
      <alignment horizontal="left" vertical="top"/>
    </xf>
    <xf numFmtId="0" fontId="3" fillId="15" borderId="9" xfId="0" applyFont="1" applyFill="1" applyBorder="1" applyAlignment="1">
      <alignment horizontal="left" vertical="top"/>
    </xf>
    <xf numFmtId="0" fontId="6" fillId="16" borderId="7" xfId="0" applyFont="1" applyFill="1" applyBorder="1" applyAlignment="1">
      <alignment vertical="center"/>
    </xf>
    <xf numFmtId="0" fontId="3" fillId="16" borderId="6" xfId="0" applyFont="1" applyFill="1" applyBorder="1" applyAlignment="1">
      <alignment vertical="center"/>
    </xf>
    <xf numFmtId="0" fontId="3" fillId="16" borderId="11" xfId="0" applyFont="1" applyFill="1" applyBorder="1" applyAlignment="1">
      <alignment horizontal="left" vertical="top"/>
    </xf>
    <xf numFmtId="0" fontId="3" fillId="16" borderId="9" xfId="0" applyFont="1" applyFill="1" applyBorder="1" applyAlignment="1">
      <alignment horizontal="left" vertical="top"/>
    </xf>
    <xf numFmtId="0" fontId="6" fillId="16" borderId="8" xfId="0" applyFont="1" applyFill="1" applyBorder="1" applyAlignment="1">
      <alignment vertical="center"/>
    </xf>
    <xf numFmtId="0" fontId="3" fillId="16" borderId="9" xfId="0" applyFont="1" applyFill="1" applyBorder="1" applyAlignment="1">
      <alignment vertical="center"/>
    </xf>
    <xf numFmtId="0" fontId="3" fillId="16" borderId="11" xfId="0" applyFont="1" applyFill="1" applyBorder="1" applyAlignment="1">
      <alignment vertical="center"/>
    </xf>
    <xf numFmtId="0" fontId="3" fillId="16" borderId="15" xfId="0" applyFont="1" applyFill="1" applyBorder="1" applyAlignment="1">
      <alignment horizontal="left" vertical="center"/>
    </xf>
    <xf numFmtId="0" fontId="3" fillId="16" borderId="0" xfId="0" applyFont="1" applyFill="1" applyAlignment="1">
      <alignment vertical="center"/>
    </xf>
    <xf numFmtId="0" fontId="6" fillId="16" borderId="10" xfId="0" applyFont="1" applyFill="1" applyBorder="1" applyAlignment="1">
      <alignment vertical="center"/>
    </xf>
    <xf numFmtId="0" fontId="3" fillId="16" borderId="11" xfId="0" applyFont="1" applyFill="1" applyBorder="1" applyAlignment="1">
      <alignment horizontal="left" vertical="center"/>
    </xf>
    <xf numFmtId="0" fontId="3" fillId="16" borderId="2" xfId="0" applyFont="1" applyFill="1" applyBorder="1" applyAlignment="1">
      <alignment horizontal="left" vertical="center"/>
    </xf>
    <xf numFmtId="0" fontId="3" fillId="16" borderId="0" xfId="0" applyFont="1" applyFill="1" applyAlignment="1">
      <alignment horizontal="center"/>
    </xf>
    <xf numFmtId="0" fontId="11" fillId="16" borderId="0" xfId="0" applyFont="1" applyFill="1"/>
    <xf numFmtId="0" fontId="37" fillId="16" borderId="0" xfId="0" applyFont="1" applyFill="1" applyAlignment="1">
      <alignment horizontal="center"/>
    </xf>
    <xf numFmtId="10" fontId="3" fillId="15" borderId="8" xfId="0" applyNumberFormat="1" applyFont="1" applyFill="1" applyBorder="1" applyAlignment="1">
      <alignment horizontal="left" vertical="top"/>
    </xf>
    <xf numFmtId="0" fontId="3" fillId="15" borderId="8" xfId="0" applyFont="1" applyFill="1" applyBorder="1"/>
    <xf numFmtId="0" fontId="3" fillId="15" borderId="1" xfId="0" applyFont="1" applyFill="1" applyBorder="1" applyAlignment="1">
      <alignment vertical="top"/>
    </xf>
    <xf numFmtId="189" fontId="37" fillId="16" borderId="0" xfId="0" applyNumberFormat="1" applyFont="1" applyFill="1" applyAlignment="1">
      <alignment horizontal="center"/>
    </xf>
    <xf numFmtId="9" fontId="3" fillId="16" borderId="0" xfId="0" applyNumberFormat="1" applyFont="1" applyFill="1"/>
    <xf numFmtId="10" fontId="3" fillId="15" borderId="1" xfId="0" applyNumberFormat="1" applyFont="1" applyFill="1" applyBorder="1" applyAlignment="1">
      <alignment horizontal="left" vertical="top"/>
    </xf>
    <xf numFmtId="10" fontId="37" fillId="16" borderId="0" xfId="0" applyNumberFormat="1" applyFont="1" applyFill="1" applyAlignment="1">
      <alignment horizontal="center"/>
    </xf>
    <xf numFmtId="10" fontId="3" fillId="16" borderId="8" xfId="0" applyNumberFormat="1" applyFont="1" applyFill="1" applyBorder="1" applyAlignment="1">
      <alignment horizontal="left" vertical="top"/>
    </xf>
    <xf numFmtId="0" fontId="3" fillId="16" borderId="8" xfId="0" applyFont="1" applyFill="1" applyBorder="1"/>
    <xf numFmtId="0" fontId="11" fillId="16" borderId="0" xfId="0" applyFont="1" applyFill="1" applyAlignment="1">
      <alignment vertical="center"/>
    </xf>
    <xf numFmtId="0" fontId="2" fillId="16" borderId="0" xfId="0" applyFont="1" applyFill="1" applyAlignment="1">
      <alignment vertical="center"/>
    </xf>
    <xf numFmtId="0" fontId="37" fillId="16" borderId="0" xfId="0" applyFont="1" applyFill="1" applyAlignment="1">
      <alignment horizontal="left" vertical="center"/>
    </xf>
    <xf numFmtId="0" fontId="3" fillId="16" borderId="6" xfId="0" applyFont="1" applyFill="1" applyBorder="1" applyAlignment="1">
      <alignment horizontal="left" vertical="center"/>
    </xf>
    <xf numFmtId="9" fontId="3" fillId="16" borderId="7" xfId="0" applyNumberFormat="1" applyFont="1" applyFill="1" applyBorder="1" applyAlignment="1">
      <alignment horizontal="center" vertical="center"/>
    </xf>
    <xf numFmtId="0" fontId="3" fillId="16" borderId="5" xfId="0" applyFont="1" applyFill="1" applyBorder="1" applyAlignment="1">
      <alignment horizontal="center" vertical="center"/>
    </xf>
    <xf numFmtId="9" fontId="3" fillId="15" borderId="15" xfId="0" applyNumberFormat="1" applyFont="1" applyFill="1" applyBorder="1" applyAlignment="1">
      <alignment horizontal="center" vertical="center"/>
    </xf>
    <xf numFmtId="0" fontId="3" fillId="15" borderId="10" xfId="0" applyFont="1" applyFill="1" applyBorder="1" applyAlignment="1">
      <alignment horizontal="center" vertical="center"/>
    </xf>
    <xf numFmtId="0" fontId="3" fillId="16" borderId="4" xfId="0" applyFont="1" applyFill="1" applyBorder="1" applyAlignment="1">
      <alignment horizontal="center"/>
    </xf>
    <xf numFmtId="0" fontId="3" fillId="16" borderId="2" xfId="0" applyFont="1" applyFill="1" applyBorder="1" applyAlignment="1">
      <alignment horizontal="center"/>
    </xf>
    <xf numFmtId="0" fontId="3" fillId="16" borderId="15" xfId="0" applyFont="1" applyFill="1" applyBorder="1" applyAlignment="1">
      <alignment horizontal="center" vertical="center"/>
    </xf>
    <xf numFmtId="0" fontId="3" fillId="16" borderId="10" xfId="0" applyFont="1" applyFill="1" applyBorder="1" applyAlignment="1">
      <alignment horizontal="center" vertical="center"/>
    </xf>
    <xf numFmtId="0" fontId="3" fillId="16" borderId="4" xfId="0" applyFont="1" applyFill="1" applyBorder="1"/>
    <xf numFmtId="0" fontId="3" fillId="16" borderId="9" xfId="0" applyFont="1" applyFill="1" applyBorder="1" applyAlignment="1">
      <alignment horizontal="center"/>
    </xf>
    <xf numFmtId="170" fontId="3" fillId="15" borderId="9" xfId="0" applyNumberFormat="1" applyFont="1" applyFill="1" applyBorder="1" applyAlignment="1">
      <alignment horizontal="center" vertical="center"/>
    </xf>
    <xf numFmtId="10" fontId="3" fillId="16" borderId="9" xfId="0" applyNumberFormat="1" applyFont="1" applyFill="1" applyBorder="1" applyAlignment="1">
      <alignment horizontal="center" vertical="center"/>
    </xf>
    <xf numFmtId="10" fontId="3" fillId="15" borderId="9" xfId="0" applyNumberFormat="1" applyFont="1" applyFill="1" applyBorder="1" applyAlignment="1">
      <alignment horizontal="center" vertical="center"/>
    </xf>
    <xf numFmtId="0" fontId="2" fillId="16" borderId="9" xfId="0" applyFont="1" applyFill="1" applyBorder="1"/>
    <xf numFmtId="0" fontId="3" fillId="16" borderId="0" xfId="0" applyFont="1" applyFill="1" applyAlignment="1">
      <alignment wrapText="1"/>
    </xf>
    <xf numFmtId="0" fontId="3" fillId="16" borderId="1" xfId="0" applyFont="1" applyFill="1" applyBorder="1"/>
    <xf numFmtId="0" fontId="3" fillId="16" borderId="1" xfId="0" applyFont="1" applyFill="1" applyBorder="1" applyAlignment="1">
      <alignment vertical="top"/>
    </xf>
    <xf numFmtId="0" fontId="3" fillId="16" borderId="12" xfId="0" applyFont="1" applyFill="1" applyBorder="1"/>
    <xf numFmtId="0" fontId="3" fillId="16" borderId="12" xfId="0" applyFont="1" applyFill="1" applyBorder="1" applyAlignment="1">
      <alignment vertical="center"/>
    </xf>
    <xf numFmtId="0" fontId="3" fillId="16" borderId="7" xfId="0" applyFont="1" applyFill="1" applyBorder="1"/>
    <xf numFmtId="0" fontId="3" fillId="16" borderId="6" xfId="0" applyFont="1" applyFill="1" applyBorder="1"/>
    <xf numFmtId="0" fontId="3" fillId="16" borderId="5" xfId="0" applyFont="1" applyFill="1" applyBorder="1"/>
    <xf numFmtId="0" fontId="3" fillId="16" borderId="3" xfId="0" applyFont="1" applyFill="1" applyBorder="1"/>
    <xf numFmtId="0" fontId="3" fillId="16" borderId="2" xfId="0" applyFont="1" applyFill="1" applyBorder="1"/>
    <xf numFmtId="0" fontId="3" fillId="16" borderId="15" xfId="0" applyFont="1" applyFill="1" applyBorder="1"/>
    <xf numFmtId="0" fontId="6" fillId="16" borderId="10" xfId="0" applyFont="1" applyFill="1" applyBorder="1" applyAlignment="1">
      <alignment horizontal="left" vertical="center"/>
    </xf>
    <xf numFmtId="0" fontId="3" fillId="16" borderId="10" xfId="0" applyFont="1" applyFill="1" applyBorder="1" applyAlignment="1">
      <alignment horizontal="left" vertical="center"/>
    </xf>
    <xf numFmtId="164" fontId="37" fillId="0" borderId="0" xfId="0" applyNumberFormat="1" applyFont="1"/>
    <xf numFmtId="0" fontId="3" fillId="15" borderId="4" xfId="0" applyFont="1" applyFill="1" applyBorder="1" applyAlignment="1">
      <alignment vertical="top"/>
    </xf>
    <xf numFmtId="0" fontId="3" fillId="15" borderId="3" xfId="0" applyFont="1" applyFill="1" applyBorder="1" applyAlignment="1">
      <alignment vertical="top"/>
    </xf>
    <xf numFmtId="0" fontId="3" fillId="15" borderId="2" xfId="0" applyFont="1" applyFill="1" applyBorder="1" applyAlignment="1">
      <alignment vertical="top"/>
    </xf>
    <xf numFmtId="0" fontId="3" fillId="15" borderId="9" xfId="0" applyFont="1" applyFill="1" applyBorder="1" applyAlignment="1">
      <alignment vertical="center"/>
    </xf>
    <xf numFmtId="0" fontId="2" fillId="16" borderId="13" xfId="0" applyFont="1" applyFill="1" applyBorder="1"/>
    <xf numFmtId="0" fontId="3" fillId="16" borderId="13" xfId="0" applyFont="1" applyFill="1" applyBorder="1" applyAlignment="1">
      <alignment vertical="center"/>
    </xf>
    <xf numFmtId="0" fontId="3" fillId="16" borderId="14" xfId="0" applyFont="1" applyFill="1" applyBorder="1"/>
    <xf numFmtId="0" fontId="3" fillId="16" borderId="14" xfId="0" applyFont="1" applyFill="1" applyBorder="1" applyAlignment="1">
      <alignment horizontal="left" vertical="center"/>
    </xf>
    <xf numFmtId="0" fontId="3" fillId="16" borderId="12" xfId="0" applyFont="1" applyFill="1" applyBorder="1" applyAlignment="1">
      <alignment vertical="top"/>
    </xf>
    <xf numFmtId="0" fontId="3" fillId="16" borderId="12" xfId="0" applyFont="1" applyFill="1" applyBorder="1" applyAlignment="1">
      <alignment horizontal="left" vertical="top"/>
    </xf>
    <xf numFmtId="0" fontId="6" fillId="15" borderId="0" xfId="0" applyFont="1" applyFill="1"/>
    <xf numFmtId="43" fontId="4" fillId="0" borderId="0" xfId="0" applyNumberFormat="1" applyFont="1"/>
    <xf numFmtId="10" fontId="4" fillId="0" borderId="0" xfId="2" applyNumberFormat="1" applyFont="1"/>
    <xf numFmtId="180" fontId="4" fillId="0" borderId="0" xfId="10" applyFont="1"/>
    <xf numFmtId="175" fontId="0" fillId="0" borderId="0" xfId="4" applyNumberFormat="1" applyFont="1"/>
    <xf numFmtId="9" fontId="0" fillId="0" borderId="0" xfId="2" applyFont="1"/>
    <xf numFmtId="175" fontId="15" fillId="0" borderId="0" xfId="4" applyNumberFormat="1" applyFont="1"/>
    <xf numFmtId="0" fontId="88" fillId="15" borderId="0" xfId="0" applyFont="1" applyFill="1" applyAlignment="1">
      <alignment horizontal="left" vertical="center"/>
    </xf>
    <xf numFmtId="0" fontId="88" fillId="15" borderId="0" xfId="0" applyFont="1" applyFill="1" applyAlignment="1">
      <alignment horizontal="left" vertical="center" wrapText="1"/>
    </xf>
    <xf numFmtId="194" fontId="4" fillId="17" borderId="0" xfId="2" applyNumberFormat="1" applyFont="1" applyFill="1"/>
    <xf numFmtId="181" fontId="89" fillId="15" borderId="7" xfId="0" applyNumberFormat="1" applyFont="1" applyFill="1" applyBorder="1"/>
    <xf numFmtId="0" fontId="90" fillId="15" borderId="7" xfId="0" applyFont="1" applyFill="1" applyBorder="1"/>
    <xf numFmtId="0" fontId="88" fillId="15" borderId="5" xfId="0" applyFont="1" applyFill="1" applyBorder="1" applyAlignment="1">
      <alignment horizontal="left" vertical="center"/>
    </xf>
    <xf numFmtId="181" fontId="89" fillId="15" borderId="8" xfId="0" applyNumberFormat="1" applyFont="1" applyFill="1" applyBorder="1"/>
    <xf numFmtId="0" fontId="90" fillId="15" borderId="8" xfId="0" applyFont="1" applyFill="1" applyBorder="1"/>
    <xf numFmtId="0" fontId="88" fillId="15" borderId="9" xfId="0" applyFont="1" applyFill="1" applyBorder="1" applyAlignment="1">
      <alignment horizontal="left" vertical="center"/>
    </xf>
    <xf numFmtId="181" fontId="40" fillId="0" borderId="0" xfId="10" applyNumberFormat="1" applyFont="1" applyAlignment="1">
      <alignment horizontal="right" indent="1"/>
    </xf>
    <xf numFmtId="0" fontId="91" fillId="0" borderId="0" xfId="0" applyFont="1" applyAlignment="1">
      <alignment horizontal="right" wrapText="1"/>
    </xf>
    <xf numFmtId="0" fontId="4" fillId="0" borderId="0" xfId="0" applyFont="1" applyAlignment="1">
      <alignment horizontal="right" indent="1"/>
    </xf>
    <xf numFmtId="0" fontId="92" fillId="0" borderId="0" xfId="0" applyFont="1" applyAlignment="1">
      <alignment horizontal="right" wrapText="1"/>
    </xf>
    <xf numFmtId="43" fontId="4" fillId="0" borderId="0" xfId="0" applyNumberFormat="1" applyFont="1" applyAlignment="1">
      <alignment horizontal="right" indent="1"/>
    </xf>
    <xf numFmtId="175" fontId="40" fillId="0" borderId="16" xfId="0" applyNumberFormat="1" applyFont="1" applyBorder="1"/>
    <xf numFmtId="181" fontId="4" fillId="0" borderId="0" xfId="10" applyNumberFormat="1" applyFont="1"/>
    <xf numFmtId="175" fontId="15" fillId="17" borderId="1" xfId="4" applyNumberFormat="1" applyFont="1" applyFill="1" applyBorder="1"/>
    <xf numFmtId="1" fontId="15" fillId="17" borderId="0" xfId="4" applyNumberFormat="1" applyFont="1" applyFill="1"/>
    <xf numFmtId="43" fontId="4" fillId="0" borderId="0" xfId="10" applyNumberFormat="1" applyFont="1" applyFill="1"/>
    <xf numFmtId="181" fontId="40" fillId="0" borderId="16" xfId="10" applyNumberFormat="1" applyFont="1" applyBorder="1"/>
    <xf numFmtId="181" fontId="40" fillId="0" borderId="17" xfId="10" applyNumberFormat="1" applyFont="1" applyBorder="1"/>
    <xf numFmtId="0" fontId="3" fillId="15" borderId="9" xfId="0" applyFont="1" applyFill="1" applyBorder="1" applyAlignment="1">
      <alignment horizontal="center" vertical="center"/>
    </xf>
    <xf numFmtId="0" fontId="4" fillId="0" borderId="0" xfId="0" quotePrefix="1" applyFont="1"/>
    <xf numFmtId="181" fontId="40" fillId="5" borderId="16" xfId="0" applyNumberFormat="1" applyFont="1" applyFill="1" applyBorder="1"/>
    <xf numFmtId="181" fontId="40" fillId="5" borderId="17" xfId="0" applyNumberFormat="1" applyFont="1" applyFill="1" applyBorder="1"/>
    <xf numFmtId="0" fontId="4" fillId="0" borderId="0" xfId="0" applyFont="1" applyAlignment="1">
      <alignment horizontal="right" indent="2"/>
    </xf>
    <xf numFmtId="9" fontId="4" fillId="0" borderId="0" xfId="2" applyFont="1"/>
    <xf numFmtId="0" fontId="40" fillId="0" borderId="0" xfId="0" applyFont="1" applyAlignment="1">
      <alignment horizontal="center"/>
    </xf>
    <xf numFmtId="181" fontId="40" fillId="0" borderId="0" xfId="10" applyNumberFormat="1" applyFont="1"/>
    <xf numFmtId="175" fontId="40" fillId="0" borderId="0" xfId="0" applyNumberFormat="1" applyFont="1"/>
    <xf numFmtId="0" fontId="15" fillId="0" borderId="18" xfId="0" applyFont="1" applyBorder="1" applyAlignment="1">
      <alignment horizontal="center" wrapText="1"/>
    </xf>
    <xf numFmtId="0" fontId="15" fillId="0" borderId="19" xfId="0" applyFont="1" applyBorder="1" applyAlignment="1">
      <alignment horizontal="center" wrapText="1"/>
    </xf>
    <xf numFmtId="0" fontId="40" fillId="0" borderId="17" xfId="0" applyFont="1" applyBorder="1" applyAlignment="1">
      <alignment horizontal="center" wrapText="1"/>
    </xf>
    <xf numFmtId="1" fontId="4" fillId="0" borderId="0" xfId="0" applyNumberFormat="1" applyFont="1"/>
    <xf numFmtId="0" fontId="37" fillId="0" borderId="0" xfId="0" applyFont="1" applyAlignment="1">
      <alignment wrapText="1"/>
    </xf>
    <xf numFmtId="0" fontId="40" fillId="0" borderId="0" xfId="0" applyFont="1" applyAlignment="1">
      <alignment wrapText="1"/>
    </xf>
    <xf numFmtId="0" fontId="41" fillId="0" borderId="0" xfId="0" applyFont="1" applyAlignment="1">
      <alignment wrapText="1"/>
    </xf>
    <xf numFmtId="10" fontId="40" fillId="0" borderId="0" xfId="0" applyNumberFormat="1" applyFont="1"/>
    <xf numFmtId="0" fontId="40" fillId="0" borderId="16" xfId="0" applyFont="1" applyBorder="1"/>
    <xf numFmtId="0" fontId="4" fillId="5" borderId="0" xfId="0" applyFont="1" applyFill="1"/>
    <xf numFmtId="0" fontId="0" fillId="17" borderId="0" xfId="0" applyFill="1"/>
    <xf numFmtId="175" fontId="93" fillId="17" borderId="0" xfId="4" applyNumberFormat="1" applyFont="1" applyFill="1"/>
    <xf numFmtId="175" fontId="94" fillId="17" borderId="0" xfId="4" applyNumberFormat="1" applyFont="1" applyFill="1"/>
    <xf numFmtId="175" fontId="0" fillId="17" borderId="6" xfId="4" applyNumberFormat="1" applyFont="1" applyFill="1" applyBorder="1"/>
    <xf numFmtId="175" fontId="95" fillId="17" borderId="6" xfId="4" applyNumberFormat="1" applyFont="1" applyFill="1" applyBorder="1"/>
    <xf numFmtId="175" fontId="96" fillId="17" borderId="0" xfId="4" applyNumberFormat="1" applyFont="1" applyFill="1"/>
    <xf numFmtId="175" fontId="0" fillId="17" borderId="0" xfId="4" applyNumberFormat="1" applyFont="1" applyFill="1"/>
    <xf numFmtId="175" fontId="95" fillId="17" borderId="0" xfId="4" applyNumberFormat="1" applyFont="1" applyFill="1" applyBorder="1"/>
    <xf numFmtId="175" fontId="95" fillId="17" borderId="0" xfId="4" applyNumberFormat="1" applyFont="1" applyFill="1"/>
    <xf numFmtId="0" fontId="80" fillId="0" borderId="0" xfId="0" applyFont="1"/>
    <xf numFmtId="0" fontId="97" fillId="0" borderId="0" xfId="0" applyFont="1" applyAlignment="1">
      <alignment horizontal="center"/>
    </xf>
    <xf numFmtId="0" fontId="80" fillId="0" borderId="0" xfId="0" quotePrefix="1" applyFont="1"/>
    <xf numFmtId="0" fontId="14" fillId="0" borderId="0" xfId="0" applyFont="1"/>
    <xf numFmtId="6" fontId="3" fillId="2" borderId="0" xfId="0" applyNumberFormat="1" applyFont="1" applyFill="1" applyAlignment="1">
      <alignment horizontal="right"/>
    </xf>
    <xf numFmtId="0" fontId="2" fillId="2" borderId="0" xfId="0" applyFont="1" applyFill="1" applyAlignment="1">
      <alignment horizontal="right"/>
    </xf>
    <xf numFmtId="0" fontId="2" fillId="2" borderId="0" xfId="0" applyFont="1" applyFill="1" applyAlignment="1">
      <alignment horizontal="center"/>
    </xf>
    <xf numFmtId="0" fontId="36" fillId="2" borderId="0" xfId="0" applyFont="1" applyFill="1"/>
    <xf numFmtId="0" fontId="22" fillId="0" borderId="0" xfId="0" applyFont="1" applyAlignment="1">
      <alignment horizontal="center"/>
    </xf>
    <xf numFmtId="0" fontId="99" fillId="0" borderId="0" xfId="0" quotePrefix="1" applyFont="1"/>
    <xf numFmtId="0" fontId="80" fillId="2" borderId="0" xfId="0" applyFont="1" applyFill="1"/>
    <xf numFmtId="177" fontId="3" fillId="2" borderId="0" xfId="11" applyNumberFormat="1" applyFont="1" applyFill="1" applyBorder="1"/>
    <xf numFmtId="10" fontId="3" fillId="2" borderId="0" xfId="0" applyNumberFormat="1" applyFont="1" applyFill="1" applyAlignment="1">
      <alignment horizontal="right" vertical="center" wrapText="1"/>
    </xf>
    <xf numFmtId="185"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177" fontId="3" fillId="2" borderId="1" xfId="11" applyNumberFormat="1" applyFont="1" applyFill="1" applyBorder="1"/>
    <xf numFmtId="0" fontId="97" fillId="0" borderId="0" xfId="0" applyFont="1"/>
    <xf numFmtId="0" fontId="80" fillId="0" borderId="0" xfId="0" applyFont="1" applyAlignment="1">
      <alignment horizontal="left"/>
    </xf>
    <xf numFmtId="0" fontId="2" fillId="2" borderId="1" xfId="0" applyFont="1" applyFill="1" applyBorder="1" applyAlignment="1">
      <alignment horizontal="center" vertical="center" wrapText="1"/>
    </xf>
    <xf numFmtId="0" fontId="3" fillId="2" borderId="9" xfId="0" quotePrefix="1" applyFont="1" applyFill="1" applyBorder="1" applyAlignment="1">
      <alignment vertical="top"/>
    </xf>
    <xf numFmtId="10" fontId="3" fillId="2" borderId="8" xfId="2" applyNumberFormat="1" applyFont="1" applyFill="1" applyBorder="1" applyAlignment="1">
      <alignment horizontal="left" vertical="top"/>
    </xf>
    <xf numFmtId="0" fontId="3" fillId="2" borderId="1" xfId="0" quotePrefix="1" applyFont="1" applyFill="1" applyBorder="1" applyAlignment="1">
      <alignment vertical="top"/>
    </xf>
    <xf numFmtId="0" fontId="97" fillId="0" borderId="0" xfId="0" quotePrefix="1" applyFont="1"/>
    <xf numFmtId="0" fontId="2" fillId="0" borderId="0" xfId="0" applyFont="1"/>
    <xf numFmtId="0" fontId="6" fillId="0" borderId="0" xfId="0" applyFont="1"/>
    <xf numFmtId="10" fontId="3" fillId="0" borderId="0" xfId="0" applyNumberFormat="1" applyFont="1" applyAlignment="1">
      <alignment horizontal="right" vertical="center" wrapText="1"/>
    </xf>
    <xf numFmtId="185"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0" fontId="11" fillId="0" borderId="0" xfId="0" applyFont="1"/>
    <xf numFmtId="177" fontId="3" fillId="0" borderId="0" xfId="6" applyNumberFormat="1" applyFont="1" applyFill="1" applyBorder="1"/>
    <xf numFmtId="177" fontId="3" fillId="0" borderId="1" xfId="6" applyNumberFormat="1" applyFont="1" applyFill="1" applyBorder="1"/>
    <xf numFmtId="0" fontId="3" fillId="0" borderId="0" xfId="0" applyFont="1" applyAlignment="1">
      <alignment horizontal="center"/>
    </xf>
    <xf numFmtId="0" fontId="3" fillId="0" borderId="1" xfId="0" applyFont="1" applyBorder="1" applyAlignment="1">
      <alignment horizontal="center"/>
    </xf>
    <xf numFmtId="0" fontId="3" fillId="0" borderId="8" xfId="0" applyFont="1" applyBorder="1" applyAlignment="1">
      <alignment horizontal="left"/>
    </xf>
    <xf numFmtId="0" fontId="3" fillId="0" borderId="9" xfId="0" applyFont="1" applyBorder="1" applyAlignment="1">
      <alignment horizontal="left"/>
    </xf>
    <xf numFmtId="5" fontId="3" fillId="0" borderId="1" xfId="12" applyNumberFormat="1" applyFont="1" applyFill="1" applyBorder="1" applyAlignment="1">
      <alignment horizontal="center"/>
    </xf>
    <xf numFmtId="0" fontId="2" fillId="0" borderId="1" xfId="0" applyFont="1" applyBorder="1" applyAlignment="1">
      <alignment horizontal="center"/>
    </xf>
    <xf numFmtId="9" fontId="17" fillId="0" borderId="0" xfId="0" applyNumberFormat="1" applyFont="1" applyAlignment="1">
      <alignment horizontal="center"/>
    </xf>
    <xf numFmtId="10" fontId="3" fillId="0" borderId="0" xfId="13" applyNumberFormat="1" applyFont="1" applyFill="1" applyBorder="1" applyAlignment="1">
      <alignment horizontal="left" vertical="top"/>
    </xf>
    <xf numFmtId="0" fontId="3" fillId="0" borderId="8" xfId="0" applyFont="1" applyBorder="1"/>
    <xf numFmtId="0" fontId="3" fillId="0" borderId="11" xfId="0" applyFont="1" applyBorder="1"/>
    <xf numFmtId="0" fontId="3" fillId="0" borderId="9" xfId="0" applyFont="1" applyBorder="1"/>
    <xf numFmtId="0" fontId="101" fillId="0" borderId="0" xfId="0" applyFont="1" applyAlignment="1">
      <alignment horizontal="center"/>
    </xf>
    <xf numFmtId="0" fontId="102" fillId="0" borderId="23" xfId="0" applyFont="1" applyBorder="1" applyAlignment="1">
      <alignment vertical="center" wrapText="1"/>
    </xf>
    <xf numFmtId="0" fontId="60" fillId="0" borderId="0" xfId="0" applyFont="1"/>
    <xf numFmtId="0" fontId="60" fillId="0" borderId="0" xfId="0" applyFont="1" applyAlignment="1">
      <alignment wrapText="1"/>
    </xf>
    <xf numFmtId="43" fontId="100" fillId="0" borderId="0" xfId="12" applyFont="1"/>
    <xf numFmtId="0" fontId="100" fillId="0" borderId="0" xfId="0" applyFont="1"/>
    <xf numFmtId="0" fontId="102" fillId="0" borderId="16" xfId="0" applyFont="1" applyBorder="1" applyAlignment="1">
      <alignment vertical="center" wrapText="1"/>
    </xf>
    <xf numFmtId="0" fontId="101" fillId="0" borderId="0" xfId="0" applyFont="1"/>
    <xf numFmtId="175" fontId="104" fillId="18" borderId="0" xfId="0" applyNumberFormat="1" applyFont="1" applyFill="1"/>
    <xf numFmtId="0" fontId="90" fillId="0" borderId="0" xfId="0" applyFont="1"/>
    <xf numFmtId="175" fontId="100" fillId="0" borderId="0" xfId="0" applyNumberFormat="1" applyFont="1"/>
    <xf numFmtId="43" fontId="100" fillId="0" borderId="20" xfId="0" applyNumberFormat="1" applyFont="1" applyBorder="1"/>
    <xf numFmtId="43" fontId="100" fillId="0" borderId="21" xfId="0" applyNumberFormat="1" applyFont="1" applyBorder="1"/>
    <xf numFmtId="185" fontId="100" fillId="0" borderId="21" xfId="0" applyNumberFormat="1" applyFont="1" applyBorder="1"/>
    <xf numFmtId="43" fontId="100" fillId="0" borderId="21" xfId="12" applyFont="1" applyBorder="1"/>
    <xf numFmtId="0" fontId="100" fillId="0" borderId="22" xfId="0" applyFont="1" applyBorder="1"/>
    <xf numFmtId="43" fontId="100" fillId="0" borderId="0" xfId="0" applyNumberFormat="1" applyFont="1"/>
    <xf numFmtId="185" fontId="100" fillId="0" borderId="0" xfId="0" applyNumberFormat="1" applyFont="1"/>
    <xf numFmtId="43" fontId="100" fillId="0" borderId="27" xfId="0" applyNumberFormat="1" applyFont="1" applyBorder="1"/>
    <xf numFmtId="43" fontId="100" fillId="0" borderId="0" xfId="12" applyFont="1" applyBorder="1"/>
    <xf numFmtId="0" fontId="100" fillId="0" borderId="28" xfId="0" applyFont="1" applyBorder="1"/>
    <xf numFmtId="0" fontId="101" fillId="0" borderId="0" xfId="0" applyFont="1" applyAlignment="1">
      <alignment horizontal="left" indent="1"/>
    </xf>
    <xf numFmtId="0" fontId="100" fillId="0" borderId="27" xfId="0" applyFont="1" applyBorder="1"/>
    <xf numFmtId="185" fontId="3" fillId="3" borderId="1" xfId="0" applyNumberFormat="1" applyFont="1" applyFill="1" applyBorder="1" applyAlignment="1">
      <alignment horizontal="center" vertical="center"/>
    </xf>
    <xf numFmtId="0" fontId="4" fillId="0" borderId="27" xfId="0" applyFont="1" applyBorder="1"/>
    <xf numFmtId="0" fontId="100" fillId="0" borderId="0" xfId="0" quotePrefix="1" applyFont="1"/>
    <xf numFmtId="175" fontId="104" fillId="18" borderId="0" xfId="12" applyNumberFormat="1" applyFont="1" applyFill="1" applyBorder="1"/>
    <xf numFmtId="9" fontId="100" fillId="0" borderId="0" xfId="0" applyNumberFormat="1" applyFont="1"/>
    <xf numFmtId="175" fontId="100" fillId="18" borderId="0" xfId="12" applyNumberFormat="1" applyFont="1" applyFill="1" applyBorder="1"/>
    <xf numFmtId="3" fontId="100" fillId="18" borderId="0" xfId="0" applyNumberFormat="1" applyFont="1" applyFill="1"/>
    <xf numFmtId="3" fontId="100" fillId="0" borderId="0" xfId="0" applyNumberFormat="1" applyFont="1" applyAlignment="1">
      <alignment horizontal="right"/>
    </xf>
    <xf numFmtId="3" fontId="100" fillId="0" borderId="0" xfId="0" applyNumberFormat="1" applyFont="1"/>
    <xf numFmtId="0" fontId="4" fillId="0" borderId="24" xfId="0" applyFont="1" applyBorder="1"/>
    <xf numFmtId="0" fontId="100" fillId="0" borderId="25" xfId="0" quotePrefix="1" applyFont="1" applyBorder="1"/>
    <xf numFmtId="3" fontId="100" fillId="18" borderId="25" xfId="0" applyNumberFormat="1" applyFont="1" applyFill="1" applyBorder="1"/>
    <xf numFmtId="0" fontId="100" fillId="0" borderId="25" xfId="0" applyFont="1" applyBorder="1"/>
    <xf numFmtId="0" fontId="4" fillId="0" borderId="25" xfId="0" applyFont="1" applyBorder="1"/>
    <xf numFmtId="0" fontId="100" fillId="0" borderId="26" xfId="0" applyFont="1" applyBorder="1"/>
    <xf numFmtId="168" fontId="0" fillId="0" borderId="0" xfId="0" applyNumberFormat="1"/>
    <xf numFmtId="185" fontId="0" fillId="0" borderId="0" xfId="0" applyNumberFormat="1"/>
    <xf numFmtId="5" fontId="3" fillId="2" borderId="1" xfId="12" applyNumberFormat="1" applyFont="1" applyFill="1" applyBorder="1" applyAlignment="1">
      <alignment horizontal="center"/>
    </xf>
    <xf numFmtId="10" fontId="3" fillId="2" borderId="0" xfId="13" applyNumberFormat="1" applyFont="1" applyFill="1" applyBorder="1" applyAlignment="1">
      <alignment horizontal="left" vertical="top"/>
    </xf>
    <xf numFmtId="0" fontId="23" fillId="2" borderId="1" xfId="0" applyFont="1" applyFill="1" applyBorder="1" applyAlignment="1">
      <alignment horizontal="center" vertical="center" wrapText="1"/>
    </xf>
    <xf numFmtId="196" fontId="23"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27" fillId="2" borderId="0" xfId="0" applyFont="1" applyFill="1" applyAlignment="1">
      <alignment vertical="center"/>
    </xf>
    <xf numFmtId="0" fontId="23" fillId="2" borderId="1" xfId="0" applyFont="1" applyFill="1" applyBorder="1" applyAlignment="1">
      <alignment horizontal="left"/>
    </xf>
    <xf numFmtId="44" fontId="23" fillId="2" borderId="1" xfId="3" applyFont="1" applyFill="1" applyBorder="1"/>
    <xf numFmtId="6" fontId="23" fillId="2" borderId="1" xfId="0" applyNumberFormat="1" applyFont="1" applyFill="1" applyBorder="1" applyAlignment="1">
      <alignment horizontal="right" vertical="center" wrapText="1"/>
    </xf>
    <xf numFmtId="0" fontId="23" fillId="2" borderId="1" xfId="0" applyFont="1" applyFill="1" applyBorder="1" applyAlignment="1">
      <alignment horizontal="right" vertical="center" wrapText="1"/>
    </xf>
    <xf numFmtId="0" fontId="105" fillId="2" borderId="0" xfId="0" applyFont="1" applyFill="1"/>
    <xf numFmtId="0" fontId="24" fillId="2" borderId="0" xfId="0" applyFont="1" applyFill="1" applyAlignment="1">
      <alignment vertical="center"/>
    </xf>
    <xf numFmtId="0" fontId="28" fillId="2" borderId="23" xfId="0" applyFont="1" applyFill="1" applyBorder="1" applyAlignment="1">
      <alignment horizontal="center" vertical="center" wrapText="1"/>
    </xf>
    <xf numFmtId="0" fontId="105" fillId="2" borderId="30" xfId="0" applyFont="1" applyFill="1" applyBorder="1" applyAlignment="1">
      <alignment horizontal="center" vertical="center" wrapText="1"/>
    </xf>
    <xf numFmtId="0" fontId="23" fillId="2" borderId="0" xfId="0" applyFont="1" applyFill="1" applyAlignment="1">
      <alignment vertical="center"/>
    </xf>
    <xf numFmtId="0" fontId="23" fillId="2" borderId="0" xfId="0" applyFont="1" applyFill="1" applyAlignment="1">
      <alignment horizontal="left" vertical="center"/>
    </xf>
    <xf numFmtId="0" fontId="105" fillId="2" borderId="0" xfId="0" applyFont="1" applyFill="1" applyAlignment="1">
      <alignment horizontal="left"/>
    </xf>
    <xf numFmtId="6" fontId="23" fillId="2" borderId="1" xfId="0" applyNumberFormat="1" applyFont="1" applyFill="1" applyBorder="1" applyAlignment="1">
      <alignment horizontal="center" vertical="center" wrapText="1"/>
    </xf>
    <xf numFmtId="0" fontId="23" fillId="2" borderId="1" xfId="0" applyFont="1" applyFill="1" applyBorder="1" applyAlignment="1">
      <alignment vertical="center" wrapText="1"/>
    </xf>
    <xf numFmtId="0" fontId="28" fillId="2" borderId="1" xfId="0" applyFont="1" applyFill="1" applyBorder="1" applyAlignment="1">
      <alignment vertical="center" wrapText="1"/>
    </xf>
    <xf numFmtId="168" fontId="23" fillId="2" borderId="1" xfId="0" applyNumberFormat="1" applyFont="1" applyFill="1" applyBorder="1" applyAlignment="1">
      <alignment horizontal="center" vertical="center" wrapText="1"/>
    </xf>
    <xf numFmtId="15" fontId="28" fillId="2" borderId="12" xfId="0" applyNumberFormat="1" applyFont="1" applyFill="1" applyBorder="1" applyAlignment="1">
      <alignment horizontal="center" vertical="center" wrapText="1"/>
    </xf>
    <xf numFmtId="0" fontId="105" fillId="2" borderId="12" xfId="0" applyFont="1" applyFill="1" applyBorder="1" applyAlignment="1">
      <alignment vertical="center" wrapText="1"/>
    </xf>
    <xf numFmtId="0" fontId="28" fillId="2" borderId="13" xfId="0" applyFont="1" applyFill="1" applyBorder="1" applyAlignment="1">
      <alignment horizontal="center" vertical="center" wrapText="1"/>
    </xf>
    <xf numFmtId="16" fontId="28" fillId="2" borderId="13" xfId="0" applyNumberFormat="1" applyFont="1" applyFill="1" applyBorder="1" applyAlignment="1">
      <alignment horizontal="center" vertical="center" wrapText="1"/>
    </xf>
    <xf numFmtId="15" fontId="28" fillId="2" borderId="13" xfId="0" applyNumberFormat="1" applyFont="1" applyFill="1" applyBorder="1" applyAlignment="1">
      <alignment horizontal="center" vertical="center" wrapText="1"/>
    </xf>
    <xf numFmtId="44" fontId="23" fillId="2" borderId="0" xfId="3" applyFont="1" applyFill="1"/>
    <xf numFmtId="0" fontId="23" fillId="2" borderId="7" xfId="0" applyFont="1" applyFill="1" applyBorder="1"/>
    <xf numFmtId="0" fontId="28" fillId="2" borderId="8" xfId="0" applyFont="1" applyFill="1" applyBorder="1"/>
    <xf numFmtId="167" fontId="23" fillId="2" borderId="7" xfId="3" applyNumberFormat="1" applyFont="1" applyFill="1" applyBorder="1"/>
    <xf numFmtId="167" fontId="23" fillId="2" borderId="12" xfId="3" applyNumberFormat="1" applyFont="1" applyFill="1" applyBorder="1"/>
    <xf numFmtId="49" fontId="23" fillId="2" borderId="1" xfId="0" applyNumberFormat="1" applyFont="1" applyFill="1" applyBorder="1" applyAlignment="1">
      <alignment horizontal="right"/>
    </xf>
    <xf numFmtId="0" fontId="23" fillId="2" borderId="12" xfId="0" applyFont="1" applyFill="1" applyBorder="1" applyAlignment="1">
      <alignment horizontal="right"/>
    </xf>
    <xf numFmtId="0" fontId="23" fillId="2" borderId="12" xfId="0" applyFont="1" applyFill="1" applyBorder="1" applyAlignment="1">
      <alignment horizontal="left"/>
    </xf>
    <xf numFmtId="167" fontId="23" fillId="2" borderId="1" xfId="3" applyNumberFormat="1" applyFont="1" applyFill="1" applyBorder="1"/>
    <xf numFmtId="0" fontId="1" fillId="0" borderId="0" xfId="14"/>
    <xf numFmtId="0" fontId="4" fillId="19" borderId="0" xfId="14" applyFont="1" applyFill="1"/>
    <xf numFmtId="0" fontId="1" fillId="0" borderId="0" xfId="14" applyProtection="1">
      <protection locked="0"/>
    </xf>
    <xf numFmtId="0" fontId="4" fillId="3" borderId="0" xfId="14" applyFont="1" applyFill="1"/>
    <xf numFmtId="0" fontId="14" fillId="0" borderId="0" xfId="14" applyFont="1" applyProtection="1">
      <protection locked="0"/>
    </xf>
    <xf numFmtId="0" fontId="1" fillId="0" borderId="7" xfId="14" applyBorder="1" applyProtection="1">
      <protection locked="0"/>
    </xf>
    <xf numFmtId="0" fontId="1" fillId="0" borderId="6" xfId="14" applyBorder="1" applyProtection="1">
      <protection locked="0"/>
    </xf>
    <xf numFmtId="0" fontId="1" fillId="0" borderId="15" xfId="14" applyBorder="1" applyProtection="1">
      <protection locked="0"/>
    </xf>
    <xf numFmtId="0" fontId="1" fillId="0" borderId="0" xfId="14" applyAlignment="1" applyProtection="1">
      <alignment horizontal="center"/>
      <protection locked="0"/>
    </xf>
    <xf numFmtId="0" fontId="1" fillId="0" borderId="0" xfId="14" quotePrefix="1" applyAlignment="1" applyProtection="1">
      <alignment horizontal="center"/>
      <protection locked="0"/>
    </xf>
    <xf numFmtId="0" fontId="0" fillId="0" borderId="0" xfId="15" applyNumberFormat="1" applyFont="1" applyProtection="1">
      <protection locked="0"/>
    </xf>
    <xf numFmtId="0" fontId="0" fillId="0" borderId="0" xfId="16" applyNumberFormat="1" applyFont="1" applyFill="1" applyProtection="1">
      <protection locked="0"/>
    </xf>
    <xf numFmtId="0" fontId="0" fillId="0" borderId="0" xfId="17" applyNumberFormat="1" applyFont="1" applyProtection="1">
      <protection locked="0"/>
    </xf>
    <xf numFmtId="0" fontId="1" fillId="0" borderId="0" xfId="14" applyAlignment="1" applyProtection="1">
      <alignment wrapText="1"/>
      <protection locked="0"/>
    </xf>
    <xf numFmtId="0" fontId="1" fillId="0" borderId="0" xfId="14" quotePrefix="1" applyProtection="1">
      <protection locked="0"/>
    </xf>
    <xf numFmtId="0" fontId="0" fillId="0" borderId="0" xfId="16" applyNumberFormat="1" applyFont="1" applyProtection="1">
      <protection locked="0"/>
    </xf>
    <xf numFmtId="0" fontId="4" fillId="3" borderId="0" xfId="14" applyFont="1" applyFill="1" applyAlignment="1" applyProtection="1">
      <alignment horizontal="left" vertical="top" wrapText="1"/>
      <protection locked="0"/>
    </xf>
    <xf numFmtId="0" fontId="4" fillId="3" borderId="0" xfId="14" applyFont="1" applyFill="1" applyAlignment="1" applyProtection="1">
      <alignment horizontal="left" vertical="top"/>
      <protection locked="0"/>
    </xf>
    <xf numFmtId="0" fontId="4" fillId="3" borderId="0" xfId="14" applyFont="1" applyFill="1" applyProtection="1">
      <protection locked="0"/>
    </xf>
    <xf numFmtId="0" fontId="107" fillId="3" borderId="0" xfId="14" applyFont="1" applyFill="1" applyAlignment="1">
      <alignment horizontal="left" vertical="center"/>
    </xf>
    <xf numFmtId="0" fontId="4" fillId="3" borderId="0" xfId="14" applyFont="1" applyFill="1" applyAlignment="1">
      <alignment horizontal="right" vertical="center" wrapText="1" indent="2"/>
    </xf>
    <xf numFmtId="0" fontId="4" fillId="3" borderId="0" xfId="14" applyFont="1" applyFill="1" applyAlignment="1">
      <alignment horizontal="left" vertical="center" wrapText="1" indent="2"/>
    </xf>
    <xf numFmtId="0" fontId="4" fillId="3" borderId="20" xfId="14" applyFont="1" applyFill="1" applyBorder="1" applyAlignment="1">
      <alignment horizontal="right" vertical="center" wrapText="1" indent="2"/>
    </xf>
    <xf numFmtId="0" fontId="4" fillId="3" borderId="23" xfId="14" applyFont="1" applyFill="1" applyBorder="1" applyAlignment="1">
      <alignment horizontal="left" vertical="center" wrapText="1" indent="2"/>
    </xf>
    <xf numFmtId="9" fontId="4" fillId="3" borderId="20" xfId="14" applyNumberFormat="1" applyFont="1" applyFill="1" applyBorder="1" applyAlignment="1">
      <alignment horizontal="right" vertical="center" wrapText="1" indent="2"/>
    </xf>
    <xf numFmtId="6" fontId="4" fillId="3" borderId="20" xfId="14" applyNumberFormat="1" applyFont="1" applyFill="1" applyBorder="1" applyAlignment="1">
      <alignment horizontal="right" vertical="center" wrapText="1" indent="2"/>
    </xf>
    <xf numFmtId="0" fontId="4" fillId="3" borderId="18" xfId="14" applyFont="1" applyFill="1" applyBorder="1" applyAlignment="1">
      <alignment horizontal="right" vertical="center" wrapText="1" indent="2"/>
    </xf>
    <xf numFmtId="0" fontId="4" fillId="3" borderId="16" xfId="14" applyFont="1" applyFill="1" applyBorder="1" applyAlignment="1">
      <alignment horizontal="left" vertical="center" wrapText="1" indent="2"/>
    </xf>
    <xf numFmtId="0" fontId="4" fillId="3" borderId="0" xfId="14" applyFont="1" applyFill="1" applyAlignment="1">
      <alignment horizontal="center"/>
    </xf>
    <xf numFmtId="0" fontId="4" fillId="3" borderId="0" xfId="14" applyFont="1" applyFill="1" applyAlignment="1">
      <alignment horizontal="left" vertical="center"/>
    </xf>
    <xf numFmtId="9" fontId="4" fillId="3" borderId="20" xfId="14" applyNumberFormat="1" applyFont="1" applyFill="1" applyBorder="1" applyAlignment="1">
      <alignment vertical="center" wrapText="1"/>
    </xf>
    <xf numFmtId="0" fontId="4" fillId="3" borderId="23" xfId="14" applyFont="1" applyFill="1" applyBorder="1" applyAlignment="1">
      <alignment vertical="center" wrapText="1"/>
    </xf>
    <xf numFmtId="0" fontId="4" fillId="3" borderId="20" xfId="14" applyFont="1" applyFill="1" applyBorder="1" applyAlignment="1">
      <alignment vertical="center" wrapText="1"/>
    </xf>
    <xf numFmtId="0" fontId="4" fillId="3" borderId="29" xfId="14" applyFont="1" applyFill="1" applyBorder="1" applyAlignment="1">
      <alignment horizontal="left" vertical="center" wrapText="1" indent="2"/>
    </xf>
    <xf numFmtId="0" fontId="4" fillId="3" borderId="0" xfId="14" applyFont="1" applyFill="1" applyAlignment="1">
      <alignment horizontal="left" vertical="top" wrapText="1"/>
    </xf>
    <xf numFmtId="0" fontId="4" fillId="3" borderId="0" xfId="14" applyFont="1" applyFill="1" applyAlignment="1">
      <alignment horizontal="left" vertical="top"/>
    </xf>
    <xf numFmtId="0" fontId="40" fillId="3" borderId="18" xfId="14" applyFont="1" applyFill="1" applyBorder="1" applyAlignment="1">
      <alignment horizontal="center" vertical="center" wrapText="1"/>
    </xf>
    <xf numFmtId="0" fontId="40" fillId="3" borderId="16" xfId="14" applyFont="1" applyFill="1" applyBorder="1" applyAlignment="1">
      <alignment horizontal="left" vertical="center" wrapText="1" indent="2"/>
    </xf>
    <xf numFmtId="0" fontId="107" fillId="3" borderId="0" xfId="14" applyFont="1" applyFill="1"/>
    <xf numFmtId="0" fontId="40" fillId="3" borderId="0" xfId="14" applyFont="1" applyFill="1"/>
    <xf numFmtId="0" fontId="4" fillId="0" borderId="0" xfId="0" applyFont="1" applyProtection="1">
      <protection locked="0"/>
    </xf>
    <xf numFmtId="0" fontId="4" fillId="19" borderId="0" xfId="0" applyFont="1" applyFill="1"/>
    <xf numFmtId="0" fontId="40" fillId="0" borderId="20" xfId="0" applyFont="1" applyBorder="1" applyProtection="1">
      <protection locked="0"/>
    </xf>
    <xf numFmtId="0" fontId="40" fillId="0" borderId="21" xfId="0" applyFont="1" applyBorder="1" applyProtection="1">
      <protection locked="0"/>
    </xf>
    <xf numFmtId="0" fontId="40" fillId="0" borderId="22" xfId="0" applyFont="1" applyBorder="1" applyProtection="1">
      <protection locked="0"/>
    </xf>
    <xf numFmtId="0" fontId="40" fillId="0" borderId="24" xfId="0" applyFont="1" applyBorder="1" applyProtection="1">
      <protection locked="0"/>
    </xf>
    <xf numFmtId="0" fontId="40" fillId="0" borderId="25" xfId="0" applyFont="1" applyBorder="1" applyProtection="1">
      <protection locked="0"/>
    </xf>
    <xf numFmtId="0" fontId="40" fillId="0" borderId="26" xfId="0" applyFont="1" applyBorder="1" applyProtection="1">
      <protection locked="0"/>
    </xf>
    <xf numFmtId="43" fontId="4" fillId="0" borderId="0" xfId="0" applyNumberFormat="1" applyFont="1" applyProtection="1">
      <protection locked="0"/>
    </xf>
    <xf numFmtId="44" fontId="4" fillId="0" borderId="0" xfId="0" applyNumberFormat="1" applyFont="1" applyProtection="1">
      <protection locked="0"/>
    </xf>
    <xf numFmtId="44" fontId="4" fillId="0" borderId="6" xfId="3" applyFont="1" applyBorder="1" applyProtection="1">
      <protection locked="0"/>
    </xf>
    <xf numFmtId="0" fontId="4" fillId="0" borderId="6" xfId="0" applyFont="1" applyBorder="1" applyProtection="1">
      <protection locked="0"/>
    </xf>
    <xf numFmtId="43" fontId="108" fillId="0" borderId="0" xfId="1" applyFont="1" applyProtection="1">
      <protection locked="0"/>
    </xf>
    <xf numFmtId="43" fontId="4" fillId="0" borderId="0" xfId="1" applyFont="1" applyProtection="1">
      <protection locked="0"/>
    </xf>
    <xf numFmtId="44" fontId="4" fillId="0" borderId="0" xfId="3" applyFont="1" applyProtection="1">
      <protection locked="0"/>
    </xf>
    <xf numFmtId="10" fontId="4" fillId="0" borderId="0" xfId="0" applyNumberFormat="1" applyFont="1" applyProtection="1">
      <protection locked="0"/>
    </xf>
    <xf numFmtId="0" fontId="4" fillId="0" borderId="0" xfId="0" applyFont="1" applyAlignment="1" applyProtection="1">
      <alignment horizontal="right" wrapText="1"/>
      <protection locked="0"/>
    </xf>
    <xf numFmtId="9" fontId="4" fillId="0" borderId="0" xfId="0" applyNumberFormat="1" applyFont="1" applyProtection="1">
      <protection locked="0"/>
    </xf>
    <xf numFmtId="167" fontId="4" fillId="0" borderId="0" xfId="0" applyNumberFormat="1" applyFont="1" applyProtection="1">
      <protection locked="0"/>
    </xf>
    <xf numFmtId="167" fontId="4" fillId="0" borderId="0" xfId="0" applyNumberFormat="1" applyFont="1" applyAlignment="1" applyProtection="1">
      <alignment horizontal="right" wrapText="1"/>
      <protection locked="0"/>
    </xf>
    <xf numFmtId="0" fontId="4" fillId="0" borderId="0" xfId="0" applyFont="1" applyAlignment="1" applyProtection="1">
      <alignment horizontal="left" vertical="center"/>
      <protection locked="0"/>
    </xf>
    <xf numFmtId="0" fontId="4" fillId="0" borderId="0" xfId="0" quotePrefix="1" applyFont="1" applyProtection="1">
      <protection locked="0"/>
    </xf>
    <xf numFmtId="6" fontId="4" fillId="0" borderId="0" xfId="0" applyNumberFormat="1" applyFont="1" applyProtection="1">
      <protection locked="0"/>
    </xf>
    <xf numFmtId="167" fontId="4" fillId="0" borderId="0" xfId="3" applyNumberFormat="1" applyFont="1" applyProtection="1">
      <protection locked="0"/>
    </xf>
    <xf numFmtId="0" fontId="4" fillId="20" borderId="1" xfId="0" applyFont="1" applyFill="1" applyBorder="1" applyAlignment="1">
      <alignment horizontal="left" vertical="center" wrapText="1" indent="2"/>
    </xf>
    <xf numFmtId="44" fontId="4" fillId="0" borderId="6" xfId="0" applyNumberFormat="1" applyFont="1" applyBorder="1" applyProtection="1">
      <protection locked="0"/>
    </xf>
    <xf numFmtId="6" fontId="4" fillId="0" borderId="6" xfId="0" applyNumberFormat="1" applyFont="1" applyBorder="1" applyProtection="1">
      <protection locked="0"/>
    </xf>
    <xf numFmtId="167" fontId="4" fillId="0" borderId="6" xfId="0" applyNumberFormat="1" applyFont="1" applyBorder="1" applyProtection="1">
      <protection locked="0"/>
    </xf>
    <xf numFmtId="167" fontId="4" fillId="0" borderId="6" xfId="3" applyNumberFormat="1" applyFont="1" applyBorder="1" applyProtection="1">
      <protection locked="0"/>
    </xf>
    <xf numFmtId="0" fontId="4" fillId="0" borderId="6" xfId="0" quotePrefix="1" applyFont="1" applyBorder="1" applyProtection="1">
      <protection locked="0"/>
    </xf>
    <xf numFmtId="0" fontId="4" fillId="3" borderId="0" xfId="0" applyFont="1" applyFill="1" applyAlignment="1">
      <alignment horizontal="left" indent="3"/>
    </xf>
    <xf numFmtId="8" fontId="4" fillId="0" borderId="0" xfId="0" applyNumberFormat="1" applyFont="1" applyProtection="1">
      <protection locked="0"/>
    </xf>
    <xf numFmtId="0" fontId="4" fillId="3" borderId="0" xfId="0" applyFont="1" applyFill="1" applyAlignment="1">
      <alignment horizontal="left" vertical="center" indent="10"/>
    </xf>
    <xf numFmtId="6" fontId="4" fillId="20" borderId="8" xfId="0" applyNumberFormat="1" applyFont="1" applyFill="1" applyBorder="1" applyAlignment="1">
      <alignment horizontal="left" vertical="center"/>
    </xf>
    <xf numFmtId="9" fontId="4" fillId="20" borderId="9" xfId="0" applyNumberFormat="1" applyFont="1" applyFill="1" applyBorder="1" applyAlignment="1">
      <alignment horizontal="center" vertical="center"/>
    </xf>
    <xf numFmtId="0" fontId="4" fillId="0" borderId="0" xfId="0" applyFont="1" applyAlignment="1" applyProtection="1">
      <alignment wrapText="1"/>
      <protection locked="0"/>
    </xf>
    <xf numFmtId="0" fontId="40" fillId="0" borderId="0" xfId="0" applyFont="1" applyProtection="1">
      <protection locked="0"/>
    </xf>
    <xf numFmtId="0" fontId="4" fillId="19" borderId="0" xfId="0" applyFont="1" applyFill="1" applyProtection="1">
      <protection locked="0"/>
    </xf>
    <xf numFmtId="0" fontId="4" fillId="3" borderId="0" xfId="0" applyFont="1" applyFill="1" applyAlignment="1">
      <alignment vertical="top" wrapText="1"/>
    </xf>
    <xf numFmtId="0" fontId="4" fillId="3" borderId="0" xfId="0" applyFont="1" applyFill="1" applyAlignment="1">
      <alignment horizontal="left" vertical="top"/>
    </xf>
    <xf numFmtId="0" fontId="4" fillId="3" borderId="0" xfId="0" applyFont="1" applyFill="1" applyAlignment="1">
      <alignment horizontal="left" vertical="top" wrapText="1"/>
    </xf>
    <xf numFmtId="0" fontId="40" fillId="20" borderId="1" xfId="0" applyFont="1" applyFill="1" applyBorder="1" applyAlignment="1">
      <alignment horizontal="left" vertical="center" wrapText="1" indent="2"/>
    </xf>
    <xf numFmtId="10" fontId="4" fillId="3" borderId="0" xfId="0" applyNumberFormat="1" applyFont="1" applyFill="1"/>
    <xf numFmtId="0" fontId="4" fillId="3" borderId="0" xfId="0" applyFont="1" applyFill="1" applyAlignment="1">
      <alignment horizontal="left" vertical="center"/>
    </xf>
    <xf numFmtId="0" fontId="107" fillId="3" borderId="0" xfId="0" applyFont="1" applyFill="1"/>
    <xf numFmtId="0" fontId="23" fillId="2" borderId="0" xfId="0" applyFont="1" applyFill="1" applyAlignment="1">
      <alignment vertical="top" wrapText="1"/>
    </xf>
    <xf numFmtId="0" fontId="0" fillId="2" borderId="0" xfId="0" applyFill="1"/>
    <xf numFmtId="0" fontId="23" fillId="2" borderId="0" xfId="0" applyFont="1" applyFill="1" applyAlignment="1">
      <alignment wrapText="1"/>
    </xf>
    <xf numFmtId="0" fontId="109" fillId="2" borderId="0" xfId="0" applyFont="1" applyFill="1" applyAlignment="1">
      <alignment horizontal="left" vertical="center" indent="7"/>
    </xf>
    <xf numFmtId="170" fontId="23" fillId="2" borderId="1" xfId="0" applyNumberFormat="1" applyFont="1" applyFill="1" applyBorder="1" applyAlignment="1">
      <alignment vertical="center" wrapText="1"/>
    </xf>
    <xf numFmtId="0" fontId="23" fillId="2" borderId="6" xfId="0" applyFont="1" applyFill="1" applyBorder="1"/>
    <xf numFmtId="0" fontId="23" fillId="2" borderId="5" xfId="0" applyFont="1" applyFill="1" applyBorder="1"/>
    <xf numFmtId="3" fontId="3" fillId="2" borderId="1" xfId="0" applyNumberFormat="1" applyFont="1" applyFill="1" applyBorder="1" applyAlignment="1">
      <alignment horizontal="center" vertical="center"/>
    </xf>
    <xf numFmtId="0" fontId="3" fillId="2" borderId="1" xfId="0" applyFont="1" applyFill="1" applyBorder="1" applyAlignment="1">
      <alignment horizontal="left" vertical="top"/>
    </xf>
    <xf numFmtId="3" fontId="3" fillId="2" borderId="1" xfId="0" applyNumberFormat="1" applyFont="1" applyFill="1" applyBorder="1" applyAlignment="1">
      <alignment horizontal="center" vertical="top"/>
    </xf>
    <xf numFmtId="17" fontId="2" fillId="2" borderId="0" xfId="0" applyNumberFormat="1" applyFont="1" applyFill="1" applyAlignment="1">
      <alignment horizontal="left" vertical="center"/>
    </xf>
    <xf numFmtId="176" fontId="3" fillId="2" borderId="1" xfId="6" applyFont="1" applyFill="1" applyBorder="1" applyAlignment="1">
      <alignment horizontal="left" vertical="center"/>
    </xf>
    <xf numFmtId="168" fontId="3" fillId="2" borderId="1" xfId="0" applyNumberFormat="1" applyFont="1" applyFill="1" applyBorder="1" applyAlignment="1">
      <alignment horizontal="center"/>
    </xf>
    <xf numFmtId="0" fontId="3" fillId="2" borderId="12" xfId="0" applyFont="1" applyFill="1" applyBorder="1" applyAlignment="1">
      <alignment horizontal="center"/>
    </xf>
    <xf numFmtId="0" fontId="2" fillId="2" borderId="14" xfId="0" applyFont="1" applyFill="1" applyBorder="1" applyAlignment="1">
      <alignment horizontal="center"/>
    </xf>
    <xf numFmtId="2" fontId="3" fillId="2" borderId="10" xfId="0" applyNumberFormat="1" applyFont="1" applyFill="1" applyBorder="1"/>
    <xf numFmtId="0" fontId="2" fillId="2" borderId="10" xfId="0" applyFont="1" applyFill="1" applyBorder="1"/>
    <xf numFmtId="0" fontId="3" fillId="2" borderId="7" xfId="0" applyFont="1" applyFill="1" applyBorder="1" applyAlignment="1">
      <alignment horizontal="left"/>
    </xf>
    <xf numFmtId="0" fontId="3" fillId="2" borderId="6" xfId="0" applyFont="1" applyFill="1" applyBorder="1" applyAlignment="1">
      <alignment horizontal="left"/>
    </xf>
    <xf numFmtId="0" fontId="3" fillId="2" borderId="5" xfId="0" applyFont="1" applyFill="1" applyBorder="1" applyAlignment="1">
      <alignment horizontal="left"/>
    </xf>
    <xf numFmtId="0" fontId="3" fillId="2" borderId="15" xfId="0" applyFont="1" applyFill="1" applyBorder="1" applyAlignment="1">
      <alignment horizontal="left"/>
    </xf>
    <xf numFmtId="0" fontId="3" fillId="2" borderId="10" xfId="0" applyFont="1" applyFill="1" applyBorder="1" applyAlignment="1">
      <alignment horizontal="left"/>
    </xf>
    <xf numFmtId="0" fontId="3" fillId="2" borderId="4" xfId="0" applyFont="1" applyFill="1" applyBorder="1" applyAlignment="1">
      <alignment horizontal="left"/>
    </xf>
    <xf numFmtId="0" fontId="3" fillId="2" borderId="3" xfId="0" applyFont="1" applyFill="1" applyBorder="1" applyAlignment="1">
      <alignment horizontal="left"/>
    </xf>
    <xf numFmtId="0" fontId="3" fillId="2" borderId="2" xfId="0" applyFont="1" applyFill="1" applyBorder="1" applyAlignment="1">
      <alignment horizontal="left"/>
    </xf>
    <xf numFmtId="0" fontId="3" fillId="2" borderId="15" xfId="0" applyFont="1" applyFill="1" applyBorder="1"/>
    <xf numFmtId="0" fontId="44" fillId="2" borderId="10" xfId="0" applyFont="1" applyFill="1" applyBorder="1"/>
    <xf numFmtId="0" fontId="44" fillId="2" borderId="2" xfId="0" applyFont="1" applyFill="1" applyBorder="1"/>
    <xf numFmtId="0" fontId="3" fillId="2" borderId="11" xfId="0" applyFont="1" applyFill="1" applyBorder="1" applyAlignment="1">
      <alignment horizontal="left"/>
    </xf>
    <xf numFmtId="0" fontId="23" fillId="2" borderId="0" xfId="7" applyFont="1" applyFill="1"/>
    <xf numFmtId="0" fontId="110" fillId="0" borderId="0" xfId="18" applyFont="1"/>
    <xf numFmtId="197" fontId="104" fillId="0" borderId="0" xfId="18" applyNumberFormat="1" applyFont="1"/>
    <xf numFmtId="0" fontId="100" fillId="0" borderId="0" xfId="18"/>
    <xf numFmtId="8" fontId="4" fillId="0" borderId="0" xfId="7" applyNumberFormat="1" applyFont="1"/>
    <xf numFmtId="0" fontId="39" fillId="0" borderId="0" xfId="7" applyFont="1"/>
    <xf numFmtId="0" fontId="110" fillId="0" borderId="0" xfId="18" quotePrefix="1" applyFont="1"/>
    <xf numFmtId="0" fontId="110" fillId="0" borderId="0" xfId="18" applyFont="1" applyAlignment="1">
      <alignment horizontal="center"/>
    </xf>
    <xf numFmtId="0" fontId="111" fillId="0" borderId="0" xfId="18" applyFont="1"/>
    <xf numFmtId="0" fontId="24" fillId="2" borderId="0" xfId="7" applyFont="1" applyFill="1" applyAlignment="1">
      <alignment vertical="center" wrapText="1"/>
    </xf>
    <xf numFmtId="0" fontId="23" fillId="2" borderId="0" xfId="7" applyFont="1" applyFill="1" applyAlignment="1">
      <alignment horizontal="left"/>
    </xf>
    <xf numFmtId="0" fontId="23" fillId="0" borderId="0" xfId="7" applyFont="1"/>
    <xf numFmtId="0" fontId="104" fillId="0" borderId="0" xfId="18" applyFont="1"/>
    <xf numFmtId="0" fontId="23" fillId="2" borderId="0" xfId="7" applyFont="1" applyFill="1" applyAlignment="1">
      <alignment horizontal="left" vertical="top" wrapText="1"/>
    </xf>
    <xf numFmtId="0" fontId="23" fillId="2" borderId="1" xfId="7" applyFont="1" applyFill="1" applyBorder="1" applyAlignment="1">
      <alignment horizontal="right" vertical="top" wrapText="1"/>
    </xf>
    <xf numFmtId="6" fontId="23" fillId="2" borderId="1" xfId="7" applyNumberFormat="1" applyFont="1" applyFill="1" applyBorder="1" applyAlignment="1">
      <alignment horizontal="right" wrapText="1"/>
    </xf>
    <xf numFmtId="0" fontId="23" fillId="2" borderId="0" xfId="7" applyFont="1" applyFill="1" applyAlignment="1">
      <alignment horizontal="left" wrapText="1"/>
    </xf>
    <xf numFmtId="8" fontId="23" fillId="2" borderId="0" xfId="7" applyNumberFormat="1" applyFont="1" applyFill="1" applyAlignment="1">
      <alignment horizontal="left" wrapText="1"/>
    </xf>
    <xf numFmtId="0" fontId="23" fillId="2" borderId="0" xfId="7" quotePrefix="1" applyFont="1" applyFill="1" applyAlignment="1">
      <alignment horizontal="left" vertical="center" wrapText="1"/>
    </xf>
    <xf numFmtId="0" fontId="23" fillId="2" borderId="1" xfId="7" quotePrefix="1" applyFont="1" applyFill="1" applyBorder="1" applyAlignment="1">
      <alignment horizontal="right" vertical="center" wrapText="1"/>
    </xf>
    <xf numFmtId="0" fontId="28" fillId="2" borderId="1" xfId="7" applyFont="1" applyFill="1" applyBorder="1" applyAlignment="1">
      <alignment horizontal="right"/>
    </xf>
    <xf numFmtId="0" fontId="112" fillId="0" borderId="0" xfId="7" applyFont="1"/>
    <xf numFmtId="170" fontId="23" fillId="2" borderId="1" xfId="7" applyNumberFormat="1" applyFont="1" applyFill="1" applyBorder="1" applyAlignment="1">
      <alignment horizontal="center" vertical="center" wrapText="1"/>
    </xf>
    <xf numFmtId="0" fontId="23" fillId="2" borderId="1" xfId="7" applyFont="1" applyFill="1" applyBorder="1" applyAlignment="1">
      <alignment horizontal="center" vertical="center" wrapText="1"/>
    </xf>
    <xf numFmtId="197" fontId="23" fillId="2" borderId="1" xfId="7" applyNumberFormat="1" applyFont="1" applyFill="1" applyBorder="1" applyAlignment="1">
      <alignment vertical="center" wrapText="1"/>
    </xf>
    <xf numFmtId="0" fontId="17" fillId="0" borderId="0" xfId="7" applyFont="1"/>
    <xf numFmtId="0" fontId="27" fillId="2" borderId="0" xfId="7" applyFont="1" applyFill="1"/>
    <xf numFmtId="0" fontId="24" fillId="2" borderId="0" xfId="7" applyFont="1" applyFill="1"/>
    <xf numFmtId="0" fontId="28" fillId="2" borderId="0" xfId="7" applyFont="1" applyFill="1"/>
    <xf numFmtId="0" fontId="29" fillId="2" borderId="0" xfId="7" applyFont="1" applyFill="1"/>
    <xf numFmtId="0" fontId="113" fillId="0" borderId="0" xfId="0" applyFont="1"/>
    <xf numFmtId="0" fontId="12" fillId="0" borderId="0" xfId="0" applyFont="1" applyAlignment="1">
      <alignment horizontal="center"/>
    </xf>
    <xf numFmtId="0" fontId="114" fillId="2" borderId="0" xfId="0" applyFont="1" applyFill="1"/>
    <xf numFmtId="0" fontId="115" fillId="2" borderId="0" xfId="0" applyFont="1" applyFill="1"/>
    <xf numFmtId="0" fontId="115" fillId="2" borderId="8" xfId="0" applyFont="1" applyFill="1" applyBorder="1"/>
    <xf numFmtId="0" fontId="115" fillId="2" borderId="11" xfId="0" applyFont="1" applyFill="1" applyBorder="1"/>
    <xf numFmtId="0" fontId="6" fillId="2" borderId="11" xfId="0" applyFont="1" applyFill="1" applyBorder="1"/>
    <xf numFmtId="0" fontId="115" fillId="2" borderId="7" xfId="0" applyFont="1" applyFill="1" applyBorder="1"/>
    <xf numFmtId="0" fontId="115" fillId="2" borderId="6" xfId="0" applyFont="1" applyFill="1" applyBorder="1"/>
    <xf numFmtId="0" fontId="6" fillId="2" borderId="6" xfId="0" applyFont="1" applyFill="1" applyBorder="1"/>
    <xf numFmtId="0" fontId="115" fillId="2" borderId="4" xfId="0" applyFont="1" applyFill="1" applyBorder="1"/>
    <xf numFmtId="0" fontId="115" fillId="2" borderId="3" xfId="0" applyFont="1" applyFill="1" applyBorder="1"/>
    <xf numFmtId="0" fontId="6" fillId="2" borderId="3" xfId="0" applyFont="1" applyFill="1" applyBorder="1"/>
    <xf numFmtId="0" fontId="6" fillId="2" borderId="2" xfId="0" applyFont="1" applyFill="1" applyBorder="1"/>
    <xf numFmtId="6" fontId="3" fillId="2" borderId="1" xfId="0" applyNumberFormat="1" applyFont="1" applyFill="1" applyBorder="1" applyAlignment="1">
      <alignment horizontal="left"/>
    </xf>
    <xf numFmtId="6" fontId="4" fillId="3" borderId="1" xfId="0" applyNumberFormat="1" applyFont="1" applyFill="1" applyBorder="1" applyAlignment="1">
      <alignment vertical="center" wrapText="1"/>
    </xf>
    <xf numFmtId="0" fontId="4" fillId="3" borderId="1" xfId="0" applyFont="1" applyFill="1" applyBorder="1" applyAlignment="1">
      <alignment vertical="center" wrapText="1"/>
    </xf>
    <xf numFmtId="0" fontId="4" fillId="3" borderId="0" xfId="0" applyFont="1" applyFill="1" applyAlignment="1">
      <alignment horizontal="center"/>
    </xf>
    <xf numFmtId="0" fontId="0" fillId="0" borderId="0" xfId="0" applyProtection="1">
      <protection locked="0"/>
    </xf>
    <xf numFmtId="3" fontId="0" fillId="0" borderId="0" xfId="0" applyNumberFormat="1" applyProtection="1">
      <protection locked="0"/>
    </xf>
    <xf numFmtId="14" fontId="0" fillId="0" borderId="0" xfId="0" applyNumberFormat="1" applyProtection="1">
      <protection locked="0"/>
    </xf>
    <xf numFmtId="0" fontId="23" fillId="0" borderId="0" xfId="0" applyFont="1"/>
    <xf numFmtId="9" fontId="23" fillId="2" borderId="1" xfId="0" applyNumberFormat="1" applyFont="1" applyFill="1" applyBorder="1" applyAlignment="1">
      <alignment horizontal="center" vertical="center" wrapText="1"/>
    </xf>
    <xf numFmtId="9" fontId="23" fillId="2" borderId="7" xfId="0" applyNumberFormat="1" applyFont="1" applyFill="1" applyBorder="1"/>
    <xf numFmtId="9" fontId="23" fillId="2" borderId="1" xfId="0" applyNumberFormat="1" applyFont="1" applyFill="1" applyBorder="1"/>
    <xf numFmtId="10" fontId="23" fillId="2" borderId="11" xfId="0" applyNumberFormat="1" applyFont="1" applyFill="1" applyBorder="1"/>
    <xf numFmtId="164" fontId="23" fillId="2" borderId="1" xfId="0" applyNumberFormat="1" applyFont="1" applyFill="1" applyBorder="1"/>
    <xf numFmtId="0" fontId="23" fillId="2" borderId="1" xfId="0" applyFont="1" applyFill="1" applyBorder="1" applyAlignment="1">
      <alignment horizontal="center"/>
    </xf>
    <xf numFmtId="168" fontId="23" fillId="2" borderId="1" xfId="0" applyNumberFormat="1" applyFont="1" applyFill="1" applyBorder="1" applyAlignment="1">
      <alignment horizontal="center"/>
    </xf>
    <xf numFmtId="167" fontId="23" fillId="2" borderId="1" xfId="3" applyNumberFormat="1" applyFont="1" applyFill="1" applyBorder="1" applyAlignment="1">
      <alignment horizontal="center"/>
    </xf>
    <xf numFmtId="0" fontId="23" fillId="2" borderId="0" xfId="0" applyFont="1" applyFill="1" applyAlignment="1">
      <alignment horizontal="left"/>
    </xf>
    <xf numFmtId="9" fontId="23" fillId="2" borderId="0" xfId="0" applyNumberFormat="1" applyFont="1" applyFill="1" applyAlignment="1">
      <alignment horizontal="center"/>
    </xf>
    <xf numFmtId="0" fontId="28" fillId="2" borderId="0" xfId="0" applyFont="1" applyFill="1" applyAlignment="1">
      <alignment horizontal="center"/>
    </xf>
    <xf numFmtId="0" fontId="23" fillId="2" borderId="5" xfId="0" quotePrefix="1" applyFont="1" applyFill="1" applyBorder="1"/>
    <xf numFmtId="0" fontId="23" fillId="2" borderId="9" xfId="0" quotePrefix="1" applyFont="1" applyFill="1" applyBorder="1"/>
    <xf numFmtId="10" fontId="23" fillId="2" borderId="9" xfId="0" applyNumberFormat="1" applyFont="1" applyFill="1" applyBorder="1"/>
    <xf numFmtId="0" fontId="24" fillId="2" borderId="0" xfId="0" applyFont="1" applyFill="1" applyAlignment="1">
      <alignment horizontal="left"/>
    </xf>
    <xf numFmtId="0" fontId="14" fillId="0" borderId="0" xfId="0" applyFont="1" applyProtection="1">
      <protection locked="0"/>
    </xf>
    <xf numFmtId="175" fontId="0" fillId="0" borderId="0" xfId="0" applyNumberFormat="1" applyProtection="1">
      <protection locked="0"/>
    </xf>
    <xf numFmtId="175" fontId="0" fillId="0" borderId="7" xfId="0" applyNumberFormat="1" applyBorder="1" applyProtection="1">
      <protection locked="0"/>
    </xf>
    <xf numFmtId="0" fontId="0" fillId="0" borderId="6" xfId="0" applyBorder="1" applyProtection="1">
      <protection locked="0"/>
    </xf>
    <xf numFmtId="175" fontId="0" fillId="0" borderId="15" xfId="0" applyNumberFormat="1" applyBorder="1" applyProtection="1">
      <protection locked="0"/>
    </xf>
    <xf numFmtId="0" fontId="0" fillId="0" borderId="0" xfId="0" applyAlignment="1" applyProtection="1">
      <alignment horizontal="center"/>
      <protection locked="0"/>
    </xf>
    <xf numFmtId="0" fontId="0" fillId="0" borderId="0" xfId="0" quotePrefix="1" applyAlignment="1" applyProtection="1">
      <alignment horizontal="center"/>
      <protection locked="0"/>
    </xf>
    <xf numFmtId="167" fontId="0" fillId="0" borderId="0" xfId="3" applyNumberFormat="1" applyFont="1" applyProtection="1">
      <protection locked="0"/>
    </xf>
    <xf numFmtId="43" fontId="0" fillId="0" borderId="0" xfId="0" applyNumberFormat="1" applyProtection="1">
      <protection locked="0"/>
    </xf>
    <xf numFmtId="13" fontId="0" fillId="0" borderId="0" xfId="1" applyNumberFormat="1" applyFont="1" applyFill="1" applyProtection="1">
      <protection locked="0"/>
    </xf>
    <xf numFmtId="10" fontId="0" fillId="0" borderId="0" xfId="2" applyNumberFormat="1" applyFont="1" applyProtection="1">
      <protection locked="0"/>
    </xf>
    <xf numFmtId="167" fontId="0" fillId="0" borderId="0" xfId="0" applyNumberFormat="1" applyProtection="1">
      <protection locked="0"/>
    </xf>
    <xf numFmtId="16" fontId="0" fillId="0" borderId="0" xfId="0" applyNumberFormat="1" applyAlignment="1" applyProtection="1">
      <alignment wrapText="1"/>
      <protection locked="0"/>
    </xf>
    <xf numFmtId="16" fontId="0" fillId="0" borderId="0" xfId="0" quotePrefix="1" applyNumberFormat="1" applyProtection="1">
      <protection locked="0"/>
    </xf>
    <xf numFmtId="175" fontId="0" fillId="0" borderId="0" xfId="1" applyNumberFormat="1" applyFont="1" applyProtection="1">
      <protection locked="0"/>
    </xf>
    <xf numFmtId="44" fontId="0" fillId="0" borderId="0" xfId="3" applyFont="1" applyProtection="1">
      <protection locked="0"/>
    </xf>
    <xf numFmtId="43" fontId="0" fillId="0" borderId="0" xfId="1" applyFont="1" applyProtection="1">
      <protection locked="0"/>
    </xf>
    <xf numFmtId="0" fontId="107" fillId="3" borderId="0" xfId="0" applyFont="1" applyFill="1" applyAlignment="1">
      <alignment horizontal="left" vertical="top"/>
    </xf>
    <xf numFmtId="0" fontId="4" fillId="3" borderId="0" xfId="0" applyFont="1" applyFill="1" applyAlignment="1">
      <alignment wrapText="1"/>
    </xf>
    <xf numFmtId="0" fontId="116" fillId="3" borderId="0" xfId="0" applyFont="1" applyFill="1"/>
    <xf numFmtId="10" fontId="4" fillId="3" borderId="1" xfId="0" applyNumberFormat="1" applyFont="1" applyFill="1" applyBorder="1" applyAlignment="1">
      <alignment horizontal="center" vertical="center" wrapText="1"/>
    </xf>
    <xf numFmtId="6"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0" xfId="0" applyFont="1" applyFill="1" applyAlignment="1">
      <alignment horizontal="center" vertical="center"/>
    </xf>
    <xf numFmtId="0" fontId="4" fillId="3" borderId="0" xfId="0" applyFont="1" applyFill="1" applyAlignment="1">
      <alignment horizontal="left" vertical="center" indent="5"/>
    </xf>
    <xf numFmtId="37" fontId="4" fillId="0" borderId="0" xfId="0" applyNumberFormat="1" applyFont="1" applyProtection="1">
      <protection locked="0"/>
    </xf>
    <xf numFmtId="0" fontId="4" fillId="0" borderId="0" xfId="0" applyFont="1" applyAlignment="1" applyProtection="1">
      <alignment horizontal="right"/>
      <protection locked="0"/>
    </xf>
    <xf numFmtId="164" fontId="4" fillId="0" borderId="0" xfId="0" applyNumberFormat="1" applyFont="1" applyProtection="1">
      <protection locked="0"/>
    </xf>
    <xf numFmtId="0" fontId="4" fillId="0" borderId="0" xfId="0" quotePrefix="1" applyFont="1" applyAlignment="1" applyProtection="1">
      <alignment wrapText="1"/>
      <protection locked="0"/>
    </xf>
    <xf numFmtId="179" fontId="4" fillId="0" borderId="0" xfId="0" applyNumberFormat="1" applyFont="1" applyProtection="1">
      <protection locked="0"/>
    </xf>
    <xf numFmtId="0" fontId="40" fillId="0" borderId="0" xfId="0" applyFont="1" applyAlignment="1" applyProtection="1">
      <alignment horizontal="left" vertical="center"/>
      <protection locked="0"/>
    </xf>
    <xf numFmtId="37" fontId="4" fillId="0" borderId="0" xfId="0" applyNumberFormat="1" applyFont="1" applyAlignment="1" applyProtection="1">
      <alignment horizontal="right"/>
      <protection locked="0"/>
    </xf>
    <xf numFmtId="0" fontId="40" fillId="0" borderId="0" xfId="0" applyFont="1" applyAlignment="1" applyProtection="1">
      <alignment horizontal="left" vertical="center" indent="4"/>
      <protection locked="0"/>
    </xf>
    <xf numFmtId="37" fontId="4" fillId="0" borderId="0" xfId="1" applyNumberFormat="1" applyFont="1" applyProtection="1">
      <protection locked="0"/>
    </xf>
    <xf numFmtId="0" fontId="4" fillId="3" borderId="0" xfId="0" applyFont="1" applyFill="1" applyAlignment="1">
      <alignment horizontal="left"/>
    </xf>
    <xf numFmtId="0" fontId="4" fillId="3" borderId="0" xfId="0" applyFont="1" applyFill="1" applyAlignment="1">
      <alignment vertical="center" wrapText="1"/>
    </xf>
    <xf numFmtId="10" fontId="4" fillId="3" borderId="0" xfId="0" applyNumberFormat="1" applyFont="1" applyFill="1" applyAlignment="1">
      <alignment vertical="center" wrapText="1"/>
    </xf>
    <xf numFmtId="164" fontId="4" fillId="3" borderId="1" xfId="0" applyNumberFormat="1" applyFont="1" applyFill="1" applyBorder="1" applyAlignment="1">
      <alignment horizontal="center" vertical="center" wrapText="1"/>
    </xf>
    <xf numFmtId="179" fontId="4" fillId="3" borderId="0" xfId="0" applyNumberFormat="1" applyFont="1" applyFill="1" applyAlignment="1">
      <alignment vertical="center" wrapText="1"/>
    </xf>
    <xf numFmtId="179" fontId="4" fillId="3" borderId="1" xfId="0" applyNumberFormat="1" applyFont="1" applyFill="1" applyBorder="1" applyAlignment="1">
      <alignment horizontal="center" vertical="center" wrapText="1"/>
    </xf>
    <xf numFmtId="0" fontId="30" fillId="21" borderId="0" xfId="0" applyFont="1" applyFill="1"/>
    <xf numFmtId="0" fontId="4" fillId="21" borderId="0" xfId="0" applyFont="1" applyFill="1"/>
    <xf numFmtId="0" fontId="30" fillId="5" borderId="0" xfId="0" applyFont="1" applyFill="1"/>
    <xf numFmtId="0" fontId="30" fillId="0" borderId="0" xfId="0" applyFont="1"/>
    <xf numFmtId="5" fontId="32" fillId="21" borderId="0" xfId="0" applyNumberFormat="1" applyFont="1" applyFill="1" applyAlignment="1">
      <alignment horizontal="right" vertical="center" wrapText="1"/>
    </xf>
    <xf numFmtId="5" fontId="32" fillId="21" borderId="0" xfId="1" applyNumberFormat="1" applyFont="1" applyFill="1" applyBorder="1" applyAlignment="1">
      <alignment horizontal="right" vertical="center" wrapText="1"/>
    </xf>
    <xf numFmtId="0" fontId="32" fillId="21" borderId="0" xfId="0" applyFont="1" applyFill="1" applyAlignment="1">
      <alignment vertical="center"/>
    </xf>
    <xf numFmtId="5" fontId="30" fillId="21" borderId="0" xfId="0" applyNumberFormat="1" applyFont="1" applyFill="1" applyAlignment="1">
      <alignment horizontal="right" vertical="center" wrapText="1"/>
    </xf>
    <xf numFmtId="0" fontId="30" fillId="21" borderId="0" xfId="0" applyFont="1" applyFill="1" applyAlignment="1">
      <alignment vertical="center"/>
    </xf>
    <xf numFmtId="0" fontId="30" fillId="21" borderId="0" xfId="0" applyFont="1" applyFill="1" applyAlignment="1">
      <alignment horizontal="left" vertical="center"/>
    </xf>
    <xf numFmtId="5" fontId="30" fillId="21" borderId="0" xfId="0" applyNumberFormat="1" applyFont="1" applyFill="1"/>
    <xf numFmtId="175" fontId="4" fillId="0" borderId="0" xfId="1" applyNumberFormat="1" applyFont="1" applyFill="1"/>
    <xf numFmtId="175" fontId="30" fillId="0" borderId="12" xfId="0" applyNumberFormat="1" applyFont="1" applyBorder="1"/>
    <xf numFmtId="175" fontId="30" fillId="21" borderId="0" xfId="0" applyNumberFormat="1" applyFont="1" applyFill="1"/>
    <xf numFmtId="175" fontId="30" fillId="21" borderId="11" xfId="0" applyNumberFormat="1" applyFont="1" applyFill="1" applyBorder="1"/>
    <xf numFmtId="175" fontId="30" fillId="0" borderId="1" xfId="0" applyNumberFormat="1" applyFont="1" applyBorder="1"/>
    <xf numFmtId="175" fontId="30" fillId="21" borderId="6" xfId="0" applyNumberFormat="1" applyFont="1" applyFill="1" applyBorder="1"/>
    <xf numFmtId="0" fontId="32" fillId="21" borderId="6" xfId="0" applyFont="1" applyFill="1" applyBorder="1" applyAlignment="1">
      <alignment horizontal="center" wrapText="1"/>
    </xf>
    <xf numFmtId="0" fontId="32" fillId="21" borderId="0" xfId="0" applyFont="1" applyFill="1" applyAlignment="1">
      <alignment horizontal="center" wrapText="1"/>
    </xf>
    <xf numFmtId="2" fontId="30" fillId="21" borderId="0" xfId="0" applyNumberFormat="1" applyFont="1" applyFill="1" applyAlignment="1">
      <alignment horizontal="right" vertical="center"/>
    </xf>
    <xf numFmtId="2" fontId="30" fillId="21" borderId="0" xfId="0" applyNumberFormat="1" applyFont="1" applyFill="1" applyAlignment="1">
      <alignment horizontal="left" vertical="center"/>
    </xf>
    <xf numFmtId="0" fontId="32" fillId="21" borderId="0" xfId="0" applyFont="1" applyFill="1"/>
    <xf numFmtId="0" fontId="31" fillId="21" borderId="0" xfId="0" applyFont="1" applyFill="1"/>
    <xf numFmtId="0" fontId="32" fillId="21" borderId="0" xfId="0" applyFont="1" applyFill="1" applyAlignment="1">
      <alignment horizontal="right" indent="1"/>
    </xf>
    <xf numFmtId="2" fontId="30" fillId="21" borderId="0" xfId="0" applyNumberFormat="1" applyFont="1" applyFill="1" applyAlignment="1">
      <alignment vertical="center"/>
    </xf>
    <xf numFmtId="0" fontId="30" fillId="21" borderId="0" xfId="0" quotePrefix="1" applyFont="1" applyFill="1"/>
    <xf numFmtId="0" fontId="30" fillId="2" borderId="0" xfId="0" quotePrefix="1" applyFont="1" applyFill="1"/>
    <xf numFmtId="175" fontId="32" fillId="0" borderId="1" xfId="0" applyNumberFormat="1" applyFont="1" applyBorder="1"/>
    <xf numFmtId="9" fontId="30" fillId="21" borderId="0" xfId="0" applyNumberFormat="1" applyFont="1" applyFill="1"/>
    <xf numFmtId="0" fontId="32" fillId="21" borderId="0" xfId="0" applyFont="1" applyFill="1" applyAlignment="1">
      <alignment horizontal="left" wrapText="1"/>
    </xf>
    <xf numFmtId="0" fontId="30" fillId="21" borderId="0" xfId="0" applyFont="1" applyFill="1" applyAlignment="1">
      <alignment horizontal="left"/>
    </xf>
    <xf numFmtId="0" fontId="32" fillId="21" borderId="0" xfId="0" applyFont="1" applyFill="1" applyAlignment="1">
      <alignment horizontal="center" vertical="top"/>
    </xf>
    <xf numFmtId="0" fontId="31" fillId="21" borderId="0" xfId="0" applyFont="1" applyFill="1" applyAlignment="1">
      <alignment horizontal="left" vertical="top"/>
    </xf>
    <xf numFmtId="3" fontId="30" fillId="21" borderId="0" xfId="2" applyNumberFormat="1" applyFont="1" applyFill="1" applyBorder="1" applyAlignment="1">
      <alignment horizontal="center"/>
    </xf>
    <xf numFmtId="3" fontId="30" fillId="21" borderId="1" xfId="2" applyNumberFormat="1" applyFont="1" applyFill="1" applyBorder="1" applyAlignment="1">
      <alignment horizontal="center"/>
    </xf>
    <xf numFmtId="2" fontId="30" fillId="21" borderId="11" xfId="0" applyNumberFormat="1" applyFont="1" applyFill="1" applyBorder="1" applyAlignment="1">
      <alignment horizontal="right" vertical="center"/>
    </xf>
    <xf numFmtId="2" fontId="30" fillId="21" borderId="9" xfId="0" applyNumberFormat="1" applyFont="1" applyFill="1" applyBorder="1" applyAlignment="1">
      <alignment horizontal="left" vertical="center"/>
    </xf>
    <xf numFmtId="175" fontId="32" fillId="21" borderId="0" xfId="1" applyNumberFormat="1" applyFont="1" applyFill="1"/>
    <xf numFmtId="175" fontId="30" fillId="0" borderId="1" xfId="1" applyNumberFormat="1" applyFont="1" applyFill="1" applyBorder="1"/>
    <xf numFmtId="0" fontId="30" fillId="21" borderId="0" xfId="0" applyFont="1" applyFill="1" applyAlignment="1">
      <alignment horizontal="left" indent="1"/>
    </xf>
    <xf numFmtId="175" fontId="30" fillId="2" borderId="0" xfId="0" applyNumberFormat="1" applyFont="1" applyFill="1"/>
    <xf numFmtId="0" fontId="30" fillId="5" borderId="8" xfId="0" applyFont="1" applyFill="1" applyBorder="1"/>
    <xf numFmtId="0" fontId="30" fillId="5" borderId="11" xfId="0" applyFont="1" applyFill="1" applyBorder="1"/>
    <xf numFmtId="0" fontId="30" fillId="5" borderId="9" xfId="0" applyFont="1" applyFill="1" applyBorder="1"/>
    <xf numFmtId="0" fontId="30" fillId="21" borderId="0" xfId="0" applyFont="1" applyFill="1" applyAlignment="1">
      <alignment horizontal="right" indent="1"/>
    </xf>
    <xf numFmtId="175" fontId="32" fillId="0" borderId="1" xfId="1" applyNumberFormat="1" applyFont="1" applyFill="1" applyBorder="1"/>
    <xf numFmtId="0" fontId="30" fillId="21" borderId="0" xfId="0" applyFont="1" applyFill="1" applyAlignment="1">
      <alignment horizontal="center"/>
    </xf>
    <xf numFmtId="175" fontId="30" fillId="21" borderId="0" xfId="1" applyNumberFormat="1" applyFont="1" applyFill="1"/>
    <xf numFmtId="9" fontId="30" fillId="21" borderId="0" xfId="2" applyFont="1" applyFill="1" applyAlignment="1">
      <alignment horizontal="center"/>
    </xf>
    <xf numFmtId="0" fontId="30" fillId="21" borderId="11" xfId="0" applyFont="1" applyFill="1" applyBorder="1"/>
    <xf numFmtId="0" fontId="30" fillId="21" borderId="9" xfId="0" applyFont="1" applyFill="1" applyBorder="1"/>
    <xf numFmtId="9" fontId="30" fillId="21" borderId="1" xfId="2" applyFont="1" applyFill="1" applyBorder="1" applyAlignment="1">
      <alignment horizontal="center"/>
    </xf>
    <xf numFmtId="0" fontId="33" fillId="21" borderId="0" xfId="0" applyFont="1" applyFill="1"/>
    <xf numFmtId="168" fontId="30" fillId="21" borderId="12" xfId="0" applyNumberFormat="1" applyFont="1" applyFill="1" applyBorder="1" applyAlignment="1">
      <alignment horizontal="right" vertical="center"/>
    </xf>
    <xf numFmtId="0" fontId="30" fillId="21" borderId="12" xfId="0" applyFont="1" applyFill="1" applyBorder="1"/>
    <xf numFmtId="168" fontId="30" fillId="21" borderId="0" xfId="0" applyNumberFormat="1" applyFont="1" applyFill="1" applyAlignment="1">
      <alignment horizontal="right" vertical="center"/>
    </xf>
    <xf numFmtId="168" fontId="30" fillId="21" borderId="14" xfId="0" applyNumberFormat="1" applyFont="1" applyFill="1" applyBorder="1" applyAlignment="1">
      <alignment horizontal="right" vertical="center"/>
    </xf>
    <xf numFmtId="0" fontId="31" fillId="21" borderId="14" xfId="0" applyFont="1" applyFill="1" applyBorder="1"/>
    <xf numFmtId="0" fontId="31" fillId="21" borderId="12" xfId="0" applyFont="1" applyFill="1" applyBorder="1"/>
    <xf numFmtId="0" fontId="4" fillId="2" borderId="14" xfId="0" applyFont="1" applyFill="1" applyBorder="1"/>
    <xf numFmtId="2" fontId="30" fillId="21" borderId="0" xfId="0" applyNumberFormat="1" applyFont="1" applyFill="1" applyAlignment="1">
      <alignment horizontal="center" vertical="center"/>
    </xf>
    <xf numFmtId="2" fontId="30" fillId="21" borderId="14" xfId="0" applyNumberFormat="1" applyFont="1" applyFill="1" applyBorder="1" applyAlignment="1">
      <alignment horizontal="right" vertical="center"/>
    </xf>
    <xf numFmtId="0" fontId="30" fillId="21" borderId="14" xfId="0" applyFont="1" applyFill="1" applyBorder="1"/>
    <xf numFmtId="1" fontId="32" fillId="21" borderId="0" xfId="0" applyNumberFormat="1" applyFont="1" applyFill="1" applyAlignment="1">
      <alignment horizontal="right" vertical="center"/>
    </xf>
    <xf numFmtId="2" fontId="30" fillId="21" borderId="1" xfId="0" applyNumberFormat="1" applyFont="1" applyFill="1" applyBorder="1" applyAlignment="1">
      <alignment horizontal="center" vertical="center"/>
    </xf>
    <xf numFmtId="1" fontId="32" fillId="21" borderId="1" xfId="0" applyNumberFormat="1" applyFont="1" applyFill="1" applyBorder="1" applyAlignment="1">
      <alignment horizontal="right" vertical="center"/>
    </xf>
    <xf numFmtId="2" fontId="30" fillId="21" borderId="14" xfId="0" applyNumberFormat="1" applyFont="1" applyFill="1" applyBorder="1" applyAlignment="1">
      <alignment horizontal="center" vertical="center"/>
    </xf>
    <xf numFmtId="1" fontId="32" fillId="21" borderId="14" xfId="0" applyNumberFormat="1" applyFont="1" applyFill="1" applyBorder="1" applyAlignment="1">
      <alignment horizontal="right" vertical="center"/>
    </xf>
    <xf numFmtId="0" fontId="30" fillId="21" borderId="13" xfId="0" applyFont="1" applyFill="1" applyBorder="1"/>
    <xf numFmtId="3" fontId="30" fillId="21" borderId="0" xfId="0" applyNumberFormat="1" applyFont="1" applyFill="1"/>
    <xf numFmtId="1" fontId="30" fillId="21" borderId="1" xfId="0" applyNumberFormat="1" applyFont="1" applyFill="1" applyBorder="1" applyAlignment="1">
      <alignment horizontal="right" vertical="center"/>
    </xf>
    <xf numFmtId="2" fontId="32" fillId="21" borderId="1" xfId="0" applyNumberFormat="1" applyFont="1" applyFill="1" applyBorder="1" applyAlignment="1">
      <alignment horizontal="center" vertical="center"/>
    </xf>
    <xf numFmtId="2" fontId="32" fillId="21" borderId="1" xfId="0" applyNumberFormat="1" applyFont="1" applyFill="1" applyBorder="1" applyAlignment="1">
      <alignment horizontal="right" vertical="center"/>
    </xf>
    <xf numFmtId="168" fontId="30" fillId="21" borderId="0" xfId="0" applyNumberFormat="1" applyFont="1" applyFill="1"/>
    <xf numFmtId="168" fontId="30" fillId="21" borderId="1" xfId="0" applyNumberFormat="1" applyFont="1" applyFill="1" applyBorder="1"/>
    <xf numFmtId="164" fontId="32" fillId="21" borderId="1" xfId="0" applyNumberFormat="1" applyFont="1" applyFill="1" applyBorder="1" applyAlignment="1">
      <alignment horizontal="left"/>
    </xf>
    <xf numFmtId="168" fontId="30" fillId="21" borderId="1" xfId="0" applyNumberFormat="1" applyFont="1" applyFill="1" applyBorder="1" applyAlignment="1">
      <alignment vertical="center"/>
    </xf>
    <xf numFmtId="0" fontId="32" fillId="21" borderId="12" xfId="0" applyFont="1" applyFill="1" applyBorder="1"/>
    <xf numFmtId="9" fontId="30" fillId="21" borderId="14" xfId="0" applyNumberFormat="1" applyFont="1" applyFill="1" applyBorder="1"/>
    <xf numFmtId="0" fontId="32" fillId="21" borderId="14" xfId="0" applyFont="1" applyFill="1" applyBorder="1"/>
    <xf numFmtId="43" fontId="30" fillId="21" borderId="0" xfId="1" applyFont="1" applyFill="1"/>
    <xf numFmtId="0" fontId="30" fillId="21" borderId="7" xfId="0" applyFont="1" applyFill="1" applyBorder="1"/>
    <xf numFmtId="164" fontId="30" fillId="21" borderId="5" xfId="2" applyNumberFormat="1" applyFont="1" applyFill="1" applyBorder="1" applyAlignment="1">
      <alignment horizontal="center"/>
    </xf>
    <xf numFmtId="0" fontId="30" fillId="21" borderId="8" xfId="0" applyFont="1" applyFill="1" applyBorder="1"/>
    <xf numFmtId="164" fontId="30" fillId="21" borderId="9" xfId="2" applyNumberFormat="1" applyFont="1" applyFill="1" applyBorder="1" applyAlignment="1">
      <alignment horizontal="center"/>
    </xf>
    <xf numFmtId="3" fontId="30" fillId="21" borderId="1" xfId="0" applyNumberFormat="1" applyFont="1" applyFill="1" applyBorder="1" applyAlignment="1">
      <alignment horizontal="center"/>
    </xf>
    <xf numFmtId="43" fontId="30" fillId="21" borderId="1" xfId="1" applyFont="1" applyFill="1" applyBorder="1" applyAlignment="1">
      <alignment horizontal="center"/>
    </xf>
    <xf numFmtId="3" fontId="30" fillId="21" borderId="1" xfId="1" applyNumberFormat="1" applyFont="1" applyFill="1" applyBorder="1" applyAlignment="1">
      <alignment horizontal="center"/>
    </xf>
    <xf numFmtId="0" fontId="30" fillId="21" borderId="1" xfId="0" applyFont="1" applyFill="1" applyBorder="1" applyAlignment="1">
      <alignment horizontal="center"/>
    </xf>
    <xf numFmtId="0" fontId="32" fillId="21" borderId="1" xfId="0" applyFont="1" applyFill="1" applyBorder="1" applyAlignment="1">
      <alignment horizontal="left"/>
    </xf>
    <xf numFmtId="2" fontId="30" fillId="21" borderId="1" xfId="1" applyNumberFormat="1" applyFont="1" applyFill="1" applyBorder="1" applyAlignment="1">
      <alignment horizontal="center"/>
    </xf>
    <xf numFmtId="0" fontId="32" fillId="21" borderId="12" xfId="0" applyFont="1" applyFill="1" applyBorder="1" applyAlignment="1">
      <alignment horizontal="center" wrapText="1"/>
    </xf>
    <xf numFmtId="0" fontId="32" fillId="21" borderId="12" xfId="0" applyFont="1" applyFill="1" applyBorder="1" applyAlignment="1">
      <alignment horizontal="left" wrapText="1"/>
    </xf>
    <xf numFmtId="0" fontId="32" fillId="21" borderId="13" xfId="0" applyFont="1" applyFill="1" applyBorder="1" applyAlignment="1">
      <alignment horizontal="center"/>
    </xf>
    <xf numFmtId="0" fontId="32" fillId="21" borderId="13" xfId="0" applyFont="1" applyFill="1" applyBorder="1"/>
    <xf numFmtId="0" fontId="32" fillId="21" borderId="13" xfId="0" applyFont="1" applyFill="1" applyBorder="1" applyAlignment="1">
      <alignment horizontal="left"/>
    </xf>
    <xf numFmtId="0" fontId="32" fillId="21" borderId="14" xfId="0" applyFont="1" applyFill="1" applyBorder="1" applyAlignment="1">
      <alignment horizontal="center"/>
    </xf>
    <xf numFmtId="198" fontId="30" fillId="21" borderId="8" xfId="0" applyNumberFormat="1" applyFont="1" applyFill="1" applyBorder="1" applyAlignment="1">
      <alignment horizontal="center"/>
    </xf>
    <xf numFmtId="14" fontId="30" fillId="21" borderId="1" xfId="0" applyNumberFormat="1" applyFont="1" applyFill="1" applyBorder="1" applyAlignment="1">
      <alignment horizontal="center"/>
    </xf>
    <xf numFmtId="3" fontId="30" fillId="21" borderId="9" xfId="1" applyNumberFormat="1" applyFont="1" applyFill="1" applyBorder="1" applyAlignment="1">
      <alignment horizontal="center"/>
    </xf>
    <xf numFmtId="0" fontId="32" fillId="21" borderId="8" xfId="0" quotePrefix="1" applyFont="1" applyFill="1" applyBorder="1"/>
    <xf numFmtId="0" fontId="32" fillId="21" borderId="9" xfId="0" applyFont="1" applyFill="1" applyBorder="1"/>
    <xf numFmtId="0" fontId="32" fillId="21" borderId="7" xfId="0" applyFont="1" applyFill="1" applyBorder="1" applyAlignment="1">
      <alignment horizontal="center"/>
    </xf>
    <xf numFmtId="0" fontId="32" fillId="21" borderId="12" xfId="0" applyFont="1" applyFill="1" applyBorder="1" applyAlignment="1">
      <alignment horizontal="center"/>
    </xf>
    <xf numFmtId="0" fontId="32" fillId="21" borderId="5" xfId="0" applyFont="1" applyFill="1" applyBorder="1" applyAlignment="1">
      <alignment horizontal="center"/>
    </xf>
    <xf numFmtId="0" fontId="32" fillId="21" borderId="7" xfId="0" quotePrefix="1" applyFont="1" applyFill="1" applyBorder="1"/>
    <xf numFmtId="0" fontId="32" fillId="21" borderId="5" xfId="0" applyFont="1" applyFill="1" applyBorder="1"/>
    <xf numFmtId="0" fontId="32" fillId="21" borderId="15" xfId="0" applyFont="1" applyFill="1" applyBorder="1" applyAlignment="1">
      <alignment horizontal="center"/>
    </xf>
    <xf numFmtId="0" fontId="32" fillId="21" borderId="10" xfId="0" applyFont="1" applyFill="1" applyBorder="1" applyAlignment="1">
      <alignment horizontal="center"/>
    </xf>
    <xf numFmtId="0" fontId="32" fillId="21" borderId="15" xfId="0" quotePrefix="1" applyFont="1" applyFill="1" applyBorder="1"/>
    <xf numFmtId="0" fontId="32" fillId="21" borderId="10" xfId="0" applyFont="1" applyFill="1" applyBorder="1"/>
    <xf numFmtId="0" fontId="32" fillId="21" borderId="4" xfId="0" applyFont="1" applyFill="1" applyBorder="1" applyAlignment="1">
      <alignment horizontal="center"/>
    </xf>
    <xf numFmtId="0" fontId="32" fillId="21" borderId="2" xfId="0" applyFont="1" applyFill="1" applyBorder="1" applyAlignment="1">
      <alignment horizontal="center"/>
    </xf>
    <xf numFmtId="0" fontId="32" fillId="21" borderId="4" xfId="0" quotePrefix="1" applyFont="1" applyFill="1" applyBorder="1"/>
    <xf numFmtId="0" fontId="32" fillId="21" borderId="2" xfId="0" applyFont="1" applyFill="1" applyBorder="1"/>
    <xf numFmtId="2" fontId="30" fillId="21" borderId="1" xfId="0" applyNumberFormat="1" applyFont="1" applyFill="1" applyBorder="1" applyAlignment="1">
      <alignment horizontal="right" vertical="center"/>
    </xf>
    <xf numFmtId="2" fontId="30" fillId="21" borderId="1" xfId="0" applyNumberFormat="1" applyFont="1" applyFill="1" applyBorder="1" applyAlignment="1">
      <alignment horizontal="left" vertical="center"/>
    </xf>
    <xf numFmtId="9" fontId="30" fillId="21" borderId="1" xfId="2" applyFont="1" applyFill="1" applyBorder="1" applyAlignment="1">
      <alignment horizontal="right"/>
    </xf>
    <xf numFmtId="0" fontId="30" fillId="21" borderId="1" xfId="0" applyFont="1" applyFill="1" applyBorder="1"/>
    <xf numFmtId="175" fontId="30" fillId="21" borderId="1" xfId="0" applyNumberFormat="1" applyFont="1" applyFill="1" applyBorder="1" applyAlignment="1">
      <alignment horizontal="center"/>
    </xf>
    <xf numFmtId="0" fontId="30" fillId="21" borderId="1" xfId="0" quotePrefix="1" applyFont="1" applyFill="1" applyBorder="1"/>
    <xf numFmtId="183" fontId="30" fillId="21" borderId="0" xfId="0" quotePrefix="1" applyNumberFormat="1" applyFont="1" applyFill="1"/>
    <xf numFmtId="0" fontId="4" fillId="21" borderId="8" xfId="0" applyFont="1" applyFill="1" applyBorder="1"/>
    <xf numFmtId="9" fontId="30" fillId="21" borderId="0" xfId="0" applyNumberFormat="1" applyFont="1" applyFill="1" applyAlignment="1">
      <alignment horizontal="center"/>
    </xf>
    <xf numFmtId="0" fontId="117" fillId="21" borderId="0" xfId="0" applyFont="1" applyFill="1"/>
    <xf numFmtId="9" fontId="30" fillId="21" borderId="7" xfId="0" applyNumberFormat="1" applyFont="1" applyFill="1" applyBorder="1" applyAlignment="1">
      <alignment horizontal="center"/>
    </xf>
    <xf numFmtId="0" fontId="30" fillId="21" borderId="5" xfId="0" applyFont="1" applyFill="1" applyBorder="1" applyAlignment="1">
      <alignment horizontal="center"/>
    </xf>
    <xf numFmtId="0" fontId="4" fillId="21" borderId="7" xfId="0" applyFont="1" applyFill="1" applyBorder="1"/>
    <xf numFmtId="0" fontId="30" fillId="21" borderId="6" xfId="0" applyFont="1" applyFill="1" applyBorder="1"/>
    <xf numFmtId="0" fontId="30" fillId="21" borderId="5" xfId="0" applyFont="1" applyFill="1" applyBorder="1"/>
    <xf numFmtId="9" fontId="30" fillId="21" borderId="8" xfId="0" applyNumberFormat="1" applyFont="1" applyFill="1" applyBorder="1" applyAlignment="1">
      <alignment horizontal="center"/>
    </xf>
    <xf numFmtId="0" fontId="30" fillId="21" borderId="9" xfId="0" applyFont="1" applyFill="1" applyBorder="1" applyAlignment="1">
      <alignment horizontal="center"/>
    </xf>
    <xf numFmtId="0" fontId="4" fillId="21" borderId="15" xfId="0" applyFont="1" applyFill="1" applyBorder="1"/>
    <xf numFmtId="0" fontId="30" fillId="21" borderId="10" xfId="0" applyFont="1" applyFill="1" applyBorder="1"/>
    <xf numFmtId="0" fontId="32" fillId="21" borderId="8" xfId="0" applyFont="1" applyFill="1" applyBorder="1" applyAlignment="1">
      <alignment horizontal="center"/>
    </xf>
    <xf numFmtId="0" fontId="32" fillId="21" borderId="9" xfId="0" applyFont="1" applyFill="1" applyBorder="1" applyAlignment="1">
      <alignment horizontal="center"/>
    </xf>
    <xf numFmtId="0" fontId="4" fillId="21" borderId="4" xfId="0" applyFont="1" applyFill="1" applyBorder="1"/>
    <xf numFmtId="0" fontId="30" fillId="21" borderId="3" xfId="0" applyFont="1" applyFill="1" applyBorder="1"/>
    <xf numFmtId="0" fontId="30" fillId="21" borderId="2" xfId="0" applyFont="1" applyFill="1" applyBorder="1"/>
    <xf numFmtId="0" fontId="30" fillId="21" borderId="0" xfId="0" quotePrefix="1" applyFont="1" applyFill="1" applyAlignment="1">
      <alignment horizontal="left" indent="1"/>
    </xf>
    <xf numFmtId="0" fontId="30" fillId="21" borderId="5" xfId="0" quotePrefix="1" applyFont="1" applyFill="1" applyBorder="1"/>
    <xf numFmtId="0" fontId="30" fillId="21" borderId="4" xfId="0" applyFont="1" applyFill="1" applyBorder="1"/>
    <xf numFmtId="0" fontId="30" fillId="21" borderId="2" xfId="0" quotePrefix="1" applyFont="1" applyFill="1" applyBorder="1"/>
    <xf numFmtId="9" fontId="30" fillId="21" borderId="0" xfId="0" quotePrefix="1" applyNumberFormat="1" applyFont="1" applyFill="1"/>
    <xf numFmtId="0" fontId="30" fillId="21" borderId="15" xfId="0" applyFont="1" applyFill="1" applyBorder="1"/>
    <xf numFmtId="0" fontId="30" fillId="21" borderId="10" xfId="0" quotePrefix="1" applyFont="1" applyFill="1" applyBorder="1"/>
    <xf numFmtId="9" fontId="30" fillId="21" borderId="9" xfId="0" quotePrefix="1" applyNumberFormat="1" applyFont="1" applyFill="1" applyBorder="1"/>
    <xf numFmtId="1" fontId="30" fillId="21" borderId="9" xfId="0" applyNumberFormat="1" applyFont="1" applyFill="1" applyBorder="1" applyAlignment="1">
      <alignment horizontal="left"/>
    </xf>
    <xf numFmtId="0" fontId="30" fillId="21" borderId="9" xfId="0" quotePrefix="1" applyFont="1" applyFill="1" applyBorder="1"/>
    <xf numFmtId="0" fontId="6" fillId="2" borderId="0" xfId="0" applyFont="1" applyFill="1" applyAlignment="1">
      <alignment horizontal="left"/>
    </xf>
    <xf numFmtId="175" fontId="3" fillId="2" borderId="1" xfId="0" applyNumberFormat="1" applyFont="1" applyFill="1" applyBorder="1"/>
    <xf numFmtId="0" fontId="2" fillId="2" borderId="0" xfId="0" applyFont="1" applyFill="1" applyAlignment="1">
      <alignment horizontal="center" wrapText="1"/>
    </xf>
    <xf numFmtId="175" fontId="3" fillId="5" borderId="1" xfId="0" applyNumberFormat="1" applyFont="1" applyFill="1" applyBorder="1"/>
    <xf numFmtId="0" fontId="3" fillId="2" borderId="0" xfId="0" applyFont="1" applyFill="1" applyAlignment="1">
      <alignment horizontal="center" vertical="top"/>
    </xf>
    <xf numFmtId="0" fontId="2" fillId="2" borderId="6" xfId="0" applyFont="1" applyFill="1" applyBorder="1" applyAlignment="1">
      <alignment horizontal="center" wrapText="1"/>
    </xf>
    <xf numFmtId="0" fontId="3" fillId="2" borderId="0" xfId="0" quotePrefix="1" applyFont="1" applyFill="1" applyAlignment="1">
      <alignment horizontal="left" vertical="top"/>
    </xf>
    <xf numFmtId="168" fontId="3" fillId="2" borderId="1" xfId="0" applyNumberFormat="1" applyFont="1" applyFill="1" applyBorder="1"/>
    <xf numFmtId="10" fontId="3" fillId="2" borderId="1" xfId="2" applyNumberFormat="1" applyFont="1" applyFill="1" applyBorder="1" applyAlignment="1">
      <alignment horizontal="right"/>
    </xf>
    <xf numFmtId="0" fontId="2" fillId="2" borderId="0" xfId="0" quotePrefix="1" applyFont="1" applyFill="1" applyAlignment="1">
      <alignment horizontal="left" vertical="top"/>
    </xf>
    <xf numFmtId="37" fontId="2" fillId="5" borderId="1" xfId="0" applyNumberFormat="1" applyFont="1" applyFill="1" applyBorder="1"/>
    <xf numFmtId="37" fontId="3" fillId="5" borderId="1" xfId="0" applyNumberFormat="1" applyFont="1" applyFill="1" applyBorder="1"/>
    <xf numFmtId="37" fontId="2" fillId="2" borderId="11" xfId="0" applyNumberFormat="1" applyFont="1" applyFill="1" applyBorder="1"/>
    <xf numFmtId="0" fontId="3" fillId="5" borderId="1" xfId="0" applyFont="1" applyFill="1" applyBorder="1" applyAlignment="1">
      <alignment horizontal="left" indent="1"/>
    </xf>
    <xf numFmtId="37" fontId="3" fillId="2" borderId="0" xfId="0" applyNumberFormat="1" applyFont="1" applyFill="1" applyAlignment="1">
      <alignment horizontal="left" vertical="center"/>
    </xf>
    <xf numFmtId="37" fontId="3" fillId="5" borderId="14" xfId="0" applyNumberFormat="1" applyFont="1" applyFill="1" applyBorder="1"/>
    <xf numFmtId="2" fontId="3" fillId="2" borderId="0" xfId="0" applyNumberFormat="1" applyFont="1" applyFill="1" applyAlignment="1">
      <alignment horizontal="right" vertical="center"/>
    </xf>
    <xf numFmtId="175" fontId="2" fillId="2" borderId="0" xfId="1" applyNumberFormat="1" applyFont="1" applyFill="1"/>
    <xf numFmtId="175" fontId="3" fillId="2" borderId="0" xfId="1" applyNumberFormat="1" applyFont="1" applyFill="1"/>
    <xf numFmtId="175" fontId="3" fillId="5" borderId="1" xfId="1" applyNumberFormat="1" applyFont="1" applyFill="1" applyBorder="1"/>
    <xf numFmtId="175" fontId="2" fillId="5" borderId="1" xfId="0" applyNumberFormat="1" applyFont="1" applyFill="1" applyBorder="1"/>
    <xf numFmtId="37" fontId="3" fillId="2" borderId="1" xfId="3" applyNumberFormat="1" applyFont="1" applyFill="1" applyBorder="1" applyAlignment="1">
      <alignment horizontal="right" vertical="center"/>
    </xf>
    <xf numFmtId="10" fontId="3" fillId="2" borderId="0" xfId="2" applyNumberFormat="1" applyFont="1" applyFill="1" applyBorder="1" applyAlignment="1">
      <alignment horizontal="right" vertical="top"/>
    </xf>
    <xf numFmtId="10" fontId="3" fillId="2" borderId="9" xfId="2" applyNumberFormat="1" applyFont="1" applyFill="1" applyBorder="1" applyAlignment="1">
      <alignment horizontal="right" vertical="top"/>
    </xf>
    <xf numFmtId="3" fontId="3" fillId="2" borderId="1" xfId="3" applyNumberFormat="1" applyFont="1" applyFill="1" applyBorder="1" applyAlignment="1">
      <alignment horizontal="right" vertical="center"/>
    </xf>
    <xf numFmtId="0" fontId="2" fillId="2" borderId="0" xfId="0" applyFont="1" applyFill="1" applyAlignment="1">
      <alignment horizontal="left" vertical="top"/>
    </xf>
    <xf numFmtId="0" fontId="2" fillId="2" borderId="0" xfId="0" applyFont="1" applyFill="1" applyAlignment="1">
      <alignment horizontal="left"/>
    </xf>
    <xf numFmtId="0" fontId="2" fillId="2" borderId="0" xfId="0" applyFont="1" applyFill="1" applyAlignment="1">
      <alignment horizontal="right" indent="1"/>
    </xf>
    <xf numFmtId="168" fontId="3" fillId="2" borderId="1" xfId="0" applyNumberFormat="1" applyFont="1" applyFill="1" applyBorder="1" applyAlignment="1">
      <alignment horizontal="center" vertical="center"/>
    </xf>
    <xf numFmtId="168" fontId="3" fillId="2" borderId="31" xfId="0" applyNumberFormat="1" applyFont="1" applyFill="1" applyBorder="1" applyAlignment="1">
      <alignment horizontal="center" vertical="center"/>
    </xf>
    <xf numFmtId="1" fontId="2" fillId="2" borderId="32" xfId="0" applyNumberFormat="1" applyFont="1" applyFill="1" applyBorder="1" applyAlignment="1">
      <alignment horizontal="center" vertical="center"/>
    </xf>
    <xf numFmtId="168" fontId="3" fillId="2" borderId="9" xfId="0" applyNumberFormat="1" applyFont="1" applyFill="1" applyBorder="1" applyAlignment="1">
      <alignment horizontal="center" vertical="center"/>
    </xf>
    <xf numFmtId="2" fontId="2" fillId="2" borderId="31" xfId="0" applyNumberFormat="1" applyFont="1" applyFill="1" applyBorder="1" applyAlignment="1">
      <alignment horizontal="center" vertical="center"/>
    </xf>
    <xf numFmtId="2" fontId="2" fillId="2" borderId="32" xfId="0" applyNumberFormat="1" applyFont="1" applyFill="1" applyBorder="1" applyAlignment="1">
      <alignment horizontal="center" vertical="center"/>
    </xf>
    <xf numFmtId="2" fontId="2" fillId="2" borderId="9" xfId="0" applyNumberFormat="1" applyFont="1" applyFill="1" applyBorder="1" applyAlignment="1">
      <alignment horizontal="center" vertical="center"/>
    </xf>
    <xf numFmtId="9" fontId="3" fillId="2" borderId="0" xfId="0" applyNumberFormat="1" applyFont="1" applyFill="1"/>
    <xf numFmtId="9" fontId="4" fillId="2" borderId="0" xfId="0" applyNumberFormat="1" applyFont="1" applyFill="1"/>
    <xf numFmtId="0" fontId="45" fillId="2" borderId="0" xfId="0" applyFont="1" applyFill="1"/>
    <xf numFmtId="10" fontId="4" fillId="2" borderId="0" xfId="0" applyNumberFormat="1" applyFont="1" applyFill="1"/>
    <xf numFmtId="9" fontId="3" fillId="2" borderId="1" xfId="0" applyNumberFormat="1" applyFont="1" applyFill="1" applyBorder="1" applyAlignment="1">
      <alignment horizontal="center"/>
    </xf>
    <xf numFmtId="9" fontId="3" fillId="2" borderId="0" xfId="2" applyFont="1" applyFill="1" applyBorder="1" applyAlignment="1">
      <alignment horizontal="right" vertical="center"/>
    </xf>
    <xf numFmtId="9" fontId="3" fillId="2" borderId="8" xfId="2" applyFont="1" applyFill="1" applyBorder="1" applyAlignment="1">
      <alignment horizontal="right" vertical="center"/>
    </xf>
    <xf numFmtId="0" fontId="3" fillId="2" borderId="9" xfId="0" quotePrefix="1" applyFont="1" applyFill="1" applyBorder="1" applyAlignment="1">
      <alignment horizontal="left" vertical="center"/>
    </xf>
    <xf numFmtId="0" fontId="11" fillId="2" borderId="0" xfId="0" applyFont="1" applyFill="1" applyAlignment="1">
      <alignment vertical="top"/>
    </xf>
    <xf numFmtId="16" fontId="3" fillId="2" borderId="0" xfId="0" quotePrefix="1" applyNumberFormat="1" applyFont="1" applyFill="1" applyAlignment="1">
      <alignment horizontal="left" vertical="center"/>
    </xf>
    <xf numFmtId="37" fontId="3" fillId="2" borderId="1" xfId="0" applyNumberFormat="1" applyFont="1" applyFill="1" applyBorder="1" applyAlignment="1">
      <alignment horizontal="right" vertical="center"/>
    </xf>
    <xf numFmtId="175" fontId="3" fillId="2" borderId="1" xfId="1" applyNumberFormat="1" applyFont="1" applyFill="1" applyBorder="1" applyAlignment="1">
      <alignment vertical="center"/>
    </xf>
    <xf numFmtId="14" fontId="3" fillId="2" borderId="1" xfId="0" applyNumberFormat="1" applyFont="1" applyFill="1" applyBorder="1" applyAlignment="1">
      <alignment horizontal="right" vertical="center" wrapText="1"/>
    </xf>
    <xf numFmtId="0" fontId="3" fillId="2" borderId="0" xfId="0" applyFont="1" applyFill="1" applyAlignment="1">
      <alignment horizontal="right" vertical="center"/>
    </xf>
    <xf numFmtId="180" fontId="37" fillId="2" borderId="0" xfId="0" applyNumberFormat="1" applyFont="1" applyFill="1"/>
    <xf numFmtId="14" fontId="3" fillId="2" borderId="1" xfId="0" applyNumberFormat="1" applyFont="1" applyFill="1" applyBorder="1" applyAlignment="1">
      <alignment horizontal="right" vertical="center"/>
    </xf>
    <xf numFmtId="14" fontId="3" fillId="2" borderId="1" xfId="0" applyNumberFormat="1" applyFont="1" applyFill="1" applyBorder="1" applyAlignment="1">
      <alignment horizontal="left" vertical="center"/>
    </xf>
    <xf numFmtId="9" fontId="3" fillId="2" borderId="0" xfId="0" applyNumberFormat="1" applyFont="1" applyFill="1" applyAlignment="1">
      <alignment horizontal="center"/>
    </xf>
    <xf numFmtId="9" fontId="3" fillId="2" borderId="1" xfId="2" applyFont="1" applyFill="1" applyBorder="1" applyAlignment="1">
      <alignment horizontal="left" vertical="top"/>
    </xf>
    <xf numFmtId="9" fontId="3" fillId="2" borderId="8" xfId="2" applyFont="1" applyFill="1" applyBorder="1" applyAlignment="1">
      <alignment horizontal="left" vertical="top"/>
    </xf>
    <xf numFmtId="0" fontId="37" fillId="2" borderId="0" xfId="0" quotePrefix="1" applyFont="1" applyFill="1" applyAlignment="1">
      <alignment horizontal="left" vertical="center"/>
    </xf>
    <xf numFmtId="0" fontId="3" fillId="2" borderId="10" xfId="0" applyFont="1" applyFill="1" applyBorder="1" applyAlignment="1">
      <alignment horizontal="left" vertic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2" xfId="0" applyFont="1" applyFill="1" applyBorder="1" applyAlignment="1">
      <alignment vertical="center"/>
    </xf>
    <xf numFmtId="0" fontId="2" fillId="2" borderId="14" xfId="0" applyFont="1" applyFill="1" applyBorder="1"/>
    <xf numFmtId="0" fontId="3" fillId="2" borderId="14" xfId="0" applyFont="1" applyFill="1" applyBorder="1" applyAlignment="1">
      <alignment vertical="center"/>
    </xf>
    <xf numFmtId="10" fontId="4" fillId="0" borderId="0" xfId="2" applyNumberFormat="1" applyFont="1" applyProtection="1">
      <protection locked="0"/>
    </xf>
    <xf numFmtId="3" fontId="4" fillId="0" borderId="0" xfId="0" applyNumberFormat="1" applyFont="1" applyProtection="1">
      <protection locked="0"/>
    </xf>
    <xf numFmtId="10" fontId="0" fillId="0" borderId="0" xfId="0" applyNumberFormat="1" applyProtection="1">
      <protection locked="0"/>
    </xf>
    <xf numFmtId="0" fontId="4" fillId="3" borderId="0" xfId="0" applyFont="1" applyFill="1" applyAlignment="1">
      <alignment horizontal="left" vertical="center" indent="2"/>
    </xf>
    <xf numFmtId="10" fontId="4" fillId="3" borderId="0" xfId="2" applyNumberFormat="1" applyFont="1" applyFill="1" applyBorder="1" applyAlignment="1" applyProtection="1">
      <alignment vertical="center" wrapText="1"/>
    </xf>
    <xf numFmtId="0" fontId="86" fillId="3" borderId="0" xfId="0" applyFont="1" applyFill="1"/>
    <xf numFmtId="0" fontId="4" fillId="0" borderId="0" xfId="0" applyFont="1" applyAlignment="1" applyProtection="1">
      <alignment horizontal="left" vertical="center" indent="2"/>
      <protection locked="0"/>
    </xf>
    <xf numFmtId="0" fontId="4" fillId="3" borderId="0" xfId="0" applyFont="1" applyFill="1" applyAlignment="1">
      <alignment horizontal="center" vertical="center" wrapText="1"/>
    </xf>
    <xf numFmtId="0" fontId="86" fillId="3" borderId="0" xfId="0" applyFont="1" applyFill="1" applyAlignment="1">
      <alignment vertical="center"/>
    </xf>
    <xf numFmtId="6" fontId="86" fillId="3" borderId="1" xfId="0" applyNumberFormat="1" applyFont="1" applyFill="1" applyBorder="1" applyAlignment="1">
      <alignment horizontal="right" vertical="center" wrapText="1"/>
    </xf>
    <xf numFmtId="0" fontId="4" fillId="3" borderId="0" xfId="0" applyFont="1" applyFill="1" applyAlignment="1">
      <alignment vertical="top"/>
    </xf>
    <xf numFmtId="0" fontId="86" fillId="3" borderId="0" xfId="0" applyFont="1" applyFill="1" applyAlignment="1">
      <alignment vertical="center" wrapText="1"/>
    </xf>
    <xf numFmtId="3" fontId="0" fillId="0" borderId="0" xfId="0" applyNumberFormat="1" applyAlignment="1" applyProtection="1">
      <alignment horizontal="center"/>
      <protection locked="0"/>
    </xf>
    <xf numFmtId="199" fontId="4" fillId="0" borderId="0" xfId="0" applyNumberFormat="1" applyFont="1" applyProtection="1">
      <protection locked="0"/>
    </xf>
    <xf numFmtId="3" fontId="0" fillId="0" borderId="6" xfId="0" applyNumberFormat="1" applyBorder="1" applyProtection="1">
      <protection locked="0"/>
    </xf>
    <xf numFmtId="200" fontId="4" fillId="0" borderId="0" xfId="0" applyNumberFormat="1" applyFont="1" applyProtection="1">
      <protection locked="0"/>
    </xf>
    <xf numFmtId="9" fontId="0" fillId="0" borderId="0" xfId="0" applyNumberFormat="1"/>
    <xf numFmtId="0" fontId="120" fillId="0" borderId="0" xfId="0" applyFont="1"/>
    <xf numFmtId="0" fontId="121" fillId="0" borderId="0" xfId="0" applyFont="1"/>
    <xf numFmtId="0" fontId="4" fillId="4" borderId="0" xfId="0" applyFont="1" applyFill="1"/>
    <xf numFmtId="0" fontId="122" fillId="0" borderId="0" xfId="0" applyFont="1"/>
    <xf numFmtId="0" fontId="3" fillId="4" borderId="0" xfId="0" applyFont="1" applyFill="1"/>
    <xf numFmtId="0" fontId="17" fillId="4" borderId="0" xfId="0" applyFont="1" applyFill="1" applyAlignment="1">
      <alignment horizontal="center"/>
    </xf>
    <xf numFmtId="175" fontId="3" fillId="4" borderId="1" xfId="1" applyNumberFormat="1" applyFont="1" applyFill="1" applyBorder="1"/>
    <xf numFmtId="0" fontId="3" fillId="4" borderId="1" xfId="0" applyFont="1" applyFill="1" applyBorder="1"/>
    <xf numFmtId="0" fontId="37" fillId="4" borderId="0" xfId="0" applyFont="1" applyFill="1"/>
    <xf numFmtId="0" fontId="17" fillId="4" borderId="0" xfId="0" applyFont="1" applyFill="1"/>
    <xf numFmtId="0" fontId="123" fillId="4" borderId="0" xfId="0" applyFont="1" applyFill="1"/>
    <xf numFmtId="0" fontId="2" fillId="4" borderId="0" xfId="0" applyFont="1" applyFill="1"/>
    <xf numFmtId="164" fontId="120" fillId="0" borderId="0" xfId="0" applyNumberFormat="1" applyFont="1"/>
    <xf numFmtId="37" fontId="120" fillId="0" borderId="0" xfId="0" applyNumberFormat="1" applyFont="1"/>
    <xf numFmtId="0" fontId="2" fillId="4" borderId="0" xfId="0" quotePrefix="1" applyFont="1" applyFill="1" applyAlignment="1">
      <alignment horizontal="right"/>
    </xf>
    <xf numFmtId="0" fontId="41" fillId="4" borderId="0" xfId="0" applyFont="1" applyFill="1"/>
    <xf numFmtId="0" fontId="39" fillId="5" borderId="1" xfId="0" applyFont="1" applyFill="1" applyBorder="1" applyAlignment="1">
      <alignment horizontal="right"/>
    </xf>
    <xf numFmtId="0" fontId="2" fillId="4" borderId="1" xfId="0" applyFont="1" applyFill="1" applyBorder="1"/>
    <xf numFmtId="14" fontId="39" fillId="5" borderId="1" xfId="0" applyNumberFormat="1" applyFont="1" applyFill="1" applyBorder="1"/>
    <xf numFmtId="3" fontId="39" fillId="5" borderId="1" xfId="0" applyNumberFormat="1" applyFont="1" applyFill="1" applyBorder="1"/>
    <xf numFmtId="0" fontId="2" fillId="4" borderId="1" xfId="0" applyFont="1" applyFill="1" applyBorder="1" applyAlignment="1">
      <alignment wrapText="1"/>
    </xf>
    <xf numFmtId="175" fontId="41" fillId="4" borderId="0" xfId="9" applyNumberFormat="1" applyFont="1" applyFill="1"/>
    <xf numFmtId="175" fontId="2" fillId="4" borderId="0" xfId="9" applyNumberFormat="1" applyFont="1" applyFill="1"/>
    <xf numFmtId="175" fontId="39" fillId="5" borderId="1" xfId="9" applyNumberFormat="1" applyFont="1" applyFill="1" applyBorder="1"/>
    <xf numFmtId="0" fontId="37" fillId="4" borderId="8" xfId="0" applyFont="1" applyFill="1" applyBorder="1"/>
    <xf numFmtId="0" fontId="37" fillId="4" borderId="11" xfId="0" applyFont="1" applyFill="1" applyBorder="1"/>
    <xf numFmtId="0" fontId="3" fillId="4" borderId="11" xfId="0" applyFont="1" applyFill="1" applyBorder="1"/>
    <xf numFmtId="0" fontId="6" fillId="4" borderId="9" xfId="0" applyFont="1" applyFill="1" applyBorder="1"/>
    <xf numFmtId="0" fontId="40" fillId="4" borderId="0" xfId="0" applyFont="1" applyFill="1"/>
    <xf numFmtId="0" fontId="2" fillId="4" borderId="0" xfId="0" quotePrefix="1" applyFont="1" applyFill="1"/>
    <xf numFmtId="175" fontId="3" fillId="4" borderId="0" xfId="9" applyNumberFormat="1" applyFont="1" applyFill="1" applyBorder="1" applyAlignment="1"/>
    <xf numFmtId="0" fontId="2" fillId="4" borderId="0" xfId="0" applyFont="1" applyFill="1" applyAlignment="1">
      <alignment horizontal="right"/>
    </xf>
    <xf numFmtId="0" fontId="124" fillId="0" borderId="0" xfId="0" applyFont="1"/>
    <xf numFmtId="0" fontId="3" fillId="22" borderId="1" xfId="0" applyFont="1" applyFill="1" applyBorder="1" applyAlignment="1">
      <alignment horizontal="center"/>
    </xf>
    <xf numFmtId="0" fontId="20" fillId="22" borderId="1" xfId="0" applyFont="1" applyFill="1" applyBorder="1" applyAlignment="1">
      <alignment vertical="center"/>
    </xf>
    <xf numFmtId="0" fontId="42" fillId="22" borderId="0" xfId="0" applyFont="1" applyFill="1" applyAlignment="1">
      <alignment horizontal="center"/>
    </xf>
    <xf numFmtId="0" fontId="2" fillId="22" borderId="0" xfId="0" applyFont="1" applyFill="1"/>
    <xf numFmtId="0" fontId="3" fillId="4" borderId="0" xfId="0" applyFont="1" applyFill="1" applyAlignment="1">
      <alignment horizontal="center"/>
    </xf>
    <xf numFmtId="0" fontId="20" fillId="4" borderId="0" xfId="0" applyFont="1" applyFill="1" applyAlignment="1">
      <alignment vertical="center"/>
    </xf>
    <xf numFmtId="2" fontId="17" fillId="4" borderId="0" xfId="0" applyNumberFormat="1" applyFont="1" applyFill="1" applyAlignment="1">
      <alignment horizontal="right" vertical="center"/>
    </xf>
    <xf numFmtId="168" fontId="17" fillId="4" borderId="0" xfId="0" applyNumberFormat="1" applyFont="1" applyFill="1"/>
    <xf numFmtId="168" fontId="17" fillId="4" borderId="0" xfId="0" applyNumberFormat="1" applyFont="1" applyFill="1" applyAlignment="1">
      <alignment horizontal="right" vertical="center"/>
    </xf>
    <xf numFmtId="10" fontId="2" fillId="22" borderId="1" xfId="0" applyNumberFormat="1" applyFont="1" applyFill="1" applyBorder="1" applyAlignment="1">
      <alignment horizontal="center" wrapText="1"/>
    </xf>
    <xf numFmtId="0" fontId="2" fillId="22" borderId="6" xfId="0" applyFont="1" applyFill="1" applyBorder="1" applyAlignment="1">
      <alignment wrapText="1"/>
    </xf>
    <xf numFmtId="0" fontId="44" fillId="4" borderId="0" xfId="0" applyFont="1" applyFill="1"/>
    <xf numFmtId="0" fontId="17" fillId="0" borderId="0" xfId="0" quotePrefix="1" applyFont="1"/>
    <xf numFmtId="0" fontId="124" fillId="0" borderId="0" xfId="0" quotePrefix="1" applyFont="1"/>
    <xf numFmtId="0" fontId="2" fillId="4" borderId="0" xfId="0" applyFont="1" applyFill="1" applyAlignment="1">
      <alignment vertical="top"/>
    </xf>
    <xf numFmtId="0" fontId="17" fillId="4" borderId="0" xfId="0" quotePrefix="1" applyFont="1" applyFill="1"/>
    <xf numFmtId="37" fontId="3" fillId="4" borderId="1" xfId="0" applyNumberFormat="1" applyFont="1" applyFill="1" applyBorder="1" applyAlignment="1">
      <alignment horizontal="right" vertical="center"/>
    </xf>
    <xf numFmtId="0" fontId="3" fillId="4" borderId="11" xfId="0" applyFont="1" applyFill="1" applyBorder="1" applyAlignment="1">
      <alignment horizontal="right" vertical="center"/>
    </xf>
    <xf numFmtId="2" fontId="30" fillId="4" borderId="8" xfId="0" applyNumberFormat="1" applyFont="1" applyFill="1" applyBorder="1" applyAlignment="1">
      <alignment horizontal="right" vertical="center"/>
    </xf>
    <xf numFmtId="0" fontId="3" fillId="4" borderId="9" xfId="0" applyFont="1" applyFill="1" applyBorder="1" applyAlignment="1">
      <alignment vertical="center"/>
    </xf>
    <xf numFmtId="0" fontId="2" fillId="4" borderId="1" xfId="0" applyFont="1" applyFill="1" applyBorder="1" applyAlignment="1">
      <alignment horizontal="right" vertical="center"/>
    </xf>
    <xf numFmtId="0" fontId="2" fillId="4" borderId="11" xfId="0" applyFont="1" applyFill="1" applyBorder="1" applyAlignment="1">
      <alignment horizontal="right" vertical="center"/>
    </xf>
    <xf numFmtId="0" fontId="2" fillId="4" borderId="1" xfId="0" applyFont="1" applyFill="1" applyBorder="1" applyAlignment="1">
      <alignment vertical="center"/>
    </xf>
    <xf numFmtId="0" fontId="11" fillId="4" borderId="0" xfId="0" applyFont="1" applyFill="1" applyAlignment="1">
      <alignment horizontal="left" vertical="center"/>
    </xf>
    <xf numFmtId="0" fontId="2" fillId="4" borderId="0" xfId="0" applyFont="1" applyFill="1" applyAlignment="1">
      <alignment horizontal="left" vertical="center"/>
    </xf>
    <xf numFmtId="0" fontId="3" fillId="4" borderId="0" xfId="0" applyFont="1" applyFill="1" applyAlignment="1">
      <alignment horizontal="left"/>
    </xf>
    <xf numFmtId="0" fontId="3" fillId="4" borderId="1" xfId="0" applyFont="1" applyFill="1" applyBorder="1" applyAlignment="1">
      <alignment vertical="center"/>
    </xf>
    <xf numFmtId="0" fontId="125" fillId="4" borderId="0" xfId="0" applyFont="1" applyFill="1"/>
    <xf numFmtId="0" fontId="126" fillId="0" borderId="0" xfId="0" applyFont="1" applyAlignment="1">
      <alignment wrapText="1"/>
    </xf>
    <xf numFmtId="0" fontId="38" fillId="4" borderId="0" xfId="0" applyFont="1" applyFill="1" applyAlignment="1">
      <alignment wrapText="1"/>
    </xf>
    <xf numFmtId="0" fontId="38" fillId="4" borderId="10" xfId="0" applyFont="1" applyFill="1" applyBorder="1" applyAlignment="1">
      <alignment wrapText="1"/>
    </xf>
    <xf numFmtId="0" fontId="2" fillId="4" borderId="9" xfId="0" applyFont="1" applyFill="1" applyBorder="1" applyAlignment="1">
      <alignment vertical="center"/>
    </xf>
    <xf numFmtId="10" fontId="3" fillId="4" borderId="0" xfId="2" applyNumberFormat="1" applyFont="1" applyFill="1" applyBorder="1" applyAlignment="1">
      <alignment horizontal="center" vertical="center"/>
    </xf>
    <xf numFmtId="0" fontId="6" fillId="4" borderId="0" xfId="0" applyFont="1" applyFill="1"/>
    <xf numFmtId="0" fontId="3" fillId="4" borderId="8" xfId="0" applyFont="1" applyFill="1" applyBorder="1" applyAlignment="1">
      <alignment wrapText="1"/>
    </xf>
    <xf numFmtId="10" fontId="3" fillId="4" borderId="9" xfId="2" applyNumberFormat="1" applyFont="1" applyFill="1" applyBorder="1" applyAlignment="1">
      <alignment horizontal="center" wrapText="1"/>
    </xf>
    <xf numFmtId="164" fontId="3" fillId="4" borderId="9" xfId="2" applyNumberFormat="1" applyFont="1" applyFill="1" applyBorder="1" applyAlignment="1">
      <alignment horizontal="center" wrapText="1"/>
    </xf>
    <xf numFmtId="0" fontId="127" fillId="0" borderId="0" xfId="0" applyFont="1"/>
    <xf numFmtId="0" fontId="2" fillId="4" borderId="9" xfId="0" applyFont="1" applyFill="1" applyBorder="1"/>
    <xf numFmtId="3" fontId="2" fillId="4" borderId="0" xfId="0" applyNumberFormat="1" applyFont="1" applyFill="1"/>
    <xf numFmtId="9" fontId="39" fillId="5" borderId="1" xfId="2" applyFont="1" applyFill="1" applyBorder="1"/>
    <xf numFmtId="0" fontId="128" fillId="4" borderId="0" xfId="0" applyFont="1" applyFill="1"/>
    <xf numFmtId="0" fontId="129" fillId="4" borderId="0" xfId="0" applyFont="1" applyFill="1"/>
    <xf numFmtId="175" fontId="123" fillId="4" borderId="0" xfId="9" applyNumberFormat="1" applyFont="1" applyFill="1" applyBorder="1" applyAlignment="1"/>
    <xf numFmtId="0" fontId="3" fillId="4" borderId="8" xfId="0" applyFont="1" applyFill="1" applyBorder="1"/>
    <xf numFmtId="9" fontId="3" fillId="4" borderId="11" xfId="0" applyNumberFormat="1" applyFont="1" applyFill="1" applyBorder="1"/>
    <xf numFmtId="0" fontId="41" fillId="4" borderId="0" xfId="0" applyFont="1" applyFill="1" applyAlignment="1">
      <alignment horizontal="right"/>
    </xf>
    <xf numFmtId="198" fontId="3" fillId="4" borderId="8" xfId="0" applyNumberFormat="1" applyFont="1" applyFill="1" applyBorder="1" applyAlignment="1">
      <alignment horizontal="center"/>
    </xf>
    <xf numFmtId="14" fontId="3" fillId="4" borderId="1" xfId="0" applyNumberFormat="1" applyFont="1" applyFill="1" applyBorder="1" applyAlignment="1">
      <alignment horizontal="center"/>
    </xf>
    <xf numFmtId="3" fontId="3" fillId="4" borderId="9" xfId="4" applyNumberFormat="1" applyFont="1" applyFill="1" applyBorder="1" applyAlignment="1">
      <alignment horizontal="center"/>
    </xf>
    <xf numFmtId="2" fontId="3" fillId="4" borderId="8" xfId="0" applyNumberFormat="1" applyFont="1" applyFill="1" applyBorder="1" applyAlignment="1">
      <alignment horizontal="right" vertical="center"/>
    </xf>
    <xf numFmtId="0" fontId="3" fillId="4" borderId="9" xfId="0" applyFont="1" applyFill="1" applyBorder="1"/>
    <xf numFmtId="175" fontId="17" fillId="4" borderId="0" xfId="0" applyNumberFormat="1" applyFont="1" applyFill="1"/>
    <xf numFmtId="2" fontId="3" fillId="4" borderId="7" xfId="0" applyNumberFormat="1" applyFont="1" applyFill="1" applyBorder="1" applyAlignment="1">
      <alignment horizontal="right" vertical="center"/>
    </xf>
    <xf numFmtId="0" fontId="3" fillId="4" borderId="5" xfId="0" applyFont="1" applyFill="1" applyBorder="1"/>
    <xf numFmtId="0" fontId="2" fillId="4" borderId="7" xfId="0" applyFont="1" applyFill="1" applyBorder="1" applyAlignment="1">
      <alignment horizontal="center"/>
    </xf>
    <xf numFmtId="0" fontId="2" fillId="4" borderId="12" xfId="0" applyFont="1" applyFill="1" applyBorder="1" applyAlignment="1">
      <alignment horizontal="center"/>
    </xf>
    <xf numFmtId="0" fontId="2" fillId="4" borderId="5" xfId="0" applyFont="1" applyFill="1" applyBorder="1" applyAlignment="1">
      <alignment horizontal="center"/>
    </xf>
    <xf numFmtId="0" fontId="2" fillId="4" borderId="7" xfId="0" applyFont="1" applyFill="1" applyBorder="1"/>
    <xf numFmtId="0" fontId="2" fillId="4" borderId="5" xfId="0" applyFont="1" applyFill="1" applyBorder="1"/>
    <xf numFmtId="0" fontId="2" fillId="4" borderId="15" xfId="0" applyFont="1" applyFill="1" applyBorder="1" applyAlignment="1">
      <alignment horizontal="center"/>
    </xf>
    <xf numFmtId="0" fontId="2" fillId="4" borderId="13" xfId="0" applyFont="1" applyFill="1" applyBorder="1" applyAlignment="1">
      <alignment horizontal="center"/>
    </xf>
    <xf numFmtId="0" fontId="2" fillId="4" borderId="10" xfId="0" applyFont="1" applyFill="1" applyBorder="1" applyAlignment="1">
      <alignment horizontal="center"/>
    </xf>
    <xf numFmtId="0" fontId="2" fillId="4" borderId="15" xfId="0" applyFont="1" applyFill="1" applyBorder="1"/>
    <xf numFmtId="0" fontId="2" fillId="4" borderId="10" xfId="0" applyFont="1" applyFill="1" applyBorder="1"/>
    <xf numFmtId="0" fontId="122" fillId="0" borderId="0" xfId="0" quotePrefix="1" applyFont="1"/>
    <xf numFmtId="0" fontId="2" fillId="4" borderId="4" xfId="0" applyFont="1" applyFill="1" applyBorder="1" applyAlignment="1">
      <alignment horizontal="center"/>
    </xf>
    <xf numFmtId="0" fontId="2" fillId="4" borderId="14" xfId="0" applyFont="1" applyFill="1" applyBorder="1" applyAlignment="1">
      <alignment horizontal="center"/>
    </xf>
    <xf numFmtId="0" fontId="2" fillId="4" borderId="2" xfId="0" applyFont="1" applyFill="1" applyBorder="1" applyAlignment="1">
      <alignment horizontal="center"/>
    </xf>
    <xf numFmtId="0" fontId="2" fillId="4" borderId="4" xfId="0" applyFont="1" applyFill="1" applyBorder="1"/>
    <xf numFmtId="0" fontId="2" fillId="4" borderId="2" xfId="0" applyFont="1" applyFill="1" applyBorder="1"/>
    <xf numFmtId="0" fontId="3" fillId="4" borderId="0" xfId="0" quotePrefix="1" applyFont="1" applyFill="1"/>
    <xf numFmtId="0" fontId="11" fillId="4" borderId="0" xfId="0" applyFont="1" applyFill="1"/>
    <xf numFmtId="0" fontId="2" fillId="4" borderId="1" xfId="0" applyFont="1" applyFill="1" applyBorder="1" applyAlignment="1">
      <alignment horizontal="right" wrapText="1"/>
    </xf>
    <xf numFmtId="0" fontId="3" fillId="4" borderId="9" xfId="0" applyFont="1" applyFill="1" applyBorder="1" applyAlignment="1">
      <alignment horizontal="left"/>
    </xf>
    <xf numFmtId="37" fontId="3" fillId="4" borderId="0" xfId="0" applyNumberFormat="1" applyFont="1" applyFill="1" applyAlignment="1">
      <alignment horizontal="right" vertical="center"/>
    </xf>
    <xf numFmtId="0" fontId="3" fillId="4" borderId="1" xfId="0" applyFont="1" applyFill="1" applyBorder="1" applyAlignment="1">
      <alignment horizontal="left"/>
    </xf>
    <xf numFmtId="175" fontId="3" fillId="4" borderId="0" xfId="0" applyNumberFormat="1" applyFont="1" applyFill="1"/>
    <xf numFmtId="175" fontId="3" fillId="4" borderId="0" xfId="2" applyNumberFormat="1" applyFont="1" applyFill="1"/>
    <xf numFmtId="0" fontId="3" fillId="4" borderId="12" xfId="0" applyFont="1" applyFill="1" applyBorder="1" applyAlignment="1">
      <alignment horizontal="left"/>
    </xf>
    <xf numFmtId="2" fontId="30" fillId="4" borderId="0" xfId="0" applyNumberFormat="1" applyFont="1" applyFill="1" applyAlignment="1">
      <alignment horizontal="right" vertical="center"/>
    </xf>
    <xf numFmtId="0" fontId="30" fillId="4" borderId="0" xfId="0" applyFont="1" applyFill="1" applyAlignment="1">
      <alignment horizontal="left"/>
    </xf>
    <xf numFmtId="3" fontId="3" fillId="4" borderId="0" xfId="0" applyNumberFormat="1" applyFont="1" applyFill="1"/>
    <xf numFmtId="201" fontId="122" fillId="0" borderId="0" xfId="0" applyNumberFormat="1" applyFont="1"/>
    <xf numFmtId="175" fontId="120" fillId="0" borderId="0" xfId="0" applyNumberFormat="1" applyFont="1"/>
    <xf numFmtId="3" fontId="130" fillId="0" borderId="0" xfId="0" applyNumberFormat="1" applyFont="1" applyAlignment="1">
      <alignment horizontal="center"/>
    </xf>
    <xf numFmtId="3" fontId="122" fillId="0" borderId="0" xfId="0" applyNumberFormat="1" applyFont="1" applyAlignment="1">
      <alignment horizontal="center"/>
    </xf>
    <xf numFmtId="3" fontId="3" fillId="4" borderId="0" xfId="0" applyNumberFormat="1" applyFont="1" applyFill="1" applyAlignment="1">
      <alignment horizontal="center"/>
    </xf>
    <xf numFmtId="3" fontId="3" fillId="4" borderId="1" xfId="0" applyNumberFormat="1" applyFont="1" applyFill="1" applyBorder="1" applyAlignment="1">
      <alignment horizontal="right"/>
    </xf>
    <xf numFmtId="171" fontId="3" fillId="4" borderId="1" xfId="0" applyNumberFormat="1" applyFont="1" applyFill="1" applyBorder="1" applyAlignment="1">
      <alignment horizontal="right"/>
    </xf>
    <xf numFmtId="3" fontId="2" fillId="4" borderId="1" xfId="0" applyNumberFormat="1" applyFont="1" applyFill="1" applyBorder="1" applyAlignment="1">
      <alignment horizontal="right"/>
    </xf>
    <xf numFmtId="2" fontId="3" fillId="4" borderId="4" xfId="0" applyNumberFormat="1" applyFont="1" applyFill="1" applyBorder="1" applyAlignment="1">
      <alignment horizontal="right" vertical="center"/>
    </xf>
    <xf numFmtId="0" fontId="2" fillId="4" borderId="14" xfId="0" applyFont="1" applyFill="1" applyBorder="1" applyAlignment="1">
      <alignment horizontal="left"/>
    </xf>
    <xf numFmtId="3" fontId="3" fillId="4" borderId="0" xfId="0" applyNumberFormat="1" applyFont="1" applyFill="1" applyAlignment="1">
      <alignment horizontal="right"/>
    </xf>
    <xf numFmtId="0" fontId="2" fillId="4" borderId="0" xfId="0" applyFont="1" applyFill="1" applyAlignment="1">
      <alignment horizontal="left"/>
    </xf>
    <xf numFmtId="2" fontId="3" fillId="4" borderId="9" xfId="0" applyNumberFormat="1" applyFont="1" applyFill="1" applyBorder="1" applyAlignment="1">
      <alignment horizontal="left" vertical="center"/>
    </xf>
    <xf numFmtId="168" fontId="3" fillId="4" borderId="1" xfId="0" applyNumberFormat="1" applyFont="1" applyFill="1" applyBorder="1" applyAlignment="1">
      <alignment horizontal="right"/>
    </xf>
    <xf numFmtId="0" fontId="3" fillId="4" borderId="1" xfId="0" applyFont="1" applyFill="1" applyBorder="1" applyAlignment="1">
      <alignment horizontal="right"/>
    </xf>
    <xf numFmtId="0" fontId="2" fillId="4" borderId="1" xfId="0" applyFont="1" applyFill="1" applyBorder="1" applyAlignment="1">
      <alignment horizontal="right"/>
    </xf>
    <xf numFmtId="2" fontId="2" fillId="4" borderId="9" xfId="0" applyNumberFormat="1" applyFont="1" applyFill="1" applyBorder="1" applyAlignment="1">
      <alignment horizontal="left" vertical="center"/>
    </xf>
    <xf numFmtId="0" fontId="11" fillId="4" borderId="0" xfId="0" applyFont="1" applyFill="1" applyAlignment="1">
      <alignment horizontal="left"/>
    </xf>
    <xf numFmtId="3" fontId="3" fillId="4" borderId="0" xfId="4" applyNumberFormat="1" applyFont="1" applyFill="1" applyBorder="1" applyAlignment="1">
      <alignment horizontal="center"/>
    </xf>
    <xf numFmtId="2" fontId="3" fillId="4" borderId="11" xfId="0" applyNumberFormat="1" applyFont="1" applyFill="1" applyBorder="1" applyAlignment="1">
      <alignment horizontal="right" vertical="center"/>
    </xf>
    <xf numFmtId="0" fontId="120" fillId="0" borderId="0" xfId="0" applyFont="1" applyAlignment="1">
      <alignment wrapText="1"/>
    </xf>
    <xf numFmtId="0" fontId="3" fillId="4" borderId="0" xfId="0" applyFont="1" applyFill="1" applyAlignment="1">
      <alignment wrapText="1"/>
    </xf>
    <xf numFmtId="0" fontId="4" fillId="4" borderId="0" xfId="0" applyFont="1" applyFill="1" applyAlignment="1">
      <alignment wrapText="1"/>
    </xf>
    <xf numFmtId="2" fontId="3" fillId="4" borderId="8" xfId="0" applyNumberFormat="1" applyFont="1" applyFill="1" applyBorder="1" applyAlignment="1">
      <alignment vertical="center" wrapText="1"/>
    </xf>
    <xf numFmtId="9" fontId="3" fillId="4" borderId="0" xfId="0" applyNumberFormat="1" applyFont="1" applyFill="1" applyAlignment="1">
      <alignment horizontal="center"/>
    </xf>
    <xf numFmtId="164" fontId="3" fillId="4" borderId="9" xfId="2" applyNumberFormat="1" applyFont="1" applyFill="1" applyBorder="1" applyAlignment="1">
      <alignment horizontal="center"/>
    </xf>
    <xf numFmtId="0" fontId="3" fillId="4" borderId="7" xfId="0" applyFont="1" applyFill="1" applyBorder="1"/>
    <xf numFmtId="0" fontId="3" fillId="4" borderId="6" xfId="0" applyFont="1" applyFill="1" applyBorder="1"/>
    <xf numFmtId="0" fontId="30" fillId="4" borderId="0" xfId="0" applyFont="1" applyFill="1"/>
    <xf numFmtId="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15" xfId="0" applyFont="1" applyFill="1" applyBorder="1"/>
    <xf numFmtId="0" fontId="3" fillId="4" borderId="10" xfId="0" applyFont="1" applyFill="1" applyBorder="1"/>
    <xf numFmtId="9" fontId="3" fillId="4" borderId="8" xfId="0" applyNumberFormat="1" applyFont="1" applyFill="1" applyBorder="1" applyAlignment="1">
      <alignment horizontal="center"/>
    </xf>
    <xf numFmtId="0" fontId="3" fillId="4" borderId="9"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3" fillId="4" borderId="4" xfId="0" applyFont="1" applyFill="1" applyBorder="1"/>
    <xf numFmtId="0" fontId="3" fillId="4" borderId="3" xfId="0" applyFont="1" applyFill="1" applyBorder="1"/>
    <xf numFmtId="0" fontId="3" fillId="4" borderId="2" xfId="0" applyFont="1" applyFill="1" applyBorder="1"/>
    <xf numFmtId="0" fontId="131" fillId="0" borderId="0" xfId="0" applyFont="1" applyAlignment="1">
      <alignment wrapText="1"/>
    </xf>
    <xf numFmtId="0" fontId="132" fillId="4" borderId="0" xfId="0" applyFont="1" applyFill="1" applyAlignment="1">
      <alignment wrapText="1"/>
    </xf>
    <xf numFmtId="0" fontId="132" fillId="4" borderId="10" xfId="0" applyFont="1" applyFill="1" applyBorder="1" applyAlignment="1">
      <alignment wrapText="1"/>
    </xf>
    <xf numFmtId="0" fontId="3" fillId="4" borderId="8" xfId="0" applyFont="1" applyFill="1" applyBorder="1" applyAlignment="1">
      <alignment horizontal="left" vertical="top"/>
    </xf>
    <xf numFmtId="0" fontId="3" fillId="4" borderId="11" xfId="0" applyFont="1" applyFill="1" applyBorder="1" applyAlignment="1">
      <alignment horizontal="left" vertical="top"/>
    </xf>
    <xf numFmtId="0" fontId="3" fillId="4" borderId="9" xfId="0" applyFont="1" applyFill="1" applyBorder="1" applyAlignment="1">
      <alignment horizontal="left" vertical="top"/>
    </xf>
    <xf numFmtId="9" fontId="3" fillId="4" borderId="0" xfId="0" quotePrefix="1" applyNumberFormat="1" applyFont="1" applyFill="1"/>
    <xf numFmtId="10" fontId="3" fillId="4" borderId="0" xfId="0" applyNumberFormat="1" applyFont="1" applyFill="1"/>
    <xf numFmtId="0" fontId="3" fillId="4" borderId="0" xfId="0" applyFont="1" applyFill="1" applyAlignment="1">
      <alignment horizontal="left" vertical="center"/>
    </xf>
    <xf numFmtId="0" fontId="17" fillId="4" borderId="8" xfId="0" applyFont="1" applyFill="1" applyBorder="1"/>
    <xf numFmtId="0" fontId="17" fillId="4" borderId="11" xfId="0" applyFont="1" applyFill="1" applyBorder="1"/>
    <xf numFmtId="10" fontId="3" fillId="4" borderId="9" xfId="0" applyNumberFormat="1" applyFont="1" applyFill="1" applyBorder="1"/>
    <xf numFmtId="0" fontId="3" fillId="4" borderId="9" xfId="0" applyFont="1" applyFill="1" applyBorder="1" applyAlignment="1">
      <alignment horizontal="left" vertical="center"/>
    </xf>
    <xf numFmtId="0" fontId="4" fillId="4" borderId="7" xfId="0" applyFont="1" applyFill="1" applyBorder="1"/>
    <xf numFmtId="0" fontId="4" fillId="4" borderId="6" xfId="0" applyFont="1" applyFill="1" applyBorder="1"/>
    <xf numFmtId="0" fontId="4" fillId="4" borderId="4" xfId="0" applyFont="1" applyFill="1" applyBorder="1"/>
    <xf numFmtId="0" fontId="4" fillId="4" borderId="3" xfId="0" applyFont="1" applyFill="1" applyBorder="1"/>
    <xf numFmtId="0" fontId="30" fillId="4" borderId="7" xfId="0" applyFont="1" applyFill="1" applyBorder="1"/>
    <xf numFmtId="0" fontId="30" fillId="4" borderId="6" xfId="0" applyFont="1" applyFill="1" applyBorder="1"/>
    <xf numFmtId="0" fontId="3" fillId="4" borderId="5" xfId="0" quotePrefix="1" applyFont="1" applyFill="1" applyBorder="1"/>
    <xf numFmtId="0" fontId="30" fillId="4" borderId="4" xfId="0" applyFont="1" applyFill="1" applyBorder="1"/>
    <xf numFmtId="0" fontId="30" fillId="4" borderId="3" xfId="0" applyFont="1" applyFill="1" applyBorder="1"/>
    <xf numFmtId="0" fontId="3" fillId="4" borderId="2" xfId="0" quotePrefix="1" applyFont="1" applyFill="1" applyBorder="1"/>
    <xf numFmtId="0" fontId="30" fillId="4" borderId="8" xfId="0" applyFont="1" applyFill="1" applyBorder="1"/>
    <xf numFmtId="0" fontId="30" fillId="4" borderId="11" xfId="0" applyFont="1" applyFill="1" applyBorder="1"/>
    <xf numFmtId="9" fontId="3" fillId="4" borderId="9" xfId="0" quotePrefix="1" applyNumberFormat="1" applyFont="1" applyFill="1" applyBorder="1"/>
    <xf numFmtId="1" fontId="3" fillId="4" borderId="9" xfId="0" applyNumberFormat="1" applyFont="1" applyFill="1" applyBorder="1" applyAlignment="1">
      <alignment horizontal="left"/>
    </xf>
    <xf numFmtId="0" fontId="3" fillId="0" borderId="0" xfId="0" applyFont="1" applyAlignment="1">
      <alignment vertical="top" wrapText="1"/>
    </xf>
    <xf numFmtId="0" fontId="122" fillId="0" borderId="0" xfId="0" applyFont="1" applyAlignment="1">
      <alignment vertical="top" wrapText="1"/>
    </xf>
    <xf numFmtId="0" fontId="3" fillId="4" borderId="0" xfId="0" applyFont="1" applyFill="1" applyAlignment="1">
      <alignment vertical="top" wrapText="1"/>
    </xf>
    <xf numFmtId="0" fontId="3" fillId="4" borderId="0" xfId="0" applyFont="1" applyFill="1" applyAlignment="1">
      <alignment vertical="top"/>
    </xf>
    <xf numFmtId="0" fontId="3" fillId="4" borderId="0" xfId="0" applyFont="1" applyFill="1" applyAlignment="1">
      <alignment vertical="center"/>
    </xf>
    <xf numFmtId="0" fontId="9" fillId="2" borderId="0" xfId="0" applyFont="1" applyFill="1" applyAlignment="1">
      <alignment horizontal="left" vertical="center" wrapText="1" indent="7"/>
    </xf>
    <xf numFmtId="0" fontId="3" fillId="2" borderId="0" xfId="0" applyFont="1" applyFill="1" applyAlignment="1">
      <alignment horizontal="left" vertical="center" wrapText="1" indent="7"/>
    </xf>
    <xf numFmtId="0" fontId="6" fillId="2" borderId="2" xfId="0" applyFont="1" applyFill="1" applyBorder="1" applyAlignment="1">
      <alignment horizontal="left" wrapText="1"/>
    </xf>
    <xf numFmtId="0" fontId="6" fillId="2" borderId="3" xfId="0" applyFont="1" applyFill="1" applyBorder="1" applyAlignment="1">
      <alignment horizontal="left" wrapText="1"/>
    </xf>
    <xf numFmtId="0" fontId="6" fillId="2" borderId="4" xfId="0" applyFont="1" applyFill="1" applyBorder="1" applyAlignment="1">
      <alignment horizontal="left" wrapText="1"/>
    </xf>
    <xf numFmtId="0" fontId="6" fillId="2" borderId="5" xfId="0" applyFont="1" applyFill="1" applyBorder="1" applyAlignment="1">
      <alignment horizontal="left" wrapText="1"/>
    </xf>
    <xf numFmtId="0" fontId="6" fillId="2" borderId="6" xfId="0" applyFont="1" applyFill="1" applyBorder="1" applyAlignment="1">
      <alignment horizontal="left" wrapText="1"/>
    </xf>
    <xf numFmtId="0" fontId="6" fillId="2" borderId="7" xfId="0" applyFont="1" applyFill="1" applyBorder="1" applyAlignment="1">
      <alignment horizontal="left" wrapText="1"/>
    </xf>
    <xf numFmtId="0" fontId="24" fillId="2" borderId="1" xfId="0" applyFont="1" applyFill="1" applyBorder="1" applyAlignment="1">
      <alignment horizontal="left"/>
    </xf>
    <xf numFmtId="0" fontId="23" fillId="2" borderId="1" xfId="0" applyFont="1" applyFill="1" applyBorder="1" applyAlignment="1">
      <alignment horizontal="right" wrapText="1"/>
    </xf>
    <xf numFmtId="10" fontId="23" fillId="2" borderId="9" xfId="0" applyNumberFormat="1" applyFont="1" applyFill="1" applyBorder="1" applyAlignment="1">
      <alignment horizontal="right"/>
    </xf>
    <xf numFmtId="10" fontId="23" fillId="2" borderId="8" xfId="0" applyNumberFormat="1" applyFont="1" applyFill="1" applyBorder="1" applyAlignment="1">
      <alignment horizontal="right"/>
    </xf>
    <xf numFmtId="0" fontId="23" fillId="2" borderId="9" xfId="0" applyFont="1" applyFill="1" applyBorder="1" applyAlignment="1">
      <alignment horizontal="right" wrapText="1"/>
    </xf>
    <xf numFmtId="0" fontId="23" fillId="2" borderId="8" xfId="0" applyFont="1" applyFill="1" applyBorder="1" applyAlignment="1">
      <alignment horizontal="right" wrapText="1"/>
    </xf>
    <xf numFmtId="0" fontId="23" fillId="2" borderId="0" xfId="0" applyFont="1" applyFill="1" applyAlignment="1">
      <alignment horizontal="right" wrapText="1"/>
    </xf>
    <xf numFmtId="0" fontId="23" fillId="2" borderId="1" xfId="0" applyFont="1" applyFill="1" applyBorder="1" applyAlignment="1">
      <alignment horizontal="right"/>
    </xf>
    <xf numFmtId="0" fontId="23" fillId="2" borderId="1" xfId="0" applyFont="1" applyFill="1" applyBorder="1"/>
    <xf numFmtId="0" fontId="23" fillId="2" borderId="1" xfId="0" applyFont="1" applyFill="1" applyBorder="1" applyAlignment="1">
      <alignment wrapText="1"/>
    </xf>
    <xf numFmtId="0" fontId="23" fillId="2" borderId="9" xfId="0" applyFont="1" applyFill="1" applyBorder="1"/>
    <xf numFmtId="0" fontId="23" fillId="2" borderId="11" xfId="0" applyFont="1" applyFill="1" applyBorder="1"/>
    <xf numFmtId="0" fontId="23" fillId="2" borderId="8" xfId="0" applyFont="1" applyFill="1" applyBorder="1"/>
    <xf numFmtId="49" fontId="23" fillId="2" borderId="9" xfId="0" applyNumberFormat="1" applyFont="1" applyFill="1" applyBorder="1" applyAlignment="1">
      <alignment horizontal="right"/>
    </xf>
    <xf numFmtId="49" fontId="23" fillId="2" borderId="8" xfId="0" applyNumberFormat="1" applyFont="1" applyFill="1" applyBorder="1" applyAlignment="1">
      <alignment horizontal="right"/>
    </xf>
    <xf numFmtId="167" fontId="23" fillId="2" borderId="9" xfId="3" applyNumberFormat="1" applyFont="1" applyFill="1" applyBorder="1"/>
    <xf numFmtId="167" fontId="23" fillId="2" borderId="8" xfId="3" applyNumberFormat="1" applyFont="1" applyFill="1" applyBorder="1"/>
    <xf numFmtId="0" fontId="32" fillId="2" borderId="14" xfId="0" applyFont="1" applyFill="1" applyBorder="1" applyAlignment="1">
      <alignment horizontal="right" vertical="center" wrapText="1"/>
    </xf>
    <xf numFmtId="0" fontId="32" fillId="2" borderId="13" xfId="0" applyFont="1" applyFill="1" applyBorder="1" applyAlignment="1">
      <alignment horizontal="right" vertical="center" wrapText="1"/>
    </xf>
    <xf numFmtId="0" fontId="32" fillId="2" borderId="12" xfId="0" applyFont="1" applyFill="1" applyBorder="1" applyAlignment="1">
      <alignment horizontal="right" vertical="center" wrapText="1"/>
    </xf>
    <xf numFmtId="0" fontId="24" fillId="2" borderId="2" xfId="0" applyFont="1" applyFill="1" applyBorder="1" applyAlignment="1">
      <alignment horizontal="left" wrapText="1"/>
    </xf>
    <xf numFmtId="0" fontId="24" fillId="2" borderId="3" xfId="0" applyFont="1" applyFill="1" applyBorder="1" applyAlignment="1">
      <alignment horizontal="left" wrapText="1"/>
    </xf>
    <xf numFmtId="0" fontId="24" fillId="2" borderId="4" xfId="0" applyFont="1" applyFill="1" applyBorder="1" applyAlignment="1">
      <alignment horizontal="left" wrapText="1"/>
    </xf>
    <xf numFmtId="0" fontId="24" fillId="2" borderId="5" xfId="0" applyFont="1" applyFill="1" applyBorder="1" applyAlignment="1">
      <alignment horizontal="left" wrapText="1"/>
    </xf>
    <xf numFmtId="0" fontId="24" fillId="2" borderId="6" xfId="0" applyFont="1" applyFill="1" applyBorder="1" applyAlignment="1">
      <alignment horizontal="left" wrapText="1"/>
    </xf>
    <xf numFmtId="0" fontId="24" fillId="2" borderId="7" xfId="0" applyFont="1" applyFill="1" applyBorder="1" applyAlignment="1">
      <alignment horizontal="left" wrapText="1"/>
    </xf>
    <xf numFmtId="0" fontId="32" fillId="2" borderId="14"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12" xfId="0" applyFont="1" applyFill="1" applyBorder="1" applyAlignment="1">
      <alignment horizontal="center" vertical="center"/>
    </xf>
    <xf numFmtId="0" fontId="32" fillId="2" borderId="14" xfId="0" applyFont="1" applyFill="1" applyBorder="1" applyAlignment="1">
      <alignment horizontal="left" vertical="center" wrapText="1"/>
    </xf>
    <xf numFmtId="0" fontId="32" fillId="2" borderId="13" xfId="0" applyFont="1" applyFill="1" applyBorder="1" applyAlignment="1">
      <alignment horizontal="left" vertical="center" wrapText="1"/>
    </xf>
    <xf numFmtId="0" fontId="32" fillId="2" borderId="12" xfId="0" applyFont="1" applyFill="1" applyBorder="1" applyAlignment="1">
      <alignment horizontal="left" vertical="center" wrapText="1"/>
    </xf>
    <xf numFmtId="0" fontId="30" fillId="2" borderId="9" xfId="0" applyFont="1" applyFill="1" applyBorder="1" applyAlignment="1">
      <alignment horizontal="left"/>
    </xf>
    <xf numFmtId="0" fontId="30" fillId="2" borderId="8" xfId="0" applyFont="1" applyFill="1" applyBorder="1" applyAlignment="1">
      <alignment horizontal="left"/>
    </xf>
    <xf numFmtId="0" fontId="30" fillId="2" borderId="11" xfId="0" applyFont="1" applyFill="1" applyBorder="1" applyAlignment="1">
      <alignment horizontal="left"/>
    </xf>
    <xf numFmtId="0" fontId="30" fillId="2" borderId="9" xfId="0" applyFont="1" applyFill="1" applyBorder="1" applyAlignment="1">
      <alignment horizontal="left" wrapText="1"/>
    </xf>
    <xf numFmtId="0" fontId="30" fillId="2" borderId="11" xfId="0" applyFont="1" applyFill="1" applyBorder="1" applyAlignment="1">
      <alignment horizontal="left" wrapText="1"/>
    </xf>
    <xf numFmtId="0" fontId="30" fillId="2" borderId="8" xfId="0" applyFont="1" applyFill="1" applyBorder="1" applyAlignment="1">
      <alignment horizontal="left" wrapText="1"/>
    </xf>
    <xf numFmtId="0" fontId="30" fillId="2" borderId="2" xfId="0" applyFont="1" applyFill="1" applyBorder="1" applyAlignment="1">
      <alignment horizontal="left"/>
    </xf>
    <xf numFmtId="0" fontId="30" fillId="2" borderId="4" xfId="0" applyFont="1" applyFill="1" applyBorder="1" applyAlignment="1">
      <alignment horizontal="left"/>
    </xf>
    <xf numFmtId="0" fontId="30" fillId="2" borderId="5" xfId="0" applyFont="1" applyFill="1" applyBorder="1" applyAlignment="1">
      <alignment horizontal="left"/>
    </xf>
    <xf numFmtId="0" fontId="30" fillId="2" borderId="7" xfId="0" applyFont="1" applyFill="1" applyBorder="1" applyAlignment="1">
      <alignment horizontal="left"/>
    </xf>
    <xf numFmtId="0" fontId="30" fillId="2" borderId="2" xfId="0" applyFont="1" applyFill="1" applyBorder="1" applyAlignment="1">
      <alignment horizontal="left" wrapText="1"/>
    </xf>
    <xf numFmtId="0" fontId="30" fillId="2" borderId="3" xfId="0" applyFont="1" applyFill="1" applyBorder="1" applyAlignment="1">
      <alignment horizontal="left" wrapText="1"/>
    </xf>
    <xf numFmtId="0" fontId="30" fillId="2" borderId="4" xfId="0" applyFont="1" applyFill="1" applyBorder="1" applyAlignment="1">
      <alignment horizontal="left" wrapText="1"/>
    </xf>
    <xf numFmtId="0" fontId="30" fillId="2" borderId="5" xfId="0" applyFont="1" applyFill="1" applyBorder="1" applyAlignment="1">
      <alignment horizontal="left" wrapText="1"/>
    </xf>
    <xf numFmtId="0" fontId="30" fillId="2" borderId="6" xfId="0" applyFont="1" applyFill="1" applyBorder="1" applyAlignment="1">
      <alignment horizontal="left" wrapText="1"/>
    </xf>
    <xf numFmtId="0" fontId="30" fillId="2" borderId="7" xfId="0" applyFont="1" applyFill="1" applyBorder="1" applyAlignment="1">
      <alignment horizontal="left" wrapText="1"/>
    </xf>
    <xf numFmtId="0" fontId="36" fillId="2" borderId="1" xfId="0" applyFont="1" applyFill="1" applyBorder="1" applyAlignment="1">
      <alignment horizontal="center" vertical="center" wrapText="1"/>
    </xf>
    <xf numFmtId="0" fontId="3" fillId="2" borderId="0" xfId="0" applyFont="1" applyFill="1" applyAlignment="1">
      <alignment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6" fillId="2" borderId="1" xfId="0" applyFont="1" applyFill="1" applyBorder="1" applyAlignment="1">
      <alignment vertical="center" wrapText="1"/>
    </xf>
    <xf numFmtId="0" fontId="2" fillId="2" borderId="1" xfId="0" applyFont="1" applyFill="1" applyBorder="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3" fillId="2" borderId="9" xfId="0" applyFont="1" applyFill="1" applyBorder="1" applyAlignment="1">
      <alignment horizontal="left" vertical="center"/>
    </xf>
    <xf numFmtId="0" fontId="3" fillId="2" borderId="11" xfId="0" applyFont="1" applyFill="1" applyBorder="1" applyAlignment="1">
      <alignment horizontal="left" vertical="center"/>
    </xf>
    <xf numFmtId="0" fontId="3" fillId="2" borderId="8" xfId="0" applyFont="1" applyFill="1" applyBorder="1" applyAlignment="1">
      <alignment horizontal="left" vertical="center"/>
    </xf>
    <xf numFmtId="168" fontId="3" fillId="3" borderId="14" xfId="0" applyNumberFormat="1" applyFont="1" applyFill="1" applyBorder="1" applyAlignment="1">
      <alignment vertical="center"/>
    </xf>
    <xf numFmtId="168" fontId="3" fillId="3" borderId="12" xfId="0" applyNumberFormat="1" applyFont="1" applyFill="1" applyBorder="1" applyAlignment="1">
      <alignment vertical="center"/>
    </xf>
    <xf numFmtId="0" fontId="3" fillId="3" borderId="0" xfId="0" applyFont="1" applyFill="1"/>
    <xf numFmtId="0" fontId="3" fillId="2" borderId="14" xfId="0" applyFont="1" applyFill="1" applyBorder="1" applyAlignment="1">
      <alignment vertical="top" wrapText="1"/>
    </xf>
    <xf numFmtId="0" fontId="3" fillId="2" borderId="12" xfId="0" applyFont="1" applyFill="1" applyBorder="1" applyAlignment="1">
      <alignment vertical="top" wrapText="1"/>
    </xf>
    <xf numFmtId="10" fontId="3" fillId="2" borderId="14" xfId="2" applyNumberFormat="1" applyFont="1" applyFill="1" applyBorder="1" applyAlignment="1">
      <alignment horizontal="right"/>
    </xf>
    <xf numFmtId="10" fontId="3" fillId="2" borderId="12" xfId="2" applyNumberFormat="1" applyFont="1" applyFill="1" applyBorder="1" applyAlignment="1">
      <alignment horizontal="right"/>
    </xf>
    <xf numFmtId="0" fontId="3" fillId="2" borderId="14" xfId="0" applyFont="1" applyFill="1" applyBorder="1"/>
    <xf numFmtId="0" fontId="3" fillId="2" borderId="12" xfId="0" applyFont="1" applyFill="1" applyBorder="1"/>
    <xf numFmtId="0" fontId="3" fillId="3" borderId="14" xfId="0" applyFont="1" applyFill="1" applyBorder="1" applyAlignment="1">
      <alignment vertical="center"/>
    </xf>
    <xf numFmtId="0" fontId="3" fillId="3" borderId="12" xfId="0" applyFont="1" applyFill="1" applyBorder="1" applyAlignment="1">
      <alignment vertical="center"/>
    </xf>
    <xf numFmtId="168" fontId="3" fillId="3" borderId="14" xfId="0" applyNumberFormat="1" applyFont="1" applyFill="1" applyBorder="1" applyAlignment="1">
      <alignment horizontal="right" vertical="center"/>
    </xf>
    <xf numFmtId="168" fontId="3" fillId="3" borderId="12" xfId="0" applyNumberFormat="1" applyFont="1" applyFill="1" applyBorder="1" applyAlignment="1">
      <alignment horizontal="right" vertical="center"/>
    </xf>
    <xf numFmtId="168" fontId="3" fillId="3" borderId="14" xfId="0" applyNumberFormat="1" applyFont="1" applyFill="1" applyBorder="1" applyAlignment="1">
      <alignment horizontal="right"/>
    </xf>
    <xf numFmtId="168" fontId="3" fillId="3" borderId="12" xfId="0" applyNumberFormat="1" applyFont="1" applyFill="1" applyBorder="1" applyAlignment="1">
      <alignment horizontal="right"/>
    </xf>
    <xf numFmtId="168" fontId="3" fillId="3" borderId="14" xfId="0" applyNumberFormat="1" applyFont="1" applyFill="1" applyBorder="1"/>
    <xf numFmtId="168" fontId="3" fillId="3" borderId="12" xfId="0" applyNumberFormat="1" applyFont="1" applyFill="1" applyBorder="1"/>
    <xf numFmtId="0" fontId="2" fillId="3" borderId="1" xfId="0" applyFont="1" applyFill="1" applyBorder="1" applyAlignment="1">
      <alignment horizontal="center"/>
    </xf>
    <xf numFmtId="0" fontId="3" fillId="3" borderId="14" xfId="0" applyFont="1" applyFill="1" applyBorder="1"/>
    <xf numFmtId="0" fontId="3" fillId="3" borderId="12" xfId="0" applyFont="1" applyFill="1" applyBorder="1"/>
    <xf numFmtId="0" fontId="3" fillId="2" borderId="1" xfId="0" quotePrefix="1" applyFont="1" applyFill="1" applyBorder="1" applyAlignment="1">
      <alignment horizontal="left" vertical="top"/>
    </xf>
    <xf numFmtId="179" fontId="3" fillId="2" borderId="1" xfId="2" applyNumberFormat="1" applyFont="1" applyFill="1" applyBorder="1" applyAlignment="1">
      <alignment horizontal="left" vertical="top"/>
    </xf>
    <xf numFmtId="2" fontId="3" fillId="2" borderId="1" xfId="0" applyNumberFormat="1" applyFont="1" applyFill="1" applyBorder="1" applyAlignment="1">
      <alignment horizontal="left" vertical="center"/>
    </xf>
    <xf numFmtId="3" fontId="3" fillId="2" borderId="1" xfId="4" applyNumberFormat="1" applyFont="1" applyFill="1" applyBorder="1" applyAlignment="1">
      <alignment horizontal="left"/>
    </xf>
    <xf numFmtId="10" fontId="3" fillId="2" borderId="1" xfId="2" applyNumberFormat="1" applyFont="1" applyFill="1" applyBorder="1" applyAlignment="1">
      <alignment horizontal="left" vertical="top"/>
    </xf>
    <xf numFmtId="0" fontId="6" fillId="2" borderId="1" xfId="0" applyFont="1" applyFill="1" applyBorder="1" applyAlignment="1">
      <alignment horizontal="left"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top"/>
    </xf>
    <xf numFmtId="0" fontId="3" fillId="2" borderId="4" xfId="0" applyFont="1" applyFill="1" applyBorder="1" applyAlignment="1">
      <alignment horizontal="left" vertical="top"/>
    </xf>
    <xf numFmtId="0" fontId="3" fillId="2" borderId="10" xfId="0" applyFont="1" applyFill="1" applyBorder="1" applyAlignment="1">
      <alignment horizontal="left" vertical="top"/>
    </xf>
    <xf numFmtId="0" fontId="3" fillId="2" borderId="15" xfId="0" applyFont="1" applyFill="1" applyBorder="1" applyAlignment="1">
      <alignment horizontal="left" vertical="top"/>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2" xfId="0" applyFont="1" applyFill="1" applyBorder="1" applyAlignment="1">
      <alignment horizontal="left" wrapText="1"/>
    </xf>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0" fontId="3" fillId="2" borderId="7" xfId="0" applyFont="1" applyFill="1" applyBorder="1" applyAlignment="1">
      <alignment horizontal="left" wrapText="1"/>
    </xf>
    <xf numFmtId="10" fontId="3" fillId="2" borderId="14" xfId="2" applyNumberFormat="1" applyFont="1" applyFill="1" applyBorder="1" applyAlignment="1">
      <alignment horizontal="center" vertical="top"/>
    </xf>
    <xf numFmtId="10" fontId="3" fillId="2" borderId="12" xfId="2" applyNumberFormat="1" applyFont="1" applyFill="1" applyBorder="1" applyAlignment="1">
      <alignment horizontal="center" vertical="top"/>
    </xf>
    <xf numFmtId="0" fontId="3" fillId="2" borderId="3" xfId="0" applyFont="1" applyFill="1" applyBorder="1" applyAlignment="1">
      <alignment horizontal="left" vertical="center"/>
    </xf>
    <xf numFmtId="0" fontId="3" fillId="2" borderId="6" xfId="0" applyFont="1" applyFill="1" applyBorder="1" applyAlignment="1">
      <alignment horizontal="left" vertical="center"/>
    </xf>
    <xf numFmtId="0" fontId="3" fillId="2" borderId="5" xfId="0" applyFont="1" applyFill="1" applyBorder="1" applyAlignment="1">
      <alignment horizontal="left" vertical="top"/>
    </xf>
    <xf numFmtId="0" fontId="3" fillId="2" borderId="7" xfId="0" applyFont="1" applyFill="1" applyBorder="1" applyAlignment="1">
      <alignment horizontal="left" vertical="top"/>
    </xf>
    <xf numFmtId="0" fontId="3" fillId="2" borderId="9" xfId="0" applyFont="1" applyFill="1" applyBorder="1" applyAlignment="1">
      <alignment horizontal="left"/>
    </xf>
    <xf numFmtId="0" fontId="3" fillId="2" borderId="8" xfId="0" applyFont="1" applyFill="1" applyBorder="1" applyAlignment="1">
      <alignment horizontal="left"/>
    </xf>
    <xf numFmtId="0" fontId="3" fillId="2" borderId="0" xfId="0" applyFont="1" applyFill="1" applyAlignment="1">
      <alignment horizontal="left" vertical="top" wrapText="1"/>
    </xf>
    <xf numFmtId="0" fontId="3" fillId="2" borderId="2" xfId="0" applyFont="1" applyFill="1" applyBorder="1" applyAlignment="1">
      <alignment vertical="center" wrapText="1"/>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1" xfId="0" applyFont="1" applyFill="1" applyBorder="1" applyAlignment="1">
      <alignment horizontal="right" wrapText="1"/>
    </xf>
    <xf numFmtId="0" fontId="3" fillId="2" borderId="1" xfId="0" applyFont="1" applyFill="1" applyBorder="1" applyAlignment="1">
      <alignment horizontal="right"/>
    </xf>
    <xf numFmtId="169" fontId="3" fillId="2" borderId="1" xfId="0" applyNumberFormat="1" applyFont="1" applyFill="1" applyBorder="1" applyAlignment="1">
      <alignment horizontal="right"/>
    </xf>
    <xf numFmtId="0" fontId="3" fillId="2" borderId="9" xfId="0" applyFont="1" applyFill="1" applyBorder="1" applyAlignment="1">
      <alignment horizontal="left" vertical="top"/>
    </xf>
    <xf numFmtId="0" fontId="3" fillId="2" borderId="8" xfId="0" applyFont="1" applyFill="1" applyBorder="1" applyAlignment="1">
      <alignment horizontal="left" vertical="top"/>
    </xf>
    <xf numFmtId="0" fontId="11" fillId="2" borderId="9" xfId="0" applyFont="1" applyFill="1" applyBorder="1" applyAlignment="1">
      <alignment horizontal="left"/>
    </xf>
    <xf numFmtId="0" fontId="11" fillId="2" borderId="8" xfId="0" applyFont="1" applyFill="1" applyBorder="1" applyAlignment="1">
      <alignment horizontal="left"/>
    </xf>
    <xf numFmtId="0" fontId="17" fillId="0" borderId="1" xfId="0" applyFont="1" applyBorder="1" applyAlignment="1">
      <alignment horizontal="right"/>
    </xf>
    <xf numFmtId="0" fontId="17" fillId="0" borderId="1" xfId="0" applyFont="1" applyBorder="1" applyAlignment="1">
      <alignment horizontal="right" wrapText="1"/>
    </xf>
    <xf numFmtId="0" fontId="18" fillId="0" borderId="0" xfId="0" applyFont="1" applyAlignment="1">
      <alignment horizontal="center"/>
    </xf>
    <xf numFmtId="0" fontId="6" fillId="2" borderId="2" xfId="7" applyFont="1" applyFill="1" applyBorder="1" applyAlignment="1">
      <alignment horizontal="left" wrapText="1"/>
    </xf>
    <xf numFmtId="0" fontId="6" fillId="2" borderId="3" xfId="7" applyFont="1" applyFill="1" applyBorder="1" applyAlignment="1">
      <alignment horizontal="left" wrapText="1"/>
    </xf>
    <xf numFmtId="0" fontId="6" fillId="2" borderId="4" xfId="7" applyFont="1" applyFill="1" applyBorder="1" applyAlignment="1">
      <alignment horizontal="left" wrapText="1"/>
    </xf>
    <xf numFmtId="0" fontId="6" fillId="2" borderId="5" xfId="7" applyFont="1" applyFill="1" applyBorder="1" applyAlignment="1">
      <alignment horizontal="left" wrapText="1"/>
    </xf>
    <xf numFmtId="0" fontId="6" fillId="2" borderId="6" xfId="7" applyFont="1" applyFill="1" applyBorder="1" applyAlignment="1">
      <alignment horizontal="left" wrapText="1"/>
    </xf>
    <xf numFmtId="0" fontId="6" fillId="2" borderId="7" xfId="7" applyFont="1" applyFill="1" applyBorder="1" applyAlignment="1">
      <alignment horizontal="left" wrapText="1"/>
    </xf>
    <xf numFmtId="0" fontId="3" fillId="2" borderId="0" xfId="7" applyFont="1" applyFill="1" applyAlignment="1">
      <alignment horizontal="left" vertical="top" wrapText="1"/>
    </xf>
    <xf numFmtId="0" fontId="3" fillId="0" borderId="0" xfId="7" applyFont="1" applyAlignment="1">
      <alignment horizontal="left" vertical="center" wrapText="1"/>
    </xf>
    <xf numFmtId="0" fontId="2" fillId="2" borderId="14" xfId="7" applyFont="1" applyFill="1" applyBorder="1" applyAlignment="1">
      <alignment horizontal="center" vertical="center" wrapText="1"/>
    </xf>
    <xf numFmtId="0" fontId="2" fillId="2" borderId="13" xfId="7" applyFont="1" applyFill="1" applyBorder="1" applyAlignment="1">
      <alignment horizontal="center" vertical="center" wrapText="1"/>
    </xf>
    <xf numFmtId="0" fontId="2" fillId="2" borderId="12" xfId="7" applyFont="1" applyFill="1" applyBorder="1" applyAlignment="1">
      <alignment horizontal="center" vertical="center" wrapText="1"/>
    </xf>
    <xf numFmtId="0" fontId="3" fillId="2" borderId="0" xfId="7" applyFont="1" applyFill="1" applyAlignment="1">
      <alignment horizontal="left" vertical="center" wrapText="1"/>
    </xf>
    <xf numFmtId="0" fontId="3" fillId="2" borderId="2" xfId="7" applyFont="1" applyFill="1" applyBorder="1" applyAlignment="1">
      <alignment horizontal="left" vertical="top" wrapText="1"/>
    </xf>
    <xf numFmtId="0" fontId="3" fillId="2" borderId="4" xfId="7" applyFont="1" applyFill="1" applyBorder="1" applyAlignment="1">
      <alignment horizontal="left" vertical="top" wrapText="1"/>
    </xf>
    <xf numFmtId="0" fontId="3" fillId="2" borderId="5" xfId="7" applyFont="1" applyFill="1" applyBorder="1" applyAlignment="1">
      <alignment horizontal="left" vertical="top" wrapText="1"/>
    </xf>
    <xf numFmtId="0" fontId="3" fillId="2" borderId="7" xfId="7" applyFont="1" applyFill="1" applyBorder="1" applyAlignment="1">
      <alignment horizontal="left" vertical="top" wrapText="1"/>
    </xf>
    <xf numFmtId="0" fontId="3" fillId="2" borderId="3" xfId="7" applyFont="1" applyFill="1" applyBorder="1" applyAlignment="1">
      <alignment horizontal="left" vertical="top" wrapText="1"/>
    </xf>
    <xf numFmtId="0" fontId="3" fillId="2" borderId="6" xfId="7" applyFont="1" applyFill="1" applyBorder="1" applyAlignment="1">
      <alignment horizontal="left" vertical="top" wrapText="1"/>
    </xf>
    <xf numFmtId="0" fontId="3" fillId="2" borderId="1" xfId="7" applyFont="1" applyFill="1" applyBorder="1" applyAlignment="1">
      <alignment horizontal="left" vertical="top" wrapText="1"/>
    </xf>
    <xf numFmtId="0" fontId="3" fillId="2" borderId="1" xfId="7" applyFont="1" applyFill="1" applyBorder="1" applyAlignment="1">
      <alignment horizontal="left" vertical="top"/>
    </xf>
    <xf numFmtId="0" fontId="3" fillId="2" borderId="1" xfId="7" applyFont="1" applyFill="1" applyBorder="1" applyAlignment="1">
      <alignment vertical="top"/>
    </xf>
    <xf numFmtId="0" fontId="3" fillId="2" borderId="2" xfId="7" applyFont="1" applyFill="1" applyBorder="1" applyAlignment="1">
      <alignment vertical="top" wrapText="1"/>
    </xf>
    <xf numFmtId="0" fontId="3" fillId="2" borderId="4" xfId="7" applyFont="1" applyFill="1" applyBorder="1" applyAlignment="1">
      <alignment vertical="top" wrapText="1"/>
    </xf>
    <xf numFmtId="0" fontId="3" fillId="2" borderId="5" xfId="7" applyFont="1" applyFill="1" applyBorder="1" applyAlignment="1">
      <alignment vertical="top" wrapText="1"/>
    </xf>
    <xf numFmtId="0" fontId="3" fillId="2" borderId="7" xfId="7" applyFont="1" applyFill="1" applyBorder="1" applyAlignment="1">
      <alignment vertical="top" wrapText="1"/>
    </xf>
    <xf numFmtId="0" fontId="3" fillId="2" borderId="2" xfId="7" applyFont="1" applyFill="1" applyBorder="1" applyAlignment="1">
      <alignment horizontal="left" vertical="top"/>
    </xf>
    <xf numFmtId="0" fontId="3" fillId="2" borderId="4" xfId="7" applyFont="1" applyFill="1" applyBorder="1" applyAlignment="1">
      <alignment horizontal="left" vertical="top"/>
    </xf>
    <xf numFmtId="0" fontId="3" fillId="2" borderId="5" xfId="7" applyFont="1" applyFill="1" applyBorder="1" applyAlignment="1">
      <alignment horizontal="left" vertical="top"/>
    </xf>
    <xf numFmtId="0" fontId="3" fillId="2" borderId="7" xfId="7" applyFont="1" applyFill="1" applyBorder="1" applyAlignment="1">
      <alignment horizontal="left" vertical="top"/>
    </xf>
    <xf numFmtId="0" fontId="3" fillId="2" borderId="14" xfId="7" applyFont="1" applyFill="1" applyBorder="1" applyAlignment="1">
      <alignment horizontal="left" vertical="top"/>
    </xf>
    <xf numFmtId="0" fontId="3" fillId="2" borderId="2" xfId="7" applyFont="1" applyFill="1" applyBorder="1" applyAlignment="1">
      <alignment vertical="top"/>
    </xf>
    <xf numFmtId="0" fontId="3" fillId="2" borderId="3" xfId="7" applyFont="1" applyFill="1" applyBorder="1" applyAlignment="1">
      <alignment vertical="top"/>
    </xf>
    <xf numFmtId="0" fontId="3" fillId="2" borderId="4" xfId="7" applyFont="1" applyFill="1" applyBorder="1" applyAlignment="1">
      <alignment vertical="top"/>
    </xf>
    <xf numFmtId="0" fontId="3" fillId="2" borderId="5" xfId="7" applyFont="1" applyFill="1" applyBorder="1" applyAlignment="1">
      <alignment vertical="top"/>
    </xf>
    <xf numFmtId="0" fontId="3" fillId="2" borderId="7" xfId="7" applyFont="1" applyFill="1" applyBorder="1" applyAlignment="1">
      <alignment vertical="top"/>
    </xf>
    <xf numFmtId="168" fontId="55" fillId="4" borderId="9" xfId="0" applyNumberFormat="1" applyFont="1" applyFill="1" applyBorder="1" applyAlignment="1">
      <alignment horizontal="center"/>
    </xf>
    <xf numFmtId="168" fontId="55" fillId="4" borderId="11" xfId="0" applyNumberFormat="1" applyFont="1" applyFill="1" applyBorder="1" applyAlignment="1">
      <alignment horizontal="center"/>
    </xf>
    <xf numFmtId="168" fontId="55" fillId="4" borderId="8" xfId="0" applyNumberFormat="1" applyFont="1" applyFill="1" applyBorder="1" applyAlignment="1">
      <alignment horizontal="center"/>
    </xf>
    <xf numFmtId="0" fontId="55" fillId="4" borderId="1" xfId="0" applyFont="1" applyFill="1" applyBorder="1" applyAlignment="1">
      <alignment horizontal="center"/>
    </xf>
    <xf numFmtId="0" fontId="55" fillId="4" borderId="2" xfId="0" applyFont="1" applyFill="1" applyBorder="1" applyAlignment="1">
      <alignment horizontal="center"/>
    </xf>
    <xf numFmtId="0" fontId="55" fillId="4" borderId="4" xfId="0" applyFont="1" applyFill="1" applyBorder="1" applyAlignment="1">
      <alignment horizontal="center"/>
    </xf>
    <xf numFmtId="0" fontId="55" fillId="4" borderId="9" xfId="0" applyFont="1" applyFill="1" applyBorder="1" applyAlignment="1">
      <alignment horizontal="center"/>
    </xf>
    <xf numFmtId="0" fontId="55" fillId="4" borderId="11" xfId="0" applyFont="1" applyFill="1" applyBorder="1" applyAlignment="1">
      <alignment horizontal="center"/>
    </xf>
    <xf numFmtId="0" fontId="55" fillId="4" borderId="8" xfId="0" applyFont="1" applyFill="1" applyBorder="1" applyAlignment="1">
      <alignment horizontal="center"/>
    </xf>
    <xf numFmtId="10" fontId="52" fillId="4" borderId="9" xfId="2" applyNumberFormat="1" applyFont="1" applyFill="1" applyBorder="1" applyAlignment="1">
      <alignment horizontal="left" vertical="top"/>
    </xf>
    <xf numFmtId="10" fontId="52" fillId="4" borderId="8" xfId="2" applyNumberFormat="1" applyFont="1" applyFill="1" applyBorder="1" applyAlignment="1">
      <alignment horizontal="left" vertical="top"/>
    </xf>
    <xf numFmtId="0" fontId="54" fillId="4" borderId="9" xfId="0" applyFont="1" applyFill="1" applyBorder="1" applyAlignment="1">
      <alignment horizontal="left" vertical="center"/>
    </xf>
    <xf numFmtId="0" fontId="54" fillId="4" borderId="11" xfId="0" applyFont="1" applyFill="1" applyBorder="1" applyAlignment="1">
      <alignment horizontal="left" vertical="center"/>
    </xf>
    <xf numFmtId="0" fontId="54" fillId="4" borderId="8" xfId="0" applyFont="1" applyFill="1" applyBorder="1" applyAlignment="1">
      <alignment horizontal="left" vertical="center"/>
    </xf>
    <xf numFmtId="0" fontId="52" fillId="4" borderId="1" xfId="0" quotePrefix="1" applyFont="1" applyFill="1" applyBorder="1" applyAlignment="1">
      <alignment horizontal="left" vertical="top"/>
    </xf>
    <xf numFmtId="179" fontId="52" fillId="4" borderId="9" xfId="2" applyNumberFormat="1" applyFont="1" applyFill="1" applyBorder="1" applyAlignment="1">
      <alignment horizontal="left" vertical="top"/>
    </xf>
    <xf numFmtId="179" fontId="52" fillId="4" borderId="8" xfId="2" applyNumberFormat="1" applyFont="1" applyFill="1" applyBorder="1" applyAlignment="1">
      <alignment horizontal="left" vertical="top"/>
    </xf>
    <xf numFmtId="2" fontId="52" fillId="4" borderId="1" xfId="0" applyNumberFormat="1" applyFont="1" applyFill="1" applyBorder="1" applyAlignment="1">
      <alignment horizontal="left" vertical="center"/>
    </xf>
    <xf numFmtId="3" fontId="52" fillId="4" borderId="9" xfId="4" applyNumberFormat="1" applyFont="1" applyFill="1" applyBorder="1" applyAlignment="1">
      <alignment horizontal="left"/>
    </xf>
    <xf numFmtId="3" fontId="52" fillId="4" borderId="8" xfId="4" applyNumberFormat="1" applyFont="1" applyFill="1" applyBorder="1" applyAlignment="1">
      <alignment horizontal="left"/>
    </xf>
    <xf numFmtId="0" fontId="52" fillId="4" borderId="0" xfId="0" applyFont="1" applyFill="1" applyAlignment="1">
      <alignment horizontal="left" vertical="top" wrapText="1"/>
    </xf>
    <xf numFmtId="0" fontId="52" fillId="4" borderId="2" xfId="0" applyFont="1" applyFill="1" applyBorder="1" applyAlignment="1">
      <alignment horizontal="left" vertical="top" wrapText="1"/>
    </xf>
    <xf numFmtId="0" fontId="52" fillId="4" borderId="4" xfId="0" applyFont="1" applyFill="1" applyBorder="1" applyAlignment="1">
      <alignment horizontal="left" vertical="top" wrapText="1"/>
    </xf>
    <xf numFmtId="0" fontId="52" fillId="4" borderId="5" xfId="0" applyFont="1" applyFill="1" applyBorder="1" applyAlignment="1">
      <alignment horizontal="left" vertical="top" wrapText="1"/>
    </xf>
    <xf numFmtId="0" fontId="52" fillId="4" borderId="7" xfId="0" applyFont="1" applyFill="1" applyBorder="1" applyAlignment="1">
      <alignment horizontal="left" vertical="top" wrapText="1"/>
    </xf>
    <xf numFmtId="0" fontId="52" fillId="4" borderId="9" xfId="0" applyFont="1" applyFill="1" applyBorder="1" applyAlignment="1">
      <alignment horizontal="left" vertical="top" wrapText="1"/>
    </xf>
    <xf numFmtId="0" fontId="52" fillId="4" borderId="8" xfId="0" applyFont="1" applyFill="1" applyBorder="1" applyAlignment="1">
      <alignment horizontal="left" vertical="top" wrapText="1"/>
    </xf>
    <xf numFmtId="0" fontId="52" fillId="4" borderId="1" xfId="0" applyFont="1" applyFill="1" applyBorder="1" applyAlignment="1">
      <alignment horizontal="left" vertical="center"/>
    </xf>
    <xf numFmtId="0" fontId="55" fillId="4" borderId="0" xfId="0" applyFont="1" applyFill="1" applyAlignment="1">
      <alignment horizontal="left" vertical="top" wrapText="1"/>
    </xf>
    <xf numFmtId="0" fontId="76" fillId="0" borderId="0" xfId="0" applyFont="1" applyAlignment="1">
      <alignment horizontal="center"/>
    </xf>
    <xf numFmtId="0" fontId="67" fillId="0" borderId="0" xfId="0" applyFont="1" applyAlignment="1">
      <alignment horizontal="center"/>
    </xf>
    <xf numFmtId="0" fontId="13" fillId="0" borderId="0" xfId="0" applyFont="1" applyAlignment="1">
      <alignment horizontal="center"/>
    </xf>
    <xf numFmtId="0" fontId="3" fillId="2" borderId="5" xfId="0" applyFont="1" applyFill="1" applyBorder="1" applyAlignment="1">
      <alignment wrapText="1"/>
    </xf>
    <xf numFmtId="0" fontId="0" fillId="0" borderId="6" xfId="0" applyBorder="1" applyAlignment="1">
      <alignment wrapText="1"/>
    </xf>
    <xf numFmtId="0" fontId="0" fillId="0" borderId="7" xfId="0" applyBorder="1" applyAlignment="1">
      <alignment wrapText="1"/>
    </xf>
    <xf numFmtId="0" fontId="13" fillId="10" borderId="0" xfId="0" applyFont="1" applyFill="1" applyAlignment="1">
      <alignment horizontal="center"/>
    </xf>
    <xf numFmtId="0" fontId="13" fillId="9" borderId="0" xfId="0" applyFont="1" applyFill="1" applyAlignment="1">
      <alignment horizontal="center"/>
    </xf>
    <xf numFmtId="0" fontId="13" fillId="8" borderId="0" xfId="0" applyFont="1" applyFill="1" applyAlignment="1">
      <alignment horizontal="center"/>
    </xf>
    <xf numFmtId="0" fontId="3" fillId="16" borderId="9" xfId="0" applyFont="1" applyFill="1" applyBorder="1" applyAlignment="1">
      <alignment horizontal="left" vertical="center"/>
    </xf>
    <xf numFmtId="0" fontId="3" fillId="16" borderId="8" xfId="0" applyFont="1" applyFill="1" applyBorder="1" applyAlignment="1">
      <alignment horizontal="left" vertical="center"/>
    </xf>
    <xf numFmtId="10" fontId="3" fillId="15" borderId="9" xfId="0" applyNumberFormat="1" applyFont="1" applyFill="1" applyBorder="1" applyAlignment="1">
      <alignment horizontal="left" vertical="top"/>
    </xf>
    <xf numFmtId="0" fontId="3" fillId="15" borderId="8" xfId="0" applyFont="1" applyFill="1" applyBorder="1" applyAlignment="1">
      <alignment horizontal="left" vertical="top"/>
    </xf>
    <xf numFmtId="181" fontId="37" fillId="15" borderId="9" xfId="0" applyNumberFormat="1" applyFont="1" applyFill="1" applyBorder="1" applyAlignment="1">
      <alignment horizontal="right"/>
    </xf>
    <xf numFmtId="181" fontId="37" fillId="15" borderId="8" xfId="0" applyNumberFormat="1" applyFont="1" applyFill="1" applyBorder="1" applyAlignment="1">
      <alignment horizontal="right"/>
    </xf>
    <xf numFmtId="170" fontId="3" fillId="15" borderId="9" xfId="0" applyNumberFormat="1" applyFont="1" applyFill="1" applyBorder="1" applyAlignment="1">
      <alignment horizontal="left" vertical="top"/>
    </xf>
    <xf numFmtId="170" fontId="3" fillId="15" borderId="8" xfId="0" applyNumberFormat="1" applyFont="1" applyFill="1" applyBorder="1" applyAlignment="1">
      <alignment horizontal="left" vertical="top"/>
    </xf>
    <xf numFmtId="0" fontId="3" fillId="16" borderId="9" xfId="0" applyFont="1" applyFill="1" applyBorder="1" applyAlignment="1">
      <alignment horizontal="left"/>
    </xf>
    <xf numFmtId="0" fontId="3" fillId="16" borderId="8" xfId="0" applyFont="1" applyFill="1" applyBorder="1" applyAlignment="1">
      <alignment horizontal="left"/>
    </xf>
    <xf numFmtId="0" fontId="37" fillId="16" borderId="0" xfId="0" applyFont="1" applyFill="1"/>
    <xf numFmtId="0" fontId="39" fillId="0" borderId="3" xfId="0" applyFont="1" applyBorder="1" applyAlignment="1">
      <alignment horizontal="left" vertical="top" wrapText="1"/>
    </xf>
    <xf numFmtId="0" fontId="39" fillId="0" borderId="4" xfId="0" applyFont="1" applyBorder="1" applyAlignment="1">
      <alignment horizontal="left" vertical="top" wrapText="1"/>
    </xf>
    <xf numFmtId="0" fontId="39" fillId="0" borderId="0" xfId="0" applyFont="1" applyAlignment="1">
      <alignment horizontal="left" vertical="top" wrapText="1"/>
    </xf>
    <xf numFmtId="0" fontId="39" fillId="0" borderId="15" xfId="0" applyFont="1" applyBorder="1" applyAlignment="1">
      <alignment horizontal="left" vertical="top" wrapText="1"/>
    </xf>
    <xf numFmtId="0" fontId="39" fillId="0" borderId="6" xfId="0" applyFont="1" applyBorder="1" applyAlignment="1">
      <alignment horizontal="left" vertical="top" wrapText="1"/>
    </xf>
    <xf numFmtId="0" fontId="39" fillId="0" borderId="7" xfId="0" applyFont="1" applyBorder="1" applyAlignment="1">
      <alignment horizontal="left" vertical="top" wrapText="1"/>
    </xf>
    <xf numFmtId="0" fontId="3" fillId="16" borderId="2" xfId="0" applyFont="1" applyFill="1" applyBorder="1" applyAlignment="1">
      <alignment horizontal="left" vertical="top"/>
    </xf>
    <xf numFmtId="0" fontId="3" fillId="16" borderId="3" xfId="0" applyFont="1" applyFill="1" applyBorder="1" applyAlignment="1">
      <alignment horizontal="left" vertical="top"/>
    </xf>
    <xf numFmtId="0" fontId="3" fillId="16" borderId="5" xfId="0" applyFont="1" applyFill="1" applyBorder="1" applyAlignment="1">
      <alignment horizontal="left" vertical="center"/>
    </xf>
    <xf numFmtId="0" fontId="3" fillId="16" borderId="7" xfId="0" applyFont="1" applyFill="1" applyBorder="1" applyAlignment="1">
      <alignment horizontal="left" vertical="center"/>
    </xf>
    <xf numFmtId="0" fontId="3" fillId="15" borderId="5" xfId="0" applyFont="1" applyFill="1" applyBorder="1" applyAlignment="1">
      <alignment horizontal="left" vertical="top"/>
    </xf>
    <xf numFmtId="0" fontId="3" fillId="15" borderId="7" xfId="0" applyFont="1" applyFill="1" applyBorder="1" applyAlignment="1">
      <alignment horizontal="left" vertical="top"/>
    </xf>
    <xf numFmtId="0" fontId="3" fillId="15" borderId="9" xfId="0" applyFont="1" applyFill="1" applyBorder="1" applyAlignment="1">
      <alignment horizontal="left" vertical="top"/>
    </xf>
    <xf numFmtId="0" fontId="3" fillId="16" borderId="10" xfId="0" applyFont="1" applyFill="1" applyBorder="1" applyAlignment="1">
      <alignment horizontal="left" vertical="top" wrapText="1"/>
    </xf>
    <xf numFmtId="0" fontId="3" fillId="16" borderId="15" xfId="0" applyFont="1" applyFill="1" applyBorder="1" applyAlignment="1">
      <alignment horizontal="left" vertical="top" wrapText="1"/>
    </xf>
    <xf numFmtId="0" fontId="3" fillId="16" borderId="5" xfId="0" applyFont="1" applyFill="1" applyBorder="1" applyAlignment="1">
      <alignment horizontal="left" vertical="top" wrapText="1"/>
    </xf>
    <xf numFmtId="0" fontId="3" fillId="16" borderId="7" xfId="0" applyFont="1" applyFill="1" applyBorder="1" applyAlignment="1">
      <alignment horizontal="left" vertical="top" wrapText="1"/>
    </xf>
    <xf numFmtId="0" fontId="3" fillId="16" borderId="2" xfId="0" applyFont="1" applyFill="1" applyBorder="1" applyAlignment="1">
      <alignment horizontal="left" vertical="center"/>
    </xf>
    <xf numFmtId="0" fontId="3" fillId="16" borderId="4" xfId="0" applyFont="1" applyFill="1" applyBorder="1" applyAlignment="1">
      <alignment horizontal="left" vertical="center"/>
    </xf>
    <xf numFmtId="0" fontId="3" fillId="16" borderId="2" xfId="0" applyFont="1" applyFill="1" applyBorder="1" applyAlignment="1">
      <alignment horizontal="left" vertical="top" wrapText="1"/>
    </xf>
    <xf numFmtId="0" fontId="3" fillId="16" borderId="4" xfId="0" applyFont="1" applyFill="1" applyBorder="1" applyAlignment="1">
      <alignment horizontal="left" vertical="top" wrapText="1"/>
    </xf>
    <xf numFmtId="0" fontId="3" fillId="15" borderId="9" xfId="0" applyFont="1" applyFill="1" applyBorder="1" applyAlignment="1">
      <alignment horizontal="left" wrapText="1"/>
    </xf>
    <xf numFmtId="0" fontId="3" fillId="15" borderId="8" xfId="0" applyFont="1" applyFill="1" applyBorder="1" applyAlignment="1">
      <alignment horizontal="left" wrapText="1"/>
    </xf>
    <xf numFmtId="0" fontId="3" fillId="16" borderId="2" xfId="0" applyFont="1" applyFill="1" applyBorder="1" applyAlignment="1">
      <alignment vertical="center"/>
    </xf>
    <xf numFmtId="0" fontId="3" fillId="16" borderId="4" xfId="0" applyFont="1" applyFill="1" applyBorder="1" applyAlignment="1">
      <alignment vertical="center"/>
    </xf>
    <xf numFmtId="0" fontId="3" fillId="16" borderId="9" xfId="0" applyFont="1" applyFill="1" applyBorder="1" applyAlignment="1">
      <alignment horizontal="left" vertical="top"/>
    </xf>
    <xf numFmtId="0" fontId="3" fillId="16" borderId="8" xfId="0" applyFont="1" applyFill="1" applyBorder="1" applyAlignment="1">
      <alignment horizontal="left" vertical="top"/>
    </xf>
    <xf numFmtId="0" fontId="3" fillId="16" borderId="9" xfId="0" applyFont="1" applyFill="1" applyBorder="1" applyAlignment="1">
      <alignment horizontal="left" vertical="top" wrapText="1"/>
    </xf>
    <xf numFmtId="0" fontId="3" fillId="16" borderId="8" xfId="0" applyFont="1" applyFill="1" applyBorder="1" applyAlignment="1">
      <alignment horizontal="left" vertical="top" wrapText="1"/>
    </xf>
    <xf numFmtId="0" fontId="3" fillId="16" borderId="0" xfId="0" applyFont="1" applyFill="1" applyAlignment="1">
      <alignment wrapText="1"/>
    </xf>
    <xf numFmtId="0" fontId="3" fillId="16" borderId="11" xfId="0" applyFont="1" applyFill="1" applyBorder="1" applyAlignment="1">
      <alignment horizontal="left" vertical="top" wrapText="1"/>
    </xf>
    <xf numFmtId="0" fontId="3" fillId="16" borderId="10" xfId="0" applyFont="1" applyFill="1" applyBorder="1" applyAlignment="1">
      <alignment horizontal="left" vertical="top"/>
    </xf>
    <xf numFmtId="0" fontId="3" fillId="16" borderId="0" xfId="0" applyFont="1" applyFill="1" applyAlignment="1">
      <alignment horizontal="left" vertical="top"/>
    </xf>
    <xf numFmtId="0" fontId="3" fillId="16" borderId="5" xfId="0" applyFont="1" applyFill="1" applyBorder="1" applyAlignment="1">
      <alignment horizontal="left" vertical="top"/>
    </xf>
    <xf numFmtId="0" fontId="3" fillId="16" borderId="6" xfId="0" applyFont="1" applyFill="1" applyBorder="1" applyAlignment="1">
      <alignment horizontal="left" vertical="top"/>
    </xf>
    <xf numFmtId="0" fontId="3" fillId="16" borderId="3" xfId="0" applyFont="1" applyFill="1" applyBorder="1" applyAlignment="1">
      <alignment horizontal="left" vertical="center"/>
    </xf>
    <xf numFmtId="0" fontId="40" fillId="0" borderId="17" xfId="0" applyFont="1" applyBorder="1" applyAlignment="1">
      <alignment horizontal="center" wrapText="1"/>
    </xf>
    <xf numFmtId="0" fontId="15" fillId="0" borderId="18" xfId="0" applyFont="1" applyBorder="1" applyAlignment="1">
      <alignment horizontal="center" wrapText="1"/>
    </xf>
    <xf numFmtId="175" fontId="15" fillId="0" borderId="0" xfId="4" applyNumberFormat="1" applyFont="1" applyAlignment="1">
      <alignment horizontal="center" wrapText="1"/>
    </xf>
    <xf numFmtId="175" fontId="0" fillId="0" borderId="0" xfId="4" applyNumberFormat="1" applyFont="1" applyAlignment="1">
      <alignment horizontal="center" wrapText="1"/>
    </xf>
    <xf numFmtId="0" fontId="15" fillId="0" borderId="19" xfId="0" applyFont="1" applyBorder="1" applyAlignment="1">
      <alignment horizontal="center" wrapText="1"/>
    </xf>
    <xf numFmtId="0" fontId="3" fillId="2" borderId="9" xfId="0" quotePrefix="1" applyFont="1" applyFill="1" applyBorder="1" applyAlignment="1">
      <alignment horizontal="center" vertical="top"/>
    </xf>
    <xf numFmtId="0" fontId="3" fillId="2" borderId="11" xfId="0" quotePrefix="1" applyFont="1" applyFill="1" applyBorder="1" applyAlignment="1">
      <alignment horizontal="center" vertical="top"/>
    </xf>
    <xf numFmtId="0" fontId="3" fillId="2" borderId="8" xfId="0" quotePrefix="1" applyFont="1" applyFill="1" applyBorder="1" applyAlignment="1">
      <alignment horizontal="center" vertical="top"/>
    </xf>
    <xf numFmtId="179" fontId="3" fillId="2" borderId="9" xfId="2" applyNumberFormat="1" applyFont="1" applyFill="1" applyBorder="1" applyAlignment="1">
      <alignment horizontal="left" vertical="top"/>
    </xf>
    <xf numFmtId="179" fontId="3" fillId="2" borderId="11" xfId="2" applyNumberFormat="1" applyFont="1" applyFill="1" applyBorder="1" applyAlignment="1">
      <alignment horizontal="left" vertical="top"/>
    </xf>
    <xf numFmtId="179" fontId="3" fillId="2" borderId="8" xfId="2" applyNumberFormat="1" applyFont="1" applyFill="1" applyBorder="1" applyAlignment="1">
      <alignment horizontal="left" vertical="top"/>
    </xf>
    <xf numFmtId="10" fontId="3" fillId="2" borderId="9" xfId="2" applyNumberFormat="1" applyFont="1" applyFill="1" applyBorder="1" applyAlignment="1">
      <alignment horizontal="left" vertical="top" wrapText="1"/>
    </xf>
    <xf numFmtId="10" fontId="3" fillId="2" borderId="11" xfId="2" applyNumberFormat="1" applyFont="1" applyFill="1" applyBorder="1" applyAlignment="1">
      <alignment horizontal="left" vertical="top" wrapText="1"/>
    </xf>
    <xf numFmtId="10" fontId="3" fillId="2" borderId="8" xfId="2" applyNumberFormat="1" applyFont="1" applyFill="1" applyBorder="1" applyAlignment="1">
      <alignment horizontal="left" vertical="top" wrapText="1"/>
    </xf>
    <xf numFmtId="0" fontId="80" fillId="0" borderId="0" xfId="0" applyFont="1" applyAlignment="1">
      <alignment horizontal="left"/>
    </xf>
    <xf numFmtId="0" fontId="6" fillId="2" borderId="9" xfId="0" applyFont="1" applyFill="1" applyBorder="1" applyAlignment="1">
      <alignment horizontal="left" wrapText="1"/>
    </xf>
    <xf numFmtId="0" fontId="6" fillId="2" borderId="11" xfId="0" applyFont="1" applyFill="1" applyBorder="1" applyAlignment="1">
      <alignment horizontal="left" wrapText="1"/>
    </xf>
    <xf numFmtId="0" fontId="6" fillId="2" borderId="8" xfId="0" applyFont="1" applyFill="1" applyBorder="1" applyAlignment="1">
      <alignment horizontal="left" wrapText="1"/>
    </xf>
    <xf numFmtId="0" fontId="6" fillId="2" borderId="0" xfId="0" applyFont="1" applyFill="1" applyAlignment="1">
      <alignment horizontal="left" wrapText="1"/>
    </xf>
    <xf numFmtId="10" fontId="3" fillId="2" borderId="9" xfId="2" applyNumberFormat="1" applyFont="1" applyFill="1" applyBorder="1" applyAlignment="1">
      <alignment horizontal="left" vertical="top"/>
    </xf>
    <xf numFmtId="10" fontId="3" fillId="2" borderId="11" xfId="2" applyNumberFormat="1" applyFont="1" applyFill="1" applyBorder="1" applyAlignment="1">
      <alignment horizontal="left" vertical="top"/>
    </xf>
    <xf numFmtId="10" fontId="3" fillId="2" borderId="8" xfId="2" applyNumberFormat="1" applyFont="1" applyFill="1" applyBorder="1" applyAlignment="1">
      <alignment horizontal="left" vertical="top"/>
    </xf>
    <xf numFmtId="0" fontId="3" fillId="2" borderId="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0" borderId="9" xfId="0" applyFont="1" applyBorder="1" applyAlignment="1">
      <alignment horizontal="left"/>
    </xf>
    <xf numFmtId="0" fontId="3" fillId="0" borderId="8" xfId="0" applyFont="1" applyBorder="1" applyAlignment="1">
      <alignment horizontal="left"/>
    </xf>
    <xf numFmtId="0" fontId="3" fillId="0" borderId="1" xfId="0" applyFont="1" applyBorder="1" applyAlignment="1">
      <alignment horizontal="left" wrapText="1"/>
    </xf>
    <xf numFmtId="0" fontId="3" fillId="0" borderId="9" xfId="0" applyFont="1" applyBorder="1" applyAlignment="1">
      <alignment wrapText="1"/>
    </xf>
    <xf numFmtId="0" fontId="3" fillId="0" borderId="11" xfId="0" applyFont="1" applyBorder="1" applyAlignment="1">
      <alignment wrapText="1"/>
    </xf>
    <xf numFmtId="0" fontId="3" fillId="0" borderId="8" xfId="0" applyFont="1" applyBorder="1" applyAlignment="1">
      <alignment wrapText="1"/>
    </xf>
    <xf numFmtId="0" fontId="3" fillId="0" borderId="1" xfId="0" quotePrefix="1" applyFont="1" applyBorder="1" applyAlignment="1">
      <alignment horizontal="left" vertical="top"/>
    </xf>
    <xf numFmtId="10" fontId="3" fillId="0" borderId="1" xfId="13" applyNumberFormat="1" applyFont="1" applyFill="1" applyBorder="1" applyAlignment="1">
      <alignment horizontal="left" vertical="top"/>
    </xf>
    <xf numFmtId="0" fontId="6" fillId="0" borderId="1" xfId="0" applyFont="1" applyBorder="1" applyAlignment="1">
      <alignment horizontal="left" vertical="center"/>
    </xf>
    <xf numFmtId="0" fontId="3" fillId="0" borderId="2" xfId="0" applyFont="1" applyBorder="1" applyAlignment="1">
      <alignment horizontal="left" vertical="top"/>
    </xf>
    <xf numFmtId="0" fontId="3" fillId="0" borderId="4" xfId="0" applyFont="1" applyBorder="1" applyAlignment="1">
      <alignment horizontal="left" vertical="top"/>
    </xf>
    <xf numFmtId="0" fontId="3" fillId="0" borderId="10" xfId="0" applyFont="1" applyBorder="1" applyAlignment="1">
      <alignment horizontal="left" vertical="top"/>
    </xf>
    <xf numFmtId="0" fontId="3" fillId="0" borderId="15" xfId="0" applyFont="1" applyBorder="1" applyAlignment="1">
      <alignment horizontal="left" vertical="top"/>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10" fontId="3" fillId="0" borderId="9" xfId="13" applyNumberFormat="1" applyFont="1" applyFill="1" applyBorder="1" applyAlignment="1">
      <alignment horizontal="left" vertical="top"/>
    </xf>
    <xf numFmtId="10" fontId="3" fillId="0" borderId="8" xfId="13" applyNumberFormat="1" applyFont="1" applyFill="1" applyBorder="1" applyAlignment="1">
      <alignment horizontal="left" vertical="top"/>
    </xf>
    <xf numFmtId="10" fontId="3" fillId="0" borderId="9" xfId="13" applyNumberFormat="1" applyFont="1" applyFill="1" applyBorder="1" applyAlignment="1">
      <alignment horizontal="left" vertical="top"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6" fillId="0" borderId="6" xfId="0" applyFont="1" applyBorder="1" applyAlignment="1">
      <alignment horizontal="left" wrapText="1"/>
    </xf>
    <xf numFmtId="0" fontId="6" fillId="0" borderId="7" xfId="0" applyFont="1" applyBorder="1" applyAlignment="1">
      <alignment horizontal="left" wrapText="1"/>
    </xf>
    <xf numFmtId="179" fontId="3" fillId="0" borderId="1" xfId="13" applyNumberFormat="1" applyFont="1" applyFill="1" applyBorder="1" applyAlignment="1">
      <alignment horizontal="left" vertical="top"/>
    </xf>
    <xf numFmtId="10" fontId="3" fillId="2" borderId="1" xfId="13" applyNumberFormat="1" applyFont="1" applyFill="1" applyBorder="1" applyAlignment="1">
      <alignment horizontal="left" vertical="top"/>
    </xf>
    <xf numFmtId="0" fontId="3" fillId="2" borderId="1" xfId="0" applyFont="1" applyFill="1" applyBorder="1" applyAlignment="1">
      <alignment horizontal="left" wrapText="1"/>
    </xf>
    <xf numFmtId="0" fontId="3" fillId="2" borderId="9" xfId="0" applyFont="1" applyFill="1" applyBorder="1" applyAlignment="1">
      <alignment wrapText="1"/>
    </xf>
    <xf numFmtId="0" fontId="3" fillId="2" borderId="11" xfId="0" applyFont="1" applyFill="1" applyBorder="1" applyAlignment="1">
      <alignment wrapText="1"/>
    </xf>
    <xf numFmtId="0" fontId="3" fillId="2" borderId="8" xfId="0" applyFont="1" applyFill="1" applyBorder="1" applyAlignment="1">
      <alignment wrapText="1"/>
    </xf>
    <xf numFmtId="10" fontId="3" fillId="2" borderId="9" xfId="13" applyNumberFormat="1" applyFont="1" applyFill="1" applyBorder="1" applyAlignment="1">
      <alignment horizontal="left" vertical="top"/>
    </xf>
    <xf numFmtId="10" fontId="3" fillId="2" borderId="8" xfId="13" applyNumberFormat="1" applyFont="1" applyFill="1" applyBorder="1" applyAlignment="1">
      <alignment horizontal="left" vertical="top"/>
    </xf>
    <xf numFmtId="10" fontId="3" fillId="2" borderId="9" xfId="13" applyNumberFormat="1" applyFont="1" applyFill="1" applyBorder="1" applyAlignment="1">
      <alignment horizontal="left" vertical="top" wrapText="1"/>
    </xf>
    <xf numFmtId="0" fontId="102" fillId="0" borderId="17" xfId="0" applyFont="1" applyBorder="1" applyAlignment="1">
      <alignment horizontal="center" vertical="center" wrapText="1"/>
    </xf>
    <xf numFmtId="0" fontId="102" fillId="0" borderId="19" xfId="0" applyFont="1" applyBorder="1" applyAlignment="1">
      <alignment horizontal="center" vertical="center" wrapText="1"/>
    </xf>
    <xf numFmtId="0" fontId="102" fillId="0" borderId="18" xfId="0" applyFont="1" applyBorder="1" applyAlignment="1">
      <alignment horizontal="center" vertical="center" wrapText="1"/>
    </xf>
    <xf numFmtId="0" fontId="102" fillId="0" borderId="17" xfId="0" applyFont="1" applyBorder="1" applyAlignment="1">
      <alignment vertical="center" wrapText="1"/>
    </xf>
    <xf numFmtId="0" fontId="102" fillId="0" borderId="19" xfId="0" applyFont="1" applyBorder="1" applyAlignment="1">
      <alignment vertical="center" wrapText="1"/>
    </xf>
    <xf numFmtId="0" fontId="102" fillId="0" borderId="18" xfId="0" applyFont="1" applyBorder="1" applyAlignment="1">
      <alignment vertical="center" wrapText="1"/>
    </xf>
    <xf numFmtId="0" fontId="102" fillId="0" borderId="22" xfId="0" applyFont="1" applyBorder="1" applyAlignment="1">
      <alignment vertical="center" wrapText="1"/>
    </xf>
    <xf numFmtId="0" fontId="102" fillId="0" borderId="21" xfId="0" applyFont="1" applyBorder="1" applyAlignment="1">
      <alignment vertical="center" wrapText="1"/>
    </xf>
    <xf numFmtId="0" fontId="102" fillId="0" borderId="20" xfId="0" applyFont="1" applyBorder="1" applyAlignment="1">
      <alignment vertical="center" wrapText="1"/>
    </xf>
    <xf numFmtId="0" fontId="102" fillId="0" borderId="30" xfId="0" applyFont="1" applyBorder="1" applyAlignment="1">
      <alignment vertical="center" wrapText="1"/>
    </xf>
    <xf numFmtId="0" fontId="102" fillId="0" borderId="23" xfId="0" applyFont="1" applyBorder="1" applyAlignment="1">
      <alignment vertical="center" wrapText="1"/>
    </xf>
    <xf numFmtId="0" fontId="102" fillId="0" borderId="26" xfId="0" applyFont="1" applyBorder="1" applyAlignment="1">
      <alignment vertical="center" wrapText="1"/>
    </xf>
    <xf numFmtId="0" fontId="102" fillId="0" borderId="25" xfId="0" applyFont="1" applyBorder="1" applyAlignment="1">
      <alignment vertical="center" wrapText="1"/>
    </xf>
    <xf numFmtId="0" fontId="102" fillId="0" borderId="24" xfId="0" applyFont="1" applyBorder="1" applyAlignment="1">
      <alignment vertical="center" wrapText="1"/>
    </xf>
    <xf numFmtId="179" fontId="3" fillId="2" borderId="1" xfId="13" applyNumberFormat="1" applyFont="1" applyFill="1" applyBorder="1" applyAlignment="1">
      <alignment horizontal="left" vertical="top"/>
    </xf>
    <xf numFmtId="0" fontId="102" fillId="0" borderId="29" xfId="0" applyFont="1" applyBorder="1" applyAlignment="1">
      <alignment vertical="center" wrapText="1"/>
    </xf>
    <xf numFmtId="0" fontId="102" fillId="0" borderId="28" xfId="0" applyFont="1" applyBorder="1" applyAlignment="1">
      <alignment vertical="center" wrapText="1"/>
    </xf>
    <xf numFmtId="0" fontId="102" fillId="0" borderId="0" xfId="0" applyFont="1" applyAlignment="1">
      <alignment vertical="center" wrapText="1"/>
    </xf>
    <xf numFmtId="0" fontId="102" fillId="0" borderId="27" xfId="0" applyFont="1" applyBorder="1" applyAlignment="1">
      <alignment vertical="center" wrapText="1"/>
    </xf>
    <xf numFmtId="0" fontId="23" fillId="2" borderId="1" xfId="0" applyFont="1" applyFill="1" applyBorder="1" applyAlignment="1">
      <alignment horizontal="left" vertical="center" wrapText="1"/>
    </xf>
    <xf numFmtId="0" fontId="23" fillId="2" borderId="1" xfId="0" applyFont="1" applyFill="1" applyBorder="1" applyAlignment="1">
      <alignment horizontal="center" vertical="center" wrapText="1"/>
    </xf>
    <xf numFmtId="44" fontId="23" fillId="2" borderId="1" xfId="3" applyFont="1" applyFill="1" applyBorder="1" applyAlignment="1">
      <alignment horizontal="center"/>
    </xf>
    <xf numFmtId="0" fontId="23" fillId="2" borderId="1" xfId="0" applyFont="1" applyFill="1" applyBorder="1" applyAlignment="1">
      <alignment horizontal="left"/>
    </xf>
    <xf numFmtId="0" fontId="28" fillId="2" borderId="1" xfId="0" applyFont="1" applyFill="1" applyBorder="1" applyAlignment="1">
      <alignment horizontal="left" vertical="center" wrapText="1"/>
    </xf>
    <xf numFmtId="0" fontId="23" fillId="2" borderId="0" xfId="0" applyFont="1" applyFill="1" applyAlignment="1">
      <alignment horizontal="left" wrapText="1"/>
    </xf>
    <xf numFmtId="0" fontId="23" fillId="2" borderId="30" xfId="0" applyFont="1" applyFill="1" applyBorder="1" applyAlignment="1">
      <alignment horizontal="center" vertical="center" wrapText="1"/>
    </xf>
    <xf numFmtId="0" fontId="23" fillId="2" borderId="23" xfId="0" applyFont="1" applyFill="1" applyBorder="1" applyAlignment="1">
      <alignment horizontal="center" vertical="center" wrapText="1"/>
    </xf>
    <xf numFmtId="168" fontId="23" fillId="2" borderId="30" xfId="0" applyNumberFormat="1" applyFont="1" applyFill="1" applyBorder="1" applyAlignment="1">
      <alignment horizontal="center" vertical="center" wrapText="1"/>
    </xf>
    <xf numFmtId="168" fontId="23" fillId="2" borderId="23" xfId="0" applyNumberFormat="1"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106" fillId="2" borderId="14"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106" fillId="2" borderId="13" xfId="0" applyFont="1" applyFill="1" applyBorder="1" applyAlignment="1">
      <alignment horizontal="left" vertical="center" wrapText="1"/>
    </xf>
    <xf numFmtId="0" fontId="23" fillId="2" borderId="12" xfId="0" applyFont="1" applyFill="1" applyBorder="1" applyAlignment="1">
      <alignment horizontal="left" vertical="center" wrapText="1"/>
    </xf>
    <xf numFmtId="6" fontId="23" fillId="2" borderId="1"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14"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9" xfId="0" applyFont="1" applyFill="1" applyBorder="1"/>
    <xf numFmtId="0" fontId="28" fillId="2" borderId="8" xfId="0" applyFont="1" applyFill="1" applyBorder="1"/>
    <xf numFmtId="0" fontId="23" fillId="2" borderId="1" xfId="0" applyFont="1" applyFill="1" applyBorder="1" applyAlignment="1">
      <alignment horizontal="left" wrapText="1"/>
    </xf>
    <xf numFmtId="0" fontId="28" fillId="2" borderId="14" xfId="0" applyFont="1" applyFill="1" applyBorder="1" applyAlignment="1">
      <alignment horizontal="left"/>
    </xf>
    <xf numFmtId="0" fontId="28" fillId="2" borderId="12" xfId="0" applyFont="1" applyFill="1" applyBorder="1" applyAlignment="1">
      <alignment horizontal="left"/>
    </xf>
    <xf numFmtId="0" fontId="28" fillId="2" borderId="14" xfId="0" applyFont="1" applyFill="1" applyBorder="1" applyAlignment="1">
      <alignment horizontal="right"/>
    </xf>
    <xf numFmtId="0" fontId="28" fillId="2" borderId="12" xfId="0" applyFont="1" applyFill="1" applyBorder="1" applyAlignment="1">
      <alignment horizontal="right"/>
    </xf>
    <xf numFmtId="0" fontId="28" fillId="2" borderId="14" xfId="0" applyFont="1" applyFill="1" applyBorder="1" applyAlignment="1">
      <alignment horizontal="right" wrapText="1"/>
    </xf>
    <xf numFmtId="0" fontId="28" fillId="2" borderId="12" xfId="0" applyFont="1" applyFill="1" applyBorder="1" applyAlignment="1">
      <alignment horizontal="right" wrapText="1"/>
    </xf>
    <xf numFmtId="0" fontId="28" fillId="2" borderId="4" xfId="0" applyFont="1" applyFill="1" applyBorder="1" applyAlignment="1">
      <alignment horizontal="right"/>
    </xf>
    <xf numFmtId="0" fontId="28" fillId="2" borderId="7" xfId="0" applyFont="1" applyFill="1" applyBorder="1" applyAlignment="1">
      <alignment horizontal="right"/>
    </xf>
    <xf numFmtId="0" fontId="4" fillId="3" borderId="0" xfId="14" applyFont="1" applyFill="1" applyAlignment="1" applyProtection="1">
      <alignment horizontal="left" vertical="top" wrapText="1"/>
      <protection locked="0"/>
    </xf>
    <xf numFmtId="0" fontId="4" fillId="3" borderId="0" xfId="14" applyFont="1" applyFill="1" applyAlignment="1">
      <alignment horizontal="left" wrapText="1"/>
    </xf>
    <xf numFmtId="0" fontId="4" fillId="3" borderId="0" xfId="14" applyFont="1" applyFill="1" applyAlignment="1">
      <alignment horizontal="left" vertical="top" wrapText="1"/>
    </xf>
    <xf numFmtId="0" fontId="4" fillId="3" borderId="30" xfId="14" applyFont="1" applyFill="1" applyBorder="1" applyAlignment="1">
      <alignment vertical="center" wrapText="1"/>
    </xf>
    <xf numFmtId="0" fontId="4" fillId="3" borderId="23" xfId="14" applyFont="1" applyFill="1" applyBorder="1" applyAlignment="1">
      <alignment vertical="center" wrapText="1"/>
    </xf>
    <xf numFmtId="0" fontId="4" fillId="3" borderId="0" xfId="14" applyFont="1" applyFill="1" applyAlignment="1">
      <alignment horizontal="left" vertical="center" wrapText="1"/>
    </xf>
    <xf numFmtId="9" fontId="4" fillId="20" borderId="1" xfId="0" applyNumberFormat="1" applyFont="1" applyFill="1" applyBorder="1" applyAlignment="1">
      <alignment horizontal="left" vertical="center" wrapText="1"/>
    </xf>
    <xf numFmtId="0" fontId="0" fillId="20" borderId="1" xfId="0" applyFill="1" applyBorder="1" applyAlignment="1">
      <alignment horizontal="left" vertical="center" wrapText="1"/>
    </xf>
    <xf numFmtId="0" fontId="4" fillId="20" borderId="1" xfId="0" applyFont="1" applyFill="1" applyBorder="1" applyAlignment="1">
      <alignment horizontal="center" vertical="center" wrapText="1"/>
    </xf>
    <xf numFmtId="0" fontId="0" fillId="20" borderId="1" xfId="0" applyFill="1" applyBorder="1" applyAlignment="1">
      <alignment horizontal="center"/>
    </xf>
    <xf numFmtId="0" fontId="4" fillId="3" borderId="0" xfId="0" applyFont="1" applyFill="1" applyAlignment="1">
      <alignment horizontal="left" vertical="top" wrapText="1"/>
    </xf>
    <xf numFmtId="0" fontId="40" fillId="3" borderId="1" xfId="0" applyFont="1" applyFill="1" applyBorder="1" applyAlignment="1">
      <alignment horizontal="center" vertical="center"/>
    </xf>
    <xf numFmtId="0" fontId="15" fillId="0" borderId="1" xfId="0" applyFont="1" applyBorder="1" applyAlignment="1">
      <alignment horizontal="center" vertical="center"/>
    </xf>
    <xf numFmtId="9" fontId="4" fillId="20" borderId="9" xfId="0" applyNumberFormat="1" applyFont="1" applyFill="1" applyBorder="1" applyAlignment="1">
      <alignment horizontal="left" vertical="center" wrapText="1"/>
    </xf>
    <xf numFmtId="0" fontId="0" fillId="20" borderId="8" xfId="0" applyFill="1" applyBorder="1" applyAlignment="1">
      <alignment horizontal="left" vertical="center" wrapText="1"/>
    </xf>
    <xf numFmtId="9" fontId="4" fillId="20" borderId="1" xfId="0" applyNumberFormat="1" applyFont="1" applyFill="1" applyBorder="1" applyAlignment="1">
      <alignment horizontal="center" vertical="center" wrapText="1"/>
    </xf>
    <xf numFmtId="6" fontId="4" fillId="20" borderId="1" xfId="0" applyNumberFormat="1" applyFont="1" applyFill="1" applyBorder="1" applyAlignment="1">
      <alignment horizontal="center" vertical="center" wrapText="1"/>
    </xf>
    <xf numFmtId="0" fontId="23" fillId="2" borderId="0" xfId="0" applyFont="1" applyFill="1" applyAlignment="1">
      <alignment vertical="top" wrapText="1"/>
    </xf>
    <xf numFmtId="0" fontId="30" fillId="2" borderId="0" xfId="0" applyFont="1" applyFill="1" applyAlignment="1">
      <alignment vertical="center" wrapText="1"/>
    </xf>
    <xf numFmtId="0" fontId="23" fillId="2" borderId="2" xfId="0" applyFont="1" applyFill="1" applyBorder="1" applyAlignment="1">
      <alignment horizontal="left" vertical="top"/>
    </xf>
    <xf numFmtId="0" fontId="23" fillId="2" borderId="4" xfId="0" applyFont="1" applyFill="1" applyBorder="1" applyAlignment="1">
      <alignment horizontal="left" vertical="top"/>
    </xf>
    <xf numFmtId="0" fontId="23" fillId="2" borderId="10" xfId="0" applyFont="1" applyFill="1" applyBorder="1" applyAlignment="1">
      <alignment horizontal="left" vertical="top"/>
    </xf>
    <xf numFmtId="0" fontId="23" fillId="2" borderId="15" xfId="0" applyFont="1" applyFill="1" applyBorder="1" applyAlignment="1">
      <alignment horizontal="left" vertical="top"/>
    </xf>
    <xf numFmtId="0" fontId="23" fillId="2" borderId="5" xfId="0" applyFont="1" applyFill="1" applyBorder="1" applyAlignment="1">
      <alignment horizontal="left" vertical="top"/>
    </xf>
    <xf numFmtId="0" fontId="23" fillId="2" borderId="7" xfId="0" applyFont="1" applyFill="1" applyBorder="1" applyAlignment="1">
      <alignment horizontal="left" vertical="top"/>
    </xf>
    <xf numFmtId="0" fontId="23" fillId="2" borderId="2" xfId="0" applyFont="1" applyFill="1" applyBorder="1" applyAlignment="1">
      <alignment wrapText="1"/>
    </xf>
    <xf numFmtId="0" fontId="23" fillId="2" borderId="3" xfId="0" applyFont="1" applyFill="1" applyBorder="1"/>
    <xf numFmtId="0" fontId="23" fillId="2" borderId="4" xfId="0" applyFont="1" applyFill="1" applyBorder="1"/>
    <xf numFmtId="0" fontId="23" fillId="2" borderId="10" xfId="0" applyFont="1" applyFill="1" applyBorder="1"/>
    <xf numFmtId="0" fontId="23" fillId="2" borderId="0" xfId="0" applyFont="1" applyFill="1"/>
    <xf numFmtId="0" fontId="23" fillId="2" borderId="15" xfId="0" applyFont="1" applyFill="1" applyBorder="1"/>
    <xf numFmtId="0" fontId="23" fillId="2" borderId="5" xfId="0" applyFont="1" applyFill="1" applyBorder="1"/>
    <xf numFmtId="0" fontId="23" fillId="2" borderId="6" xfId="0" applyFont="1" applyFill="1" applyBorder="1"/>
    <xf numFmtId="0" fontId="23" fillId="2" borderId="7" xfId="0" applyFont="1" applyFill="1" applyBorder="1"/>
    <xf numFmtId="0" fontId="23" fillId="2" borderId="14"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4" xfId="0" applyFont="1" applyFill="1" applyBorder="1" applyAlignment="1">
      <alignment horizontal="right" vertical="center" wrapText="1"/>
    </xf>
    <xf numFmtId="0" fontId="23" fillId="2" borderId="13" xfId="0" applyFont="1" applyFill="1" applyBorder="1" applyAlignment="1">
      <alignment horizontal="right" vertical="center" wrapText="1"/>
    </xf>
    <xf numFmtId="0" fontId="23" fillId="2" borderId="12" xfId="0" applyFont="1" applyFill="1" applyBorder="1" applyAlignment="1">
      <alignment horizontal="right" vertical="center" wrapText="1"/>
    </xf>
    <xf numFmtId="0" fontId="23" fillId="2" borderId="0" xfId="0" quotePrefix="1" applyFont="1" applyFill="1" applyAlignment="1">
      <alignment vertical="center" wrapText="1"/>
    </xf>
    <xf numFmtId="0" fontId="23" fillId="2" borderId="0" xfId="0" applyFont="1" applyFill="1" applyAlignment="1">
      <alignment wrapText="1"/>
    </xf>
    <xf numFmtId="0" fontId="23" fillId="2" borderId="9" xfId="0" applyFont="1" applyFill="1" applyBorder="1" applyAlignment="1">
      <alignment horizontal="left"/>
    </xf>
    <xf numFmtId="0" fontId="23" fillId="2" borderId="11" xfId="0" applyFont="1" applyFill="1" applyBorder="1" applyAlignment="1">
      <alignment horizontal="left"/>
    </xf>
    <xf numFmtId="0" fontId="23" fillId="2" borderId="8" xfId="0" applyFont="1" applyFill="1" applyBorder="1" applyAlignment="1">
      <alignment horizontal="left"/>
    </xf>
    <xf numFmtId="0" fontId="23" fillId="2" borderId="9" xfId="0" applyFont="1" applyFill="1" applyBorder="1" applyAlignment="1">
      <alignment horizontal="left" wrapText="1"/>
    </xf>
    <xf numFmtId="0" fontId="23" fillId="2" borderId="11" xfId="0" applyFont="1" applyFill="1" applyBorder="1" applyAlignment="1">
      <alignment horizontal="left" wrapText="1"/>
    </xf>
    <xf numFmtId="0" fontId="23" fillId="2" borderId="8" xfId="0" applyFont="1" applyFill="1" applyBorder="1" applyAlignment="1">
      <alignment horizontal="left" wrapText="1"/>
    </xf>
    <xf numFmtId="0" fontId="23" fillId="2" borderId="2" xfId="0" applyFont="1" applyFill="1" applyBorder="1" applyAlignment="1">
      <alignment vertical="top"/>
    </xf>
    <xf numFmtId="0" fontId="23" fillId="2" borderId="4" xfId="0" applyFont="1" applyFill="1" applyBorder="1" applyAlignment="1">
      <alignment vertical="top"/>
    </xf>
    <xf numFmtId="0" fontId="23" fillId="2" borderId="10" xfId="0" applyFont="1" applyFill="1" applyBorder="1" applyAlignment="1">
      <alignment vertical="top"/>
    </xf>
    <xf numFmtId="0" fontId="23" fillId="2" borderId="15" xfId="0" applyFont="1" applyFill="1" applyBorder="1" applyAlignment="1">
      <alignment vertical="top"/>
    </xf>
    <xf numFmtId="0" fontId="23" fillId="2" borderId="5" xfId="0" applyFont="1" applyFill="1" applyBorder="1" applyAlignment="1">
      <alignment vertical="top"/>
    </xf>
    <xf numFmtId="0" fontId="23" fillId="2" borderId="7" xfId="0" applyFont="1" applyFill="1" applyBorder="1" applyAlignment="1">
      <alignment vertical="top"/>
    </xf>
    <xf numFmtId="0" fontId="23" fillId="2" borderId="2" xfId="0" applyFont="1" applyFill="1" applyBorder="1" applyAlignment="1">
      <alignment horizontal="left" wrapText="1"/>
    </xf>
    <xf numFmtId="0" fontId="23" fillId="2" borderId="3" xfId="0" applyFont="1" applyFill="1" applyBorder="1" applyAlignment="1">
      <alignment horizontal="left" wrapText="1"/>
    </xf>
    <xf numFmtId="0" fontId="23" fillId="2" borderId="4" xfId="0" applyFont="1" applyFill="1" applyBorder="1" applyAlignment="1">
      <alignment horizontal="left" wrapText="1"/>
    </xf>
    <xf numFmtId="0" fontId="23" fillId="2" borderId="10" xfId="0" applyFont="1" applyFill="1" applyBorder="1" applyAlignment="1">
      <alignment horizontal="left" wrapText="1"/>
    </xf>
    <xf numFmtId="0" fontId="23" fillId="2" borderId="15" xfId="0" applyFont="1" applyFill="1" applyBorder="1" applyAlignment="1">
      <alignment horizontal="left" wrapText="1"/>
    </xf>
    <xf numFmtId="0" fontId="23" fillId="2" borderId="5" xfId="0" applyFont="1" applyFill="1" applyBorder="1" applyAlignment="1">
      <alignment horizontal="left" wrapText="1"/>
    </xf>
    <xf numFmtId="0" fontId="23" fillId="2" borderId="6" xfId="0" applyFont="1" applyFill="1" applyBorder="1" applyAlignment="1">
      <alignment horizontal="left" wrapText="1"/>
    </xf>
    <xf numFmtId="0" fontId="23" fillId="2" borderId="7" xfId="0" applyFont="1" applyFill="1" applyBorder="1" applyAlignment="1">
      <alignment horizontal="left"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4" fontId="3" fillId="2" borderId="1" xfId="0" applyNumberFormat="1" applyFont="1" applyFill="1" applyBorder="1" applyAlignment="1">
      <alignment horizontal="center" vertical="center"/>
    </xf>
    <xf numFmtId="3" fontId="3" fillId="2" borderId="1" xfId="0" applyNumberFormat="1" applyFont="1" applyFill="1" applyBorder="1" applyAlignment="1">
      <alignment horizontal="center" vertical="top"/>
    </xf>
    <xf numFmtId="0" fontId="3" fillId="2" borderId="1" xfId="0" applyFont="1" applyFill="1" applyBorder="1" applyAlignment="1">
      <alignment wrapText="1"/>
    </xf>
    <xf numFmtId="0" fontId="3" fillId="2" borderId="1" xfId="0" applyFont="1" applyFill="1" applyBorder="1" applyAlignment="1">
      <alignment horizontal="center" vertical="top" wrapText="1"/>
    </xf>
    <xf numFmtId="0" fontId="3" fillId="2" borderId="2" xfId="0" applyFont="1" applyFill="1" applyBorder="1" applyAlignment="1">
      <alignment vertical="top"/>
    </xf>
    <xf numFmtId="0" fontId="3" fillId="2" borderId="4" xfId="0" applyFont="1" applyFill="1" applyBorder="1" applyAlignment="1">
      <alignment vertical="top"/>
    </xf>
    <xf numFmtId="0" fontId="3" fillId="2" borderId="10" xfId="0" applyFont="1" applyFill="1" applyBorder="1" applyAlignment="1">
      <alignment vertical="top"/>
    </xf>
    <xf numFmtId="0" fontId="3" fillId="2" borderId="15" xfId="0" applyFont="1" applyFill="1" applyBorder="1" applyAlignment="1">
      <alignment vertical="top"/>
    </xf>
    <xf numFmtId="0" fontId="3" fillId="2" borderId="5" xfId="0" applyFont="1" applyFill="1" applyBorder="1" applyAlignment="1">
      <alignment vertical="top"/>
    </xf>
    <xf numFmtId="0" fontId="3" fillId="2" borderId="7" xfId="0" applyFont="1" applyFill="1" applyBorder="1" applyAlignment="1">
      <alignment vertical="top"/>
    </xf>
    <xf numFmtId="0" fontId="3" fillId="2" borderId="3"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1" xfId="0" applyFont="1" applyFill="1" applyBorder="1" applyAlignment="1">
      <alignment horizontal="left"/>
    </xf>
    <xf numFmtId="17" fontId="3" fillId="2" borderId="1" xfId="0" applyNumberFormat="1" applyFont="1" applyFill="1" applyBorder="1" applyAlignment="1">
      <alignment vertical="center"/>
    </xf>
    <xf numFmtId="0" fontId="2" fillId="2" borderId="9" xfId="0" applyFont="1" applyFill="1" applyBorder="1" applyAlignment="1">
      <alignment horizontal="center"/>
    </xf>
    <xf numFmtId="0" fontId="2" fillId="2" borderId="8" xfId="0" applyFont="1" applyFill="1" applyBorder="1" applyAlignment="1">
      <alignment horizontal="center"/>
    </xf>
    <xf numFmtId="0" fontId="3" fillId="2" borderId="14" xfId="0" applyFont="1" applyFill="1" applyBorder="1" applyAlignment="1">
      <alignment horizontal="left" vertical="top"/>
    </xf>
    <xf numFmtId="0" fontId="3" fillId="2" borderId="13" xfId="0" applyFont="1" applyFill="1" applyBorder="1" applyAlignment="1">
      <alignment horizontal="left" vertical="top"/>
    </xf>
    <xf numFmtId="0" fontId="3" fillId="2" borderId="12" xfId="0" applyFont="1" applyFill="1" applyBorder="1" applyAlignment="1">
      <alignment horizontal="left" vertical="top"/>
    </xf>
    <xf numFmtId="17" fontId="3" fillId="2" borderId="1" xfId="0" applyNumberFormat="1" applyFont="1" applyFill="1" applyBorder="1" applyAlignment="1">
      <alignment vertical="center" wrapText="1"/>
    </xf>
    <xf numFmtId="176" fontId="3" fillId="2" borderId="1" xfId="6" applyFont="1" applyFill="1" applyBorder="1" applyAlignment="1">
      <alignment horizontal="left" vertical="top"/>
    </xf>
    <xf numFmtId="0" fontId="3" fillId="2" borderId="14" xfId="0" applyFont="1" applyFill="1" applyBorder="1" applyAlignment="1">
      <alignment horizontal="center" vertical="top"/>
    </xf>
    <xf numFmtId="0" fontId="3" fillId="2" borderId="13" xfId="0" applyFont="1" applyFill="1" applyBorder="1" applyAlignment="1">
      <alignment horizontal="center" vertical="top"/>
    </xf>
    <xf numFmtId="0" fontId="3" fillId="2" borderId="12" xfId="0" applyFont="1" applyFill="1" applyBorder="1" applyAlignment="1">
      <alignment horizontal="center" vertical="top"/>
    </xf>
    <xf numFmtId="0" fontId="3" fillId="2" borderId="14" xfId="0" applyFont="1" applyFill="1" applyBorder="1" applyAlignment="1">
      <alignment horizontal="center" wrapText="1"/>
    </xf>
    <xf numFmtId="0" fontId="3" fillId="2" borderId="13" xfId="0" applyFont="1" applyFill="1" applyBorder="1" applyAlignment="1">
      <alignment horizontal="center" wrapText="1"/>
    </xf>
    <xf numFmtId="0" fontId="3" fillId="2" borderId="12" xfId="0" applyFont="1" applyFill="1" applyBorder="1" applyAlignment="1">
      <alignment horizontal="center" wrapText="1"/>
    </xf>
    <xf numFmtId="0" fontId="2" fillId="2" borderId="11" xfId="0" applyFont="1" applyFill="1" applyBorder="1" applyAlignment="1">
      <alignment horizontal="center"/>
    </xf>
    <xf numFmtId="0" fontId="23" fillId="2" borderId="0" xfId="7" applyFont="1" applyFill="1" applyAlignment="1">
      <alignment horizontal="left" vertical="center" wrapText="1"/>
    </xf>
    <xf numFmtId="0" fontId="23" fillId="2" borderId="1" xfId="7" applyFont="1" applyFill="1" applyBorder="1" applyAlignment="1">
      <alignment horizontal="left" vertical="top" wrapText="1"/>
    </xf>
    <xf numFmtId="0" fontId="24" fillId="2" borderId="2" xfId="7" applyFont="1" applyFill="1" applyBorder="1" applyAlignment="1">
      <alignment horizontal="left" wrapText="1"/>
    </xf>
    <xf numFmtId="0" fontId="24" fillId="2" borderId="3" xfId="7" applyFont="1" applyFill="1" applyBorder="1" applyAlignment="1">
      <alignment horizontal="left" wrapText="1"/>
    </xf>
    <xf numFmtId="0" fontId="24" fillId="2" borderId="4" xfId="7" applyFont="1" applyFill="1" applyBorder="1" applyAlignment="1">
      <alignment horizontal="left" wrapText="1"/>
    </xf>
    <xf numFmtId="0" fontId="24" fillId="2" borderId="5" xfId="7" applyFont="1" applyFill="1" applyBorder="1" applyAlignment="1">
      <alignment horizontal="left" wrapText="1"/>
    </xf>
    <xf numFmtId="0" fontId="24" fillId="2" borderId="6" xfId="7" applyFont="1" applyFill="1" applyBorder="1" applyAlignment="1">
      <alignment horizontal="left" wrapText="1"/>
    </xf>
    <xf numFmtId="0" fontId="24" fillId="2" borderId="7" xfId="7" applyFont="1" applyFill="1" applyBorder="1" applyAlignment="1">
      <alignment horizontal="left" wrapText="1"/>
    </xf>
    <xf numFmtId="0" fontId="23" fillId="2" borderId="9" xfId="7" applyFont="1" applyFill="1" applyBorder="1" applyAlignment="1">
      <alignment horizontal="left"/>
    </xf>
    <xf numFmtId="0" fontId="23" fillId="2" borderId="8" xfId="7" applyFont="1" applyFill="1" applyBorder="1" applyAlignment="1">
      <alignment horizontal="left"/>
    </xf>
    <xf numFmtId="0" fontId="23" fillId="2" borderId="1" xfId="7" quotePrefix="1" applyFont="1" applyFill="1" applyBorder="1" applyAlignment="1">
      <alignment horizontal="left" vertical="center" wrapText="1"/>
    </xf>
    <xf numFmtId="0" fontId="23" fillId="2" borderId="1" xfId="7" applyFont="1" applyFill="1" applyBorder="1" applyAlignment="1">
      <alignment horizontal="left" wrapText="1"/>
    </xf>
    <xf numFmtId="0" fontId="23" fillId="2" borderId="1" xfId="7" applyFont="1" applyFill="1" applyBorder="1" applyAlignment="1">
      <alignment horizontal="left"/>
    </xf>
    <xf numFmtId="0" fontId="23" fillId="2" borderId="9" xfId="7" applyFont="1" applyFill="1" applyBorder="1" applyAlignment="1">
      <alignment horizontal="left" vertical="top" wrapText="1"/>
    </xf>
    <xf numFmtId="0" fontId="23" fillId="2" borderId="8" xfId="7" applyFont="1" applyFill="1" applyBorder="1" applyAlignment="1">
      <alignment horizontal="left" vertical="top" wrapText="1"/>
    </xf>
    <xf numFmtId="0" fontId="23" fillId="2" borderId="9" xfId="7" applyFont="1" applyFill="1" applyBorder="1" applyAlignment="1">
      <alignment horizontal="left" wrapText="1"/>
    </xf>
    <xf numFmtId="0" fontId="23" fillId="2" borderId="11" xfId="7" applyFont="1" applyFill="1" applyBorder="1" applyAlignment="1">
      <alignment horizontal="left" wrapText="1"/>
    </xf>
    <xf numFmtId="0" fontId="23" fillId="2" borderId="8" xfId="7" applyFont="1" applyFill="1" applyBorder="1" applyAlignment="1">
      <alignment horizontal="left" wrapText="1"/>
    </xf>
    <xf numFmtId="0" fontId="23" fillId="2" borderId="9" xfId="7" applyFont="1" applyFill="1" applyBorder="1" applyAlignment="1">
      <alignment horizontal="left" vertical="top"/>
    </xf>
    <xf numFmtId="0" fontId="23" fillId="2" borderId="8" xfId="7" applyFont="1" applyFill="1" applyBorder="1" applyAlignment="1">
      <alignment horizontal="left" vertical="top"/>
    </xf>
    <xf numFmtId="0" fontId="23" fillId="2" borderId="11" xfId="7" applyFont="1" applyFill="1" applyBorder="1" applyAlignment="1">
      <alignment horizontal="left"/>
    </xf>
    <xf numFmtId="0" fontId="23" fillId="2" borderId="14" xfId="7" applyFont="1" applyFill="1" applyBorder="1" applyAlignment="1">
      <alignment horizontal="center" vertical="center" wrapText="1"/>
    </xf>
    <xf numFmtId="0" fontId="23" fillId="2" borderId="13" xfId="7" applyFont="1" applyFill="1" applyBorder="1" applyAlignment="1">
      <alignment horizontal="center" vertical="center" wrapText="1"/>
    </xf>
    <xf numFmtId="0" fontId="23" fillId="2" borderId="12" xfId="7" applyFont="1" applyFill="1" applyBorder="1" applyAlignment="1">
      <alignment horizontal="center" vertical="center" wrapText="1"/>
    </xf>
    <xf numFmtId="0" fontId="23" fillId="2" borderId="2" xfId="7" applyFont="1" applyFill="1" applyBorder="1" applyAlignment="1">
      <alignment horizontal="left"/>
    </xf>
    <xf numFmtId="0" fontId="23" fillId="2" borderId="4" xfId="7" applyFont="1" applyFill="1" applyBorder="1" applyAlignment="1">
      <alignment horizontal="left"/>
    </xf>
    <xf numFmtId="0" fontId="23" fillId="2" borderId="5" xfId="7" applyFont="1" applyFill="1" applyBorder="1" applyAlignment="1">
      <alignment horizontal="left"/>
    </xf>
    <xf numFmtId="0" fontId="23" fillId="2" borderId="7" xfId="7" applyFont="1" applyFill="1" applyBorder="1" applyAlignment="1">
      <alignment horizontal="left"/>
    </xf>
    <xf numFmtId="0" fontId="23" fillId="2" borderId="2" xfId="7" applyFont="1" applyFill="1" applyBorder="1" applyAlignment="1">
      <alignment horizontal="left" wrapText="1"/>
    </xf>
    <xf numFmtId="0" fontId="23" fillId="2" borderId="3" xfId="7" applyFont="1" applyFill="1" applyBorder="1" applyAlignment="1">
      <alignment horizontal="left" wrapText="1"/>
    </xf>
    <xf numFmtId="0" fontId="23" fillId="2" borderId="4" xfId="7" applyFont="1" applyFill="1" applyBorder="1" applyAlignment="1">
      <alignment horizontal="left" wrapText="1"/>
    </xf>
    <xf numFmtId="0" fontId="23" fillId="2" borderId="5" xfId="7" applyFont="1" applyFill="1" applyBorder="1" applyAlignment="1">
      <alignment horizontal="left" wrapText="1"/>
    </xf>
    <xf numFmtId="0" fontId="23" fillId="2" borderId="6" xfId="7" applyFont="1" applyFill="1" applyBorder="1" applyAlignment="1">
      <alignment horizontal="left" wrapText="1"/>
    </xf>
    <xf numFmtId="0" fontId="23" fillId="2" borderId="7" xfId="7" applyFont="1" applyFill="1" applyBorder="1" applyAlignment="1">
      <alignment horizontal="left" wrapText="1"/>
    </xf>
    <xf numFmtId="0" fontId="23" fillId="2" borderId="9" xfId="7" applyFont="1" applyFill="1" applyBorder="1"/>
    <xf numFmtId="0" fontId="23" fillId="2" borderId="11" xfId="7" applyFont="1" applyFill="1" applyBorder="1"/>
    <xf numFmtId="0" fontId="23" fillId="2" borderId="8" xfId="7" applyFont="1" applyFill="1" applyBorder="1"/>
    <xf numFmtId="0" fontId="23" fillId="2" borderId="2" xfId="7" applyFont="1" applyFill="1" applyBorder="1" applyAlignment="1">
      <alignment vertical="top"/>
    </xf>
    <xf numFmtId="0" fontId="23" fillId="2" borderId="4" xfId="7" applyFont="1" applyFill="1" applyBorder="1" applyAlignment="1">
      <alignment vertical="top"/>
    </xf>
    <xf numFmtId="0" fontId="23" fillId="2" borderId="5" xfId="7" applyFont="1" applyFill="1" applyBorder="1" applyAlignment="1">
      <alignment vertical="top"/>
    </xf>
    <xf numFmtId="0" fontId="23" fillId="2" borderId="7" xfId="7" applyFont="1" applyFill="1" applyBorder="1" applyAlignment="1">
      <alignment vertical="top"/>
    </xf>
    <xf numFmtId="10" fontId="23" fillId="2" borderId="0" xfId="2" applyNumberFormat="1" applyFont="1" applyFill="1" applyAlignment="1">
      <alignment horizontal="right"/>
    </xf>
    <xf numFmtId="0" fontId="23" fillId="2" borderId="0" xfId="0" applyFont="1" applyFill="1" applyAlignment="1">
      <alignment horizontal="center" wrapText="1"/>
    </xf>
    <xf numFmtId="167" fontId="23" fillId="2" borderId="1" xfId="3" applyNumberFormat="1" applyFont="1" applyFill="1" applyBorder="1" applyAlignment="1">
      <alignment horizontal="left" vertical="center"/>
    </xf>
    <xf numFmtId="10" fontId="23" fillId="2" borderId="1" xfId="0" applyNumberFormat="1" applyFont="1" applyFill="1" applyBorder="1" applyAlignment="1">
      <alignment horizontal="right" vertical="center"/>
    </xf>
    <xf numFmtId="0" fontId="23" fillId="2" borderId="1" xfId="0" applyFont="1" applyFill="1" applyBorder="1" applyAlignment="1">
      <alignment horizontal="right" vertical="center"/>
    </xf>
    <xf numFmtId="0" fontId="23" fillId="2" borderId="9" xfId="0" applyFont="1" applyFill="1" applyBorder="1" applyAlignment="1">
      <alignment horizontal="right"/>
    </xf>
    <xf numFmtId="0" fontId="23" fillId="2" borderId="11" xfId="0" applyFont="1" applyFill="1" applyBorder="1" applyAlignment="1">
      <alignment horizontal="right"/>
    </xf>
    <xf numFmtId="0" fontId="23" fillId="2" borderId="8" xfId="0" applyFont="1" applyFill="1" applyBorder="1" applyAlignment="1">
      <alignment horizontal="right"/>
    </xf>
    <xf numFmtId="0" fontId="23" fillId="2" borderId="1" xfId="0" applyFont="1" applyFill="1" applyBorder="1" applyAlignment="1">
      <alignment vertical="top"/>
    </xf>
    <xf numFmtId="0" fontId="23" fillId="2" borderId="3" xfId="0" applyFont="1" applyFill="1" applyBorder="1" applyAlignment="1">
      <alignment vertical="top"/>
    </xf>
    <xf numFmtId="0" fontId="23" fillId="2" borderId="6" xfId="0" applyFont="1" applyFill="1" applyBorder="1" applyAlignment="1">
      <alignment vertical="top"/>
    </xf>
    <xf numFmtId="0" fontId="23" fillId="2" borderId="3" xfId="0" applyFont="1" applyFill="1" applyBorder="1" applyAlignment="1">
      <alignment wrapText="1"/>
    </xf>
    <xf numFmtId="0" fontId="23" fillId="2" borderId="4" xfId="0" applyFont="1" applyFill="1" applyBorder="1" applyAlignment="1">
      <alignment wrapText="1"/>
    </xf>
    <xf numFmtId="0" fontId="23" fillId="2" borderId="5" xfId="0" applyFont="1" applyFill="1" applyBorder="1" applyAlignment="1">
      <alignment wrapText="1"/>
    </xf>
    <xf numFmtId="0" fontId="23" fillId="2" borderId="6" xfId="0" applyFont="1" applyFill="1" applyBorder="1" applyAlignment="1">
      <alignment wrapText="1"/>
    </xf>
    <xf numFmtId="0" fontId="23" fillId="2" borderId="7" xfId="0" applyFont="1" applyFill="1" applyBorder="1" applyAlignment="1">
      <alignment wrapText="1"/>
    </xf>
    <xf numFmtId="0" fontId="23" fillId="2" borderId="3" xfId="0" applyFont="1" applyFill="1" applyBorder="1" applyAlignment="1">
      <alignment horizontal="left" vertical="top"/>
    </xf>
    <xf numFmtId="0" fontId="23" fillId="2" borderId="6" xfId="0" applyFont="1" applyFill="1" applyBorder="1" applyAlignment="1">
      <alignment horizontal="left" vertical="top"/>
    </xf>
    <xf numFmtId="0" fontId="23" fillId="2" borderId="1" xfId="0" applyFont="1" applyFill="1" applyBorder="1" applyAlignment="1">
      <alignment vertical="top" wrapText="1"/>
    </xf>
    <xf numFmtId="0" fontId="23" fillId="2" borderId="2" xfId="0" quotePrefix="1" applyFont="1" applyFill="1" applyBorder="1"/>
    <xf numFmtId="0" fontId="23" fillId="2" borderId="3" xfId="0" quotePrefix="1" applyFont="1" applyFill="1" applyBorder="1"/>
    <xf numFmtId="0" fontId="23" fillId="2" borderId="5" xfId="0" quotePrefix="1" applyFont="1" applyFill="1" applyBorder="1"/>
    <xf numFmtId="0" fontId="23" fillId="2" borderId="6" xfId="0" quotePrefix="1" applyFont="1" applyFill="1" applyBorder="1"/>
    <xf numFmtId="0" fontId="23" fillId="2" borderId="14" xfId="0" quotePrefix="1" applyFont="1" applyFill="1" applyBorder="1" applyAlignment="1">
      <alignment vertical="top"/>
    </xf>
    <xf numFmtId="0" fontId="23" fillId="2" borderId="12" xfId="0" quotePrefix="1" applyFont="1" applyFill="1" applyBorder="1" applyAlignment="1">
      <alignment vertical="top"/>
    </xf>
    <xf numFmtId="0" fontId="23" fillId="2" borderId="14" xfId="0" applyFont="1" applyFill="1" applyBorder="1" applyAlignment="1">
      <alignment wrapText="1"/>
    </xf>
    <xf numFmtId="0" fontId="23" fillId="2" borderId="12" xfId="0" applyFont="1" applyFill="1" applyBorder="1" applyAlignment="1">
      <alignment wrapText="1"/>
    </xf>
    <xf numFmtId="0" fontId="23" fillId="2" borderId="0" xfId="0" applyFont="1" applyFill="1" applyAlignment="1">
      <alignment vertical="top"/>
    </xf>
    <xf numFmtId="0" fontId="28" fillId="2" borderId="10" xfId="0" applyFont="1" applyFill="1" applyBorder="1" applyAlignment="1">
      <alignment horizontal="center" vertical="center"/>
    </xf>
    <xf numFmtId="0" fontId="28" fillId="2" borderId="15" xfId="0" applyFont="1" applyFill="1" applyBorder="1" applyAlignment="1">
      <alignment horizontal="center" vertical="center"/>
    </xf>
    <xf numFmtId="0" fontId="28" fillId="2" borderId="10" xfId="0" applyFont="1" applyFill="1" applyBorder="1" applyAlignment="1">
      <alignment horizontal="center"/>
    </xf>
    <xf numFmtId="0" fontId="28" fillId="2" borderId="0" xfId="0" applyFont="1" applyFill="1" applyAlignment="1">
      <alignment horizontal="center"/>
    </xf>
    <xf numFmtId="0" fontId="28" fillId="2" borderId="15" xfId="0" applyFont="1" applyFill="1" applyBorder="1" applyAlignment="1">
      <alignment horizontal="center"/>
    </xf>
    <xf numFmtId="0" fontId="23" fillId="2" borderId="9" xfId="0" applyFont="1" applyFill="1" applyBorder="1" applyAlignment="1">
      <alignment horizontal="center" vertical="center"/>
    </xf>
    <xf numFmtId="0" fontId="23" fillId="2" borderId="8" xfId="0" applyFont="1" applyFill="1" applyBorder="1" applyAlignment="1">
      <alignment horizontal="center" vertical="center"/>
    </xf>
    <xf numFmtId="9" fontId="23" fillId="2" borderId="9" xfId="0" applyNumberFormat="1" applyFont="1" applyFill="1" applyBorder="1" applyAlignment="1">
      <alignment horizontal="center"/>
    </xf>
    <xf numFmtId="9" fontId="23" fillId="2" borderId="11" xfId="0" applyNumberFormat="1" applyFont="1" applyFill="1" applyBorder="1" applyAlignment="1">
      <alignment horizontal="center"/>
    </xf>
    <xf numFmtId="9" fontId="23" fillId="2" borderId="8" xfId="0" applyNumberFormat="1" applyFont="1" applyFill="1" applyBorder="1" applyAlignment="1">
      <alignment horizontal="center"/>
    </xf>
    <xf numFmtId="0" fontId="23" fillId="2" borderId="9" xfId="0" applyFont="1" applyFill="1" applyBorder="1" applyAlignment="1">
      <alignment horizontal="center"/>
    </xf>
    <xf numFmtId="0" fontId="23" fillId="2" borderId="8" xfId="0" applyFont="1" applyFill="1" applyBorder="1" applyAlignment="1">
      <alignment horizontal="center"/>
    </xf>
    <xf numFmtId="0" fontId="23" fillId="2" borderId="9" xfId="0" applyFont="1" applyFill="1" applyBorder="1" applyAlignment="1">
      <alignment vertical="top"/>
    </xf>
    <xf numFmtId="0" fontId="23" fillId="2" borderId="11" xfId="0" applyFont="1" applyFill="1" applyBorder="1" applyAlignment="1">
      <alignment vertical="top"/>
    </xf>
    <xf numFmtId="0" fontId="23" fillId="2" borderId="8" xfId="0" applyFont="1" applyFill="1" applyBorder="1" applyAlignment="1">
      <alignment vertical="top"/>
    </xf>
    <xf numFmtId="0" fontId="23" fillId="2" borderId="2" xfId="0" applyFont="1" applyFill="1" applyBorder="1" applyAlignment="1">
      <alignment vertical="top" wrapText="1"/>
    </xf>
    <xf numFmtId="0" fontId="23" fillId="2" borderId="3" xfId="0" applyFont="1" applyFill="1" applyBorder="1" applyAlignment="1">
      <alignment vertical="top" wrapText="1"/>
    </xf>
    <xf numFmtId="0" fontId="23" fillId="2" borderId="4" xfId="0" applyFont="1" applyFill="1" applyBorder="1" applyAlignment="1">
      <alignment vertical="top" wrapText="1"/>
    </xf>
    <xf numFmtId="0" fontId="23" fillId="2" borderId="10" xfId="0" applyFont="1" applyFill="1" applyBorder="1" applyAlignment="1">
      <alignment vertical="top" wrapText="1"/>
    </xf>
    <xf numFmtId="0" fontId="23" fillId="2" borderId="15" xfId="0" applyFont="1" applyFill="1" applyBorder="1" applyAlignment="1">
      <alignment vertical="top" wrapText="1"/>
    </xf>
    <xf numFmtId="0" fontId="23" fillId="2" borderId="5" xfId="0" applyFont="1" applyFill="1" applyBorder="1" applyAlignment="1">
      <alignment vertical="top" wrapText="1"/>
    </xf>
    <xf numFmtId="0" fontId="23" fillId="2" borderId="6" xfId="0" applyFont="1" applyFill="1" applyBorder="1" applyAlignment="1">
      <alignment vertical="top" wrapText="1"/>
    </xf>
    <xf numFmtId="0" fontId="23" fillId="2" borderId="7" xfId="0" applyFont="1" applyFill="1" applyBorder="1" applyAlignment="1">
      <alignment vertical="top" wrapText="1"/>
    </xf>
    <xf numFmtId="0" fontId="23" fillId="2" borderId="10" xfId="0" applyFont="1" applyFill="1" applyBorder="1" applyAlignment="1">
      <alignment wrapText="1"/>
    </xf>
    <xf numFmtId="0" fontId="23" fillId="2" borderId="15" xfId="0" applyFont="1" applyFill="1" applyBorder="1" applyAlignment="1">
      <alignment wrapText="1"/>
    </xf>
    <xf numFmtId="0" fontId="28" fillId="2" borderId="14" xfId="0" applyFont="1" applyFill="1" applyBorder="1"/>
    <xf numFmtId="0" fontId="28" fillId="2" borderId="12" xfId="0" applyFont="1" applyFill="1" applyBorder="1"/>
    <xf numFmtId="0" fontId="28" fillId="2" borderId="14" xfId="0" applyFont="1" applyFill="1" applyBorder="1" applyAlignment="1">
      <alignment horizontal="center"/>
    </xf>
    <xf numFmtId="0" fontId="28" fillId="2" borderId="12" xfId="0" applyFont="1" applyFill="1" applyBorder="1" applyAlignment="1">
      <alignment horizontal="center"/>
    </xf>
    <xf numFmtId="0" fontId="28" fillId="2" borderId="1" xfId="0" applyFont="1" applyFill="1" applyBorder="1" applyAlignment="1">
      <alignment horizontal="center" wrapText="1"/>
    </xf>
    <xf numFmtId="0" fontId="23" fillId="2" borderId="14" xfId="0" applyFont="1" applyFill="1" applyBorder="1"/>
    <xf numFmtId="0" fontId="23" fillId="2" borderId="12" xfId="0" applyFont="1" applyFill="1" applyBorder="1"/>
    <xf numFmtId="0" fontId="23" fillId="2" borderId="14" xfId="0" applyFont="1" applyFill="1" applyBorder="1" applyAlignment="1">
      <alignment horizontal="center" wrapText="1"/>
    </xf>
    <xf numFmtId="0" fontId="23" fillId="2" borderId="12" xfId="0" applyFont="1" applyFill="1" applyBorder="1" applyAlignment="1">
      <alignment horizontal="center" wrapText="1"/>
    </xf>
    <xf numFmtId="0" fontId="23" fillId="2" borderId="14" xfId="0" applyFont="1" applyFill="1" applyBorder="1" applyAlignment="1">
      <alignment horizontal="center"/>
    </xf>
    <xf numFmtId="0" fontId="23" fillId="2" borderId="12" xfId="0" applyFont="1" applyFill="1" applyBorder="1" applyAlignment="1">
      <alignment horizontal="center"/>
    </xf>
    <xf numFmtId="167" fontId="23" fillId="2" borderId="14" xfId="3" applyNumberFormat="1" applyFont="1" applyFill="1" applyBorder="1" applyAlignment="1">
      <alignment horizontal="center"/>
    </xf>
    <xf numFmtId="167" fontId="23" fillId="2" borderId="12" xfId="3" applyNumberFormat="1" applyFont="1" applyFill="1" applyBorder="1" applyAlignment="1">
      <alignment horizontal="center"/>
    </xf>
    <xf numFmtId="0" fontId="28" fillId="2" borderId="1" xfId="0" applyFont="1" applyFill="1" applyBorder="1" applyAlignment="1">
      <alignment horizontal="center"/>
    </xf>
    <xf numFmtId="49" fontId="28" fillId="2" borderId="1" xfId="0" applyNumberFormat="1" applyFont="1" applyFill="1" applyBorder="1" applyAlignment="1">
      <alignment horizontal="center"/>
    </xf>
    <xf numFmtId="2" fontId="23" fillId="2" borderId="1" xfId="0" applyNumberFormat="1" applyFont="1" applyFill="1" applyBorder="1" applyAlignment="1">
      <alignment horizontal="center"/>
    </xf>
    <xf numFmtId="2" fontId="23" fillId="2" borderId="9" xfId="0" applyNumberFormat="1" applyFont="1" applyFill="1" applyBorder="1" applyAlignment="1">
      <alignment horizontal="center"/>
    </xf>
    <xf numFmtId="2" fontId="23" fillId="2" borderId="8" xfId="0" applyNumberFormat="1" applyFont="1" applyFill="1" applyBorder="1" applyAlignment="1">
      <alignment horizontal="center"/>
    </xf>
    <xf numFmtId="14" fontId="4" fillId="3" borderId="0" xfId="0" applyNumberFormat="1" applyFont="1" applyFill="1" applyAlignment="1">
      <alignment vertical="center" wrapText="1"/>
    </xf>
    <xf numFmtId="0" fontId="4" fillId="3" borderId="0" xfId="0" applyFont="1" applyFill="1" applyAlignment="1">
      <alignment wrapText="1"/>
    </xf>
    <xf numFmtId="0" fontId="4" fillId="3" borderId="0" xfId="0" applyFont="1" applyFill="1" applyAlignment="1">
      <alignment horizontal="right" vertical="center" wrapText="1"/>
    </xf>
    <xf numFmtId="179" fontId="4" fillId="3" borderId="0" xfId="0" applyNumberFormat="1" applyFont="1" applyFill="1" applyAlignment="1">
      <alignment horizontal="right" vertical="center" wrapText="1"/>
    </xf>
    <xf numFmtId="0" fontId="32" fillId="21" borderId="14" xfId="0" applyFont="1" applyFill="1" applyBorder="1" applyAlignment="1">
      <alignment horizontal="right"/>
    </xf>
    <xf numFmtId="0" fontId="32" fillId="21" borderId="12" xfId="0" applyFont="1" applyFill="1" applyBorder="1" applyAlignment="1">
      <alignment horizontal="right"/>
    </xf>
    <xf numFmtId="9" fontId="30" fillId="21" borderId="9" xfId="2" applyFont="1" applyFill="1" applyBorder="1" applyAlignment="1">
      <alignment horizontal="center"/>
    </xf>
    <xf numFmtId="9" fontId="30" fillId="21" borderId="8" xfId="2" applyFont="1" applyFill="1" applyBorder="1" applyAlignment="1">
      <alignment horizontal="center"/>
    </xf>
    <xf numFmtId="9" fontId="30" fillId="21" borderId="9" xfId="0" applyNumberFormat="1" applyFont="1" applyFill="1" applyBorder="1" applyAlignment="1">
      <alignment horizontal="center"/>
    </xf>
    <xf numFmtId="9" fontId="30" fillId="21" borderId="8" xfId="0" applyNumberFormat="1" applyFont="1" applyFill="1" applyBorder="1" applyAlignment="1">
      <alignment horizontal="center"/>
    </xf>
    <xf numFmtId="0" fontId="30" fillId="21" borderId="9" xfId="0" applyFont="1" applyFill="1" applyBorder="1" applyAlignment="1">
      <alignment horizontal="center"/>
    </xf>
    <xf numFmtId="0" fontId="30" fillId="21" borderId="8" xfId="0" applyFont="1" applyFill="1" applyBorder="1" applyAlignment="1">
      <alignment horizontal="center"/>
    </xf>
    <xf numFmtId="164" fontId="30" fillId="21" borderId="9" xfId="2" applyNumberFormat="1" applyFont="1" applyFill="1" applyBorder="1" applyAlignment="1">
      <alignment horizontal="center"/>
    </xf>
    <xf numFmtId="164" fontId="30" fillId="21" borderId="8" xfId="2" applyNumberFormat="1" applyFont="1" applyFill="1" applyBorder="1" applyAlignment="1">
      <alignment horizontal="center"/>
    </xf>
    <xf numFmtId="3" fontId="30" fillId="21" borderId="9" xfId="1" applyNumberFormat="1" applyFont="1" applyFill="1" applyBorder="1" applyAlignment="1">
      <alignment horizontal="center"/>
    </xf>
    <xf numFmtId="3" fontId="30" fillId="21" borderId="8" xfId="1" applyNumberFormat="1" applyFont="1" applyFill="1" applyBorder="1" applyAlignment="1">
      <alignment horizontal="center"/>
    </xf>
    <xf numFmtId="0" fontId="30" fillId="5" borderId="9" xfId="0" applyFont="1" applyFill="1" applyBorder="1"/>
    <xf numFmtId="0" fontId="30" fillId="5" borderId="11" xfId="0" applyFont="1" applyFill="1" applyBorder="1"/>
    <xf numFmtId="0" fontId="30" fillId="5" borderId="8" xfId="0" applyFont="1" applyFill="1" applyBorder="1"/>
    <xf numFmtId="0" fontId="32" fillId="21" borderId="14" xfId="0" applyFont="1" applyFill="1" applyBorder="1" applyAlignment="1">
      <alignment horizontal="left"/>
    </xf>
    <xf numFmtId="0" fontId="32" fillId="21" borderId="12" xfId="0" applyFont="1" applyFill="1" applyBorder="1" applyAlignment="1">
      <alignment horizontal="left"/>
    </xf>
    <xf numFmtId="0" fontId="32" fillId="21" borderId="14" xfId="0" quotePrefix="1" applyFont="1" applyFill="1" applyBorder="1" applyAlignment="1">
      <alignment horizontal="center"/>
    </xf>
    <xf numFmtId="0" fontId="32" fillId="21" borderId="12" xfId="0" quotePrefix="1" applyFont="1" applyFill="1" applyBorder="1" applyAlignment="1">
      <alignment horizontal="center"/>
    </xf>
    <xf numFmtId="0" fontId="32" fillId="21" borderId="14" xfId="0" applyFont="1" applyFill="1" applyBorder="1" applyAlignment="1">
      <alignment horizontal="center"/>
    </xf>
    <xf numFmtId="0" fontId="32" fillId="21" borderId="12" xfId="0" applyFont="1" applyFill="1" applyBorder="1" applyAlignment="1">
      <alignment horizontal="center"/>
    </xf>
    <xf numFmtId="0" fontId="32" fillId="21" borderId="14" xfId="0" applyFont="1" applyFill="1" applyBorder="1" applyAlignment="1">
      <alignment horizontal="right" wrapText="1"/>
    </xf>
    <xf numFmtId="0" fontId="31" fillId="21" borderId="2" xfId="0" applyFont="1" applyFill="1" applyBorder="1" applyAlignment="1">
      <alignment wrapText="1"/>
    </xf>
    <xf numFmtId="0" fontId="31" fillId="21" borderId="3" xfId="0" applyFont="1" applyFill="1" applyBorder="1" applyAlignment="1">
      <alignment wrapText="1"/>
    </xf>
    <xf numFmtId="0" fontId="31" fillId="21" borderId="4" xfId="0" applyFont="1" applyFill="1" applyBorder="1" applyAlignment="1">
      <alignment wrapText="1"/>
    </xf>
    <xf numFmtId="0" fontId="31" fillId="21" borderId="5" xfId="0" applyFont="1" applyFill="1" applyBorder="1" applyAlignment="1">
      <alignment wrapText="1"/>
    </xf>
    <xf numFmtId="0" fontId="31" fillId="21" borderId="6" xfId="0" applyFont="1" applyFill="1" applyBorder="1" applyAlignment="1">
      <alignment wrapText="1"/>
    </xf>
    <xf numFmtId="0" fontId="31" fillId="21" borderId="7" xfId="0" applyFont="1" applyFill="1" applyBorder="1" applyAlignment="1">
      <alignment wrapText="1"/>
    </xf>
    <xf numFmtId="0" fontId="31" fillId="21" borderId="9" xfId="0" applyFont="1" applyFill="1" applyBorder="1" applyAlignment="1">
      <alignment horizontal="left" wrapText="1"/>
    </xf>
    <xf numFmtId="0" fontId="31" fillId="21" borderId="11" xfId="0" applyFont="1" applyFill="1" applyBorder="1" applyAlignment="1">
      <alignment horizontal="left" wrapText="1"/>
    </xf>
    <xf numFmtId="0" fontId="31" fillId="21" borderId="8" xfId="0" applyFont="1" applyFill="1" applyBorder="1" applyAlignment="1">
      <alignment horizontal="left" wrapText="1"/>
    </xf>
    <xf numFmtId="0" fontId="31" fillId="21" borderId="2" xfId="0" applyFont="1" applyFill="1" applyBorder="1" applyAlignment="1">
      <alignment horizontal="left" wrapText="1"/>
    </xf>
    <xf numFmtId="0" fontId="31" fillId="21" borderId="3" xfId="0" applyFont="1" applyFill="1" applyBorder="1" applyAlignment="1">
      <alignment horizontal="left" wrapText="1"/>
    </xf>
    <xf numFmtId="0" fontId="31" fillId="21" borderId="4" xfId="0" applyFont="1" applyFill="1" applyBorder="1" applyAlignment="1">
      <alignment horizontal="left" wrapText="1"/>
    </xf>
    <xf numFmtId="0" fontId="31" fillId="21" borderId="5" xfId="0" applyFont="1" applyFill="1" applyBorder="1" applyAlignment="1">
      <alignment horizontal="left" wrapText="1"/>
    </xf>
    <xf numFmtId="0" fontId="31" fillId="21" borderId="6" xfId="0" applyFont="1" applyFill="1" applyBorder="1" applyAlignment="1">
      <alignment horizontal="left" wrapText="1"/>
    </xf>
    <xf numFmtId="0" fontId="31" fillId="21" borderId="7" xfId="0" applyFont="1" applyFill="1" applyBorder="1" applyAlignment="1">
      <alignment horizontal="left" wrapText="1"/>
    </xf>
    <xf numFmtId="2" fontId="30" fillId="5" borderId="9" xfId="0" applyNumberFormat="1" applyFont="1" applyFill="1" applyBorder="1" applyAlignment="1">
      <alignment horizontal="right" vertical="center"/>
    </xf>
    <xf numFmtId="2" fontId="30" fillId="5" borderId="11" xfId="0" applyNumberFormat="1" applyFont="1" applyFill="1" applyBorder="1" applyAlignment="1">
      <alignment horizontal="right" vertical="center"/>
    </xf>
    <xf numFmtId="2" fontId="30" fillId="5" borderId="8" xfId="0" applyNumberFormat="1" applyFont="1" applyFill="1" applyBorder="1" applyAlignment="1">
      <alignment horizontal="right" vertical="center"/>
    </xf>
    <xf numFmtId="0" fontId="3" fillId="2" borderId="10" xfId="0" applyFont="1" applyFill="1" applyBorder="1" applyAlignment="1">
      <alignment horizontal="left" vertical="center"/>
    </xf>
    <xf numFmtId="0" fontId="3" fillId="2" borderId="15" xfId="0" applyFont="1" applyFill="1" applyBorder="1" applyAlignment="1">
      <alignment horizontal="left" vertical="center"/>
    </xf>
    <xf numFmtId="0" fontId="3" fillId="2" borderId="2" xfId="0" quotePrefix="1" applyFont="1" applyFill="1" applyBorder="1" applyAlignment="1">
      <alignment horizontal="left" vertical="top" wrapText="1"/>
    </xf>
    <xf numFmtId="0" fontId="3" fillId="2" borderId="4" xfId="0" quotePrefix="1" applyFont="1" applyFill="1" applyBorder="1" applyAlignment="1">
      <alignment horizontal="left" vertical="top" wrapText="1"/>
    </xf>
    <xf numFmtId="0" fontId="3" fillId="2" borderId="10" xfId="0" quotePrefix="1" applyFont="1" applyFill="1" applyBorder="1" applyAlignment="1">
      <alignment horizontal="left" vertical="top" wrapText="1"/>
    </xf>
    <xf numFmtId="0" fontId="3" fillId="2" borderId="15" xfId="0" quotePrefix="1" applyFont="1" applyFill="1" applyBorder="1" applyAlignment="1">
      <alignment horizontal="left" vertical="top" wrapText="1"/>
    </xf>
    <xf numFmtId="0" fontId="3" fillId="2" borderId="5" xfId="0" quotePrefix="1" applyFont="1" applyFill="1" applyBorder="1" applyAlignment="1">
      <alignment horizontal="left" vertical="top" wrapText="1"/>
    </xf>
    <xf numFmtId="0" fontId="3" fillId="2" borderId="7" xfId="0" quotePrefix="1" applyFont="1" applyFill="1" applyBorder="1" applyAlignment="1">
      <alignment horizontal="left" vertical="top" wrapText="1"/>
    </xf>
    <xf numFmtId="0" fontId="3" fillId="2" borderId="9" xfId="0" applyFont="1" applyFill="1" applyBorder="1" applyAlignment="1">
      <alignment horizontal="left" wrapText="1"/>
    </xf>
    <xf numFmtId="0" fontId="3" fillId="2" borderId="8" xfId="0" applyFont="1" applyFill="1" applyBorder="1" applyAlignment="1">
      <alignment horizontal="left" wrapText="1"/>
    </xf>
    <xf numFmtId="0" fontId="3" fillId="2" borderId="1" xfId="0" quotePrefix="1" applyFont="1" applyFill="1" applyBorder="1" applyAlignment="1">
      <alignment vertical="top"/>
    </xf>
    <xf numFmtId="0" fontId="6" fillId="2" borderId="1" xfId="0" applyFont="1" applyFill="1" applyBorder="1" applyAlignment="1">
      <alignment vertical="center"/>
    </xf>
    <xf numFmtId="2" fontId="3" fillId="2" borderId="1" xfId="0" quotePrefix="1" applyNumberFormat="1" applyFont="1" applyFill="1" applyBorder="1" applyAlignment="1">
      <alignment horizontal="left" vertical="center"/>
    </xf>
    <xf numFmtId="5" fontId="3" fillId="2" borderId="1" xfId="3" applyNumberFormat="1" applyFont="1" applyFill="1" applyBorder="1" applyAlignment="1">
      <alignment horizontal="left" vertical="top"/>
    </xf>
    <xf numFmtId="3" fontId="3" fillId="2" borderId="1" xfId="1" applyNumberFormat="1" applyFont="1" applyFill="1" applyBorder="1" applyAlignment="1">
      <alignment horizontal="left"/>
    </xf>
    <xf numFmtId="0" fontId="2" fillId="2" borderId="1" xfId="0" applyFont="1" applyFill="1" applyBorder="1" applyAlignment="1">
      <alignment horizontal="left" vertical="center"/>
    </xf>
    <xf numFmtId="0" fontId="3" fillId="2" borderId="1" xfId="0" quotePrefix="1" applyFont="1" applyFill="1" applyBorder="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xf>
    <xf numFmtId="9" fontId="3" fillId="2" borderId="1" xfId="0" applyNumberFormat="1" applyFont="1" applyFill="1" applyBorder="1" applyAlignment="1">
      <alignment horizontal="center"/>
    </xf>
    <xf numFmtId="0" fontId="3" fillId="2" borderId="1" xfId="0" applyFont="1" applyFill="1" applyBorder="1"/>
    <xf numFmtId="9" fontId="3" fillId="2" borderId="1" xfId="0" applyNumberFormat="1" applyFont="1" applyFill="1" applyBorder="1"/>
    <xf numFmtId="168" fontId="3" fillId="2" borderId="1" xfId="0" applyNumberFormat="1" applyFont="1" applyFill="1" applyBorder="1" applyAlignment="1">
      <alignment horizontal="center" vertical="center"/>
    </xf>
    <xf numFmtId="168" fontId="3" fillId="2" borderId="14" xfId="0" applyNumberFormat="1" applyFont="1" applyFill="1" applyBorder="1" applyAlignment="1">
      <alignment horizontal="right" vertical="center"/>
    </xf>
    <xf numFmtId="168" fontId="3" fillId="2" borderId="12" xfId="0" applyNumberFormat="1" applyFont="1" applyFill="1" applyBorder="1" applyAlignment="1">
      <alignment horizontal="right" vertical="center"/>
    </xf>
    <xf numFmtId="168" fontId="3" fillId="2" borderId="1" xfId="0" applyNumberFormat="1" applyFont="1" applyFill="1" applyBorder="1" applyAlignment="1">
      <alignment horizontal="center"/>
    </xf>
    <xf numFmtId="0" fontId="6" fillId="2" borderId="9" xfId="0" applyFont="1" applyFill="1" applyBorder="1"/>
    <xf numFmtId="0" fontId="6" fillId="2" borderId="11" xfId="0" applyFont="1" applyFill="1" applyBorder="1"/>
    <xf numFmtId="0" fontId="6" fillId="2" borderId="8" xfId="0" applyFont="1" applyFill="1" applyBorder="1"/>
    <xf numFmtId="0" fontId="11" fillId="2" borderId="1" xfId="0" applyFont="1" applyFill="1" applyBorder="1" applyAlignment="1">
      <alignment vertical="center"/>
    </xf>
    <xf numFmtId="0" fontId="3" fillId="2" borderId="1" xfId="0" applyFont="1" applyFill="1" applyBorder="1" applyAlignment="1">
      <alignment vertical="top"/>
    </xf>
    <xf numFmtId="0" fontId="86" fillId="3" borderId="0" xfId="0" applyFont="1" applyFill="1" applyAlignment="1">
      <alignment vertical="center" wrapText="1"/>
    </xf>
    <xf numFmtId="0" fontId="86" fillId="3" borderId="1" xfId="0" applyFont="1" applyFill="1" applyBorder="1" applyAlignment="1">
      <alignment vertical="center" wrapText="1"/>
    </xf>
    <xf numFmtId="3" fontId="3" fillId="4" borderId="9" xfId="4" applyNumberFormat="1" applyFont="1" applyFill="1" applyBorder="1" applyAlignment="1">
      <alignment horizontal="left"/>
    </xf>
    <xf numFmtId="3" fontId="3" fillId="4" borderId="8" xfId="4" applyNumberFormat="1" applyFont="1" applyFill="1" applyBorder="1" applyAlignment="1">
      <alignment horizontal="left"/>
    </xf>
    <xf numFmtId="0" fontId="3" fillId="4" borderId="9" xfId="0" applyFont="1" applyFill="1" applyBorder="1" applyAlignment="1">
      <alignment horizontal="left" wrapText="1"/>
    </xf>
    <xf numFmtId="0" fontId="3" fillId="4" borderId="8" xfId="0" applyFont="1" applyFill="1" applyBorder="1" applyAlignment="1">
      <alignment horizontal="left" wrapText="1"/>
    </xf>
    <xf numFmtId="164" fontId="3" fillId="4" borderId="9" xfId="2" applyNumberFormat="1" applyFont="1" applyFill="1" applyBorder="1" applyAlignment="1">
      <alignment horizontal="center"/>
    </xf>
    <xf numFmtId="164" fontId="3" fillId="4" borderId="8" xfId="2" applyNumberFormat="1" applyFont="1" applyFill="1" applyBorder="1" applyAlignment="1">
      <alignment horizontal="center"/>
    </xf>
    <xf numFmtId="9" fontId="3" fillId="4" borderId="9" xfId="0" applyNumberFormat="1" applyFont="1" applyFill="1" applyBorder="1" applyAlignment="1">
      <alignment horizontal="left" vertical="top" wrapText="1"/>
    </xf>
    <xf numFmtId="9" fontId="3" fillId="4" borderId="8" xfId="0" applyNumberFormat="1" applyFont="1" applyFill="1" applyBorder="1" applyAlignment="1">
      <alignment horizontal="left" vertical="top" wrapText="1"/>
    </xf>
    <xf numFmtId="9" fontId="3" fillId="4" borderId="9" xfId="2" applyFont="1" applyFill="1" applyBorder="1" applyAlignment="1">
      <alignment horizontal="center"/>
    </xf>
    <xf numFmtId="9" fontId="3" fillId="4" borderId="8" xfId="2" applyFont="1" applyFill="1" applyBorder="1" applyAlignment="1">
      <alignment horizontal="center"/>
    </xf>
    <xf numFmtId="9" fontId="3" fillId="4" borderId="9" xfId="0" applyNumberFormat="1" applyFont="1" applyFill="1" applyBorder="1" applyAlignment="1">
      <alignment horizontal="center"/>
    </xf>
    <xf numFmtId="9" fontId="3" fillId="4" borderId="8" xfId="0" applyNumberFormat="1" applyFont="1" applyFill="1" applyBorder="1" applyAlignment="1">
      <alignment horizontal="center"/>
    </xf>
    <xf numFmtId="0" fontId="3" fillId="4" borderId="9" xfId="0" applyFont="1" applyFill="1" applyBorder="1" applyAlignment="1">
      <alignment horizontal="left"/>
    </xf>
    <xf numFmtId="0" fontId="3" fillId="4" borderId="8" xfId="0" applyFont="1" applyFill="1" applyBorder="1" applyAlignment="1">
      <alignment horizontal="left"/>
    </xf>
    <xf numFmtId="9" fontId="3" fillId="4" borderId="9" xfId="0" applyNumberFormat="1" applyFont="1" applyFill="1" applyBorder="1" applyAlignment="1">
      <alignment horizontal="left" wrapText="1"/>
    </xf>
    <xf numFmtId="9" fontId="3" fillId="4" borderId="8" xfId="0" applyNumberFormat="1" applyFont="1" applyFill="1" applyBorder="1" applyAlignment="1">
      <alignment horizontal="left" wrapText="1"/>
    </xf>
    <xf numFmtId="2" fontId="3" fillId="4" borderId="9" xfId="0" applyNumberFormat="1" applyFont="1" applyFill="1" applyBorder="1" applyAlignment="1">
      <alignment horizontal="left" vertical="center" wrapText="1"/>
    </xf>
    <xf numFmtId="2" fontId="3" fillId="4" borderId="11" xfId="0" applyNumberFormat="1" applyFont="1" applyFill="1" applyBorder="1" applyAlignment="1">
      <alignment horizontal="left" vertical="center" wrapText="1"/>
    </xf>
    <xf numFmtId="2" fontId="3" fillId="4" borderId="8" xfId="0" applyNumberFormat="1" applyFont="1" applyFill="1" applyBorder="1" applyAlignment="1">
      <alignment horizontal="left" vertical="center" wrapText="1"/>
    </xf>
    <xf numFmtId="164" fontId="3" fillId="4" borderId="9" xfId="2" applyNumberFormat="1" applyFont="1" applyFill="1" applyBorder="1" applyAlignment="1">
      <alignment horizontal="left" wrapText="1"/>
    </xf>
    <xf numFmtId="164" fontId="3" fillId="4" borderId="8" xfId="2" applyNumberFormat="1" applyFont="1" applyFill="1" applyBorder="1" applyAlignment="1">
      <alignment horizontal="left" wrapText="1"/>
    </xf>
    <xf numFmtId="164" fontId="3" fillId="4" borderId="9" xfId="2" applyNumberFormat="1" applyFont="1" applyFill="1" applyBorder="1" applyAlignment="1">
      <alignment horizontal="left"/>
    </xf>
    <xf numFmtId="164" fontId="3" fillId="4" borderId="8" xfId="2" applyNumberFormat="1" applyFont="1" applyFill="1" applyBorder="1" applyAlignment="1">
      <alignment horizontal="left"/>
    </xf>
    <xf numFmtId="0" fontId="3" fillId="5" borderId="9" xfId="0" applyFont="1" applyFill="1" applyBorder="1" applyAlignment="1">
      <alignment horizontal="left"/>
    </xf>
    <xf numFmtId="0" fontId="3" fillId="5" borderId="11" xfId="0" applyFont="1" applyFill="1" applyBorder="1" applyAlignment="1">
      <alignment horizontal="left"/>
    </xf>
    <xf numFmtId="0" fontId="3" fillId="5" borderId="8" xfId="0" applyFont="1" applyFill="1" applyBorder="1" applyAlignment="1">
      <alignment horizontal="left"/>
    </xf>
    <xf numFmtId="164" fontId="3" fillId="4" borderId="9" xfId="2" applyNumberFormat="1" applyFont="1" applyFill="1" applyBorder="1" applyAlignment="1">
      <alignment horizontal="center" wrapText="1"/>
    </xf>
    <xf numFmtId="164" fontId="3" fillId="4" borderId="8" xfId="2" applyNumberFormat="1" applyFont="1" applyFill="1" applyBorder="1" applyAlignment="1">
      <alignment horizontal="center" wrapText="1"/>
    </xf>
    <xf numFmtId="0" fontId="3" fillId="4" borderId="9" xfId="0" applyFont="1" applyFill="1" applyBorder="1" applyAlignment="1">
      <alignment horizontal="left" vertical="center" wrapText="1"/>
    </xf>
    <xf numFmtId="0" fontId="3" fillId="4" borderId="8" xfId="0" applyFont="1" applyFill="1" applyBorder="1" applyAlignment="1">
      <alignment horizontal="left" vertical="center" wrapText="1"/>
    </xf>
    <xf numFmtId="0" fontId="133" fillId="0" borderId="0" xfId="19" applyFont="1" applyAlignment="1">
      <alignment horizontal="center"/>
    </xf>
    <xf numFmtId="0" fontId="1" fillId="0" borderId="0" xfId="19"/>
    <xf numFmtId="0" fontId="96" fillId="0" borderId="0" xfId="19" applyFont="1"/>
    <xf numFmtId="0" fontId="134" fillId="0" borderId="0" xfId="19" applyFont="1" applyAlignment="1">
      <alignment horizontal="center"/>
    </xf>
    <xf numFmtId="0" fontId="1" fillId="0" borderId="0" xfId="19" applyAlignment="1">
      <alignment horizontal="right" vertical="top" indent="1"/>
    </xf>
    <xf numFmtId="0" fontId="135" fillId="0" borderId="0" xfId="19" applyFont="1" applyAlignment="1">
      <alignment horizontal="left" wrapText="1"/>
    </xf>
    <xf numFmtId="0" fontId="135" fillId="0" borderId="0" xfId="19" applyFont="1"/>
    <xf numFmtId="0" fontId="136" fillId="0" borderId="0" xfId="20"/>
    <xf numFmtId="0" fontId="92" fillId="0" borderId="0" xfId="19" applyFont="1" applyAlignment="1">
      <alignment horizontal="left"/>
    </xf>
    <xf numFmtId="0" fontId="92" fillId="0" borderId="0" xfId="19" applyFont="1" applyAlignment="1">
      <alignment horizontal="center"/>
    </xf>
    <xf numFmtId="0" fontId="92" fillId="0" borderId="0" xfId="19" applyFont="1" applyAlignment="1">
      <alignment horizontal="right"/>
    </xf>
  </cellXfs>
  <cellStyles count="21">
    <cellStyle name="Comma" xfId="1" builtinId="3"/>
    <cellStyle name="Comma 2" xfId="4" xr:uid="{BBFD7A93-1F2A-4AB8-A450-42121F598E4C}"/>
    <cellStyle name="Comma 2 2" xfId="9" xr:uid="{A42EDCE1-92E2-4AA3-8C99-157EF72AE087}"/>
    <cellStyle name="Comma 3" xfId="10" xr:uid="{8A331AF0-C8D6-45F1-A10F-0B05D6FF2F5E}"/>
    <cellStyle name="Comma 3 2" xfId="12" xr:uid="{610B68B5-33B6-4316-AFA8-EDA3C7636542}"/>
    <cellStyle name="Comma 3 3" xfId="16" xr:uid="{EB6E8358-C4CC-4A23-B81B-3BD577291F19}"/>
    <cellStyle name="Currency" xfId="3" builtinId="4"/>
    <cellStyle name="Currency 2" xfId="6" xr:uid="{E644E62B-2D88-42D7-AD6F-C26729842DD4}"/>
    <cellStyle name="Currency 2 2" xfId="5" xr:uid="{43CF9B97-7633-4F8A-986F-8C85D0339A8B}"/>
    <cellStyle name="Currency 3" xfId="11" xr:uid="{DE9C1DCF-EB28-4D02-86BA-E3F6D292660F}"/>
    <cellStyle name="Currency 3 2" xfId="15" xr:uid="{4684C4E0-EF33-4B83-9567-8F9989F3261A}"/>
    <cellStyle name="Hyperlink" xfId="20" builtinId="8"/>
    <cellStyle name="Milliers 2" xfId="8" xr:uid="{0761EE3B-5AC7-44B9-B4DD-7E41582B96C9}"/>
    <cellStyle name="Normal" xfId="0" builtinId="0"/>
    <cellStyle name="Normal 2" xfId="7" xr:uid="{1C7719E3-BC01-4951-8D92-86E1CC61326D}"/>
    <cellStyle name="Normal 3" xfId="18" xr:uid="{33B26DAC-9DC1-4BD5-A134-B9ACD1369BEB}"/>
    <cellStyle name="Normal 4" xfId="19" xr:uid="{A984E5A5-3021-462A-86AD-25BC1802EA80}"/>
    <cellStyle name="Normal 5" xfId="14" xr:uid="{31C7EB4C-CA87-4BC3-9585-E6CD34EBCF14}"/>
    <cellStyle name="Percent" xfId="2" builtinId="5"/>
    <cellStyle name="Percent 2" xfId="13" xr:uid="{ED915F9D-EE1A-4292-A442-5004AC42A50B}"/>
    <cellStyle name="Percent 3" xfId="17" xr:uid="{0CABAB48-0988-4D4A-831B-7BE51AB90F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externalLink" Target="externalLinks/externalLink4.xml"/><Relationship Id="rId55" Type="http://schemas.openxmlformats.org/officeDocument/2006/relationships/externalLink" Target="externalLinks/externalLink9.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7.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8.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6.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595B7CD2-5689-41B7-9F87-E5BE38DDDA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3114EDE2-E9AE-4004-A007-BA816DB0C2B1}"/>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BA54E8BC-700E-4F0D-87F8-380AF4FB89C9}"/>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159764</xdr:colOff>
      <xdr:row>127</xdr:row>
      <xdr:rowOff>144876</xdr:rowOff>
    </xdr:from>
    <xdr:to>
      <xdr:col>2</xdr:col>
      <xdr:colOff>487494</xdr:colOff>
      <xdr:row>129</xdr:row>
      <xdr:rowOff>100738</xdr:rowOff>
    </xdr:to>
    <mc:AlternateContent xmlns:mc="http://schemas.openxmlformats.org/markup-compatibility/2006" xmlns:a14="http://schemas.microsoft.com/office/drawing/2010/main">
      <mc:Choice Requires="a14">
        <xdr:sp macro="" textlink="">
          <xdr:nvSpPr>
            <xdr:cNvPr id="2" name="Object 4">
              <a:extLst>
                <a:ext uri="{FF2B5EF4-FFF2-40B4-BE49-F238E27FC236}">
                  <a16:creationId xmlns:a16="http://schemas.microsoft.com/office/drawing/2014/main" id="{07F7416F-4920-4465-9247-0F4861C829D2}"/>
                </a:ext>
              </a:extLst>
            </xdr:cNvPr>
            <xdr:cNvSpPr txBox="1"/>
          </xdr:nvSpPr>
          <xdr:spPr>
            <a:xfrm>
              <a:off x="752219" y="23126796"/>
              <a:ext cx="914470" cy="31590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2" name="Object 4">
              <a:extLst>
                <a:ext uri="{FF2B5EF4-FFF2-40B4-BE49-F238E27FC236}">
                  <a16:creationId xmlns:a16="http://schemas.microsoft.com/office/drawing/2014/main" id="{07F7416F-4920-4465-9247-0F4861C829D2}"/>
                </a:ext>
              </a:extLst>
            </xdr:cNvPr>
            <xdr:cNvSpPr txBox="1"/>
          </xdr:nvSpPr>
          <xdr:spPr>
            <a:xfrm>
              <a:off x="752219" y="23126796"/>
              <a:ext cx="914470" cy="31590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2</xdr:col>
      <xdr:colOff>238125</xdr:colOff>
      <xdr:row>142</xdr:row>
      <xdr:rowOff>87312</xdr:rowOff>
    </xdr:from>
    <xdr:to>
      <xdr:col>2</xdr:col>
      <xdr:colOff>791770</xdr:colOff>
      <xdr:row>144</xdr:row>
      <xdr:rowOff>16345</xdr:rowOff>
    </xdr:to>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5C503C4C-AF84-45E6-A4F3-9C696CCB43EF}"/>
                </a:ext>
              </a:extLst>
            </xdr:cNvPr>
            <xdr:cNvSpPr txBox="1"/>
          </xdr:nvSpPr>
          <xdr:spPr>
            <a:xfrm>
              <a:off x="1421130" y="25787667"/>
              <a:ext cx="349810" cy="292888"/>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US" b="0" i="1">
                            <a:solidFill>
                              <a:sysClr val="windowText" lastClr="000000"/>
                            </a:solidFill>
                            <a:latin typeface="Cambria Math" panose="02040503050406030204" pitchFamily="18" charset="0"/>
                          </a:rPr>
                          <m:t>27|</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35</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3" name="Object 4">
              <a:extLst>
                <a:ext uri="{FF2B5EF4-FFF2-40B4-BE49-F238E27FC236}">
                  <a16:creationId xmlns:a16="http://schemas.microsoft.com/office/drawing/2014/main" id="{5C503C4C-AF84-45E6-A4F3-9C696CCB43EF}"/>
                </a:ext>
              </a:extLst>
            </xdr:cNvPr>
            <xdr:cNvSpPr txBox="1"/>
          </xdr:nvSpPr>
          <xdr:spPr>
            <a:xfrm>
              <a:off x="1421130" y="25787667"/>
              <a:ext cx="349810" cy="292888"/>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_27|^)</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35^((</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twoCellAnchor>
    <xdr:from>
      <xdr:col>2</xdr:col>
      <xdr:colOff>230187</xdr:colOff>
      <xdr:row>144</xdr:row>
      <xdr:rowOff>103188</xdr:rowOff>
    </xdr:from>
    <xdr:to>
      <xdr:col>2</xdr:col>
      <xdr:colOff>783832</xdr:colOff>
      <xdr:row>146</xdr:row>
      <xdr:rowOff>30317</xdr:rowOff>
    </xdr:to>
    <mc:AlternateContent xmlns:mc="http://schemas.openxmlformats.org/markup-compatibility/2006" xmlns:a14="http://schemas.microsoft.com/office/drawing/2010/main">
      <mc:Choice Requires="a14">
        <xdr:sp macro="" textlink="">
          <xdr:nvSpPr>
            <xdr:cNvPr id="4" name="Object 4">
              <a:extLst>
                <a:ext uri="{FF2B5EF4-FFF2-40B4-BE49-F238E27FC236}">
                  <a16:creationId xmlns:a16="http://schemas.microsoft.com/office/drawing/2014/main" id="{DCEF7A6B-077E-480C-B985-5D7552C02889}"/>
                </a:ext>
              </a:extLst>
            </xdr:cNvPr>
            <xdr:cNvSpPr txBox="1"/>
          </xdr:nvSpPr>
          <xdr:spPr>
            <a:xfrm>
              <a:off x="1411287" y="26161683"/>
              <a:ext cx="359335" cy="289079"/>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US" b="0" i="1">
                            <a:solidFill>
                              <a:sysClr val="windowText" lastClr="000000"/>
                            </a:solidFill>
                            <a:latin typeface="Cambria Math" panose="02040503050406030204" pitchFamily="18" charset="0"/>
                          </a:rPr>
                          <m:t>30|</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35</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4" name="Object 4">
              <a:extLst>
                <a:ext uri="{FF2B5EF4-FFF2-40B4-BE49-F238E27FC236}">
                  <a16:creationId xmlns:a16="http://schemas.microsoft.com/office/drawing/2014/main" id="{DCEF7A6B-077E-480C-B985-5D7552C02889}"/>
                </a:ext>
              </a:extLst>
            </xdr:cNvPr>
            <xdr:cNvSpPr txBox="1"/>
          </xdr:nvSpPr>
          <xdr:spPr>
            <a:xfrm>
              <a:off x="1411287" y="26161683"/>
              <a:ext cx="359335" cy="289079"/>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_30|^)</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35^((</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twoCellAnchor>
    <xdr:from>
      <xdr:col>2</xdr:col>
      <xdr:colOff>254000</xdr:colOff>
      <xdr:row>146</xdr:row>
      <xdr:rowOff>95251</xdr:rowOff>
    </xdr:from>
    <xdr:to>
      <xdr:col>2</xdr:col>
      <xdr:colOff>805740</xdr:colOff>
      <xdr:row>148</xdr:row>
      <xdr:rowOff>139526</xdr:rowOff>
    </xdr:to>
    <mc:AlternateContent xmlns:mc="http://schemas.openxmlformats.org/markup-compatibility/2006" xmlns:a14="http://schemas.microsoft.com/office/drawing/2010/main">
      <mc:Choice Requires="a14">
        <xdr:sp macro="" textlink="">
          <xdr:nvSpPr>
            <xdr:cNvPr id="5" name="Object 4">
              <a:extLst>
                <a:ext uri="{FF2B5EF4-FFF2-40B4-BE49-F238E27FC236}">
                  <a16:creationId xmlns:a16="http://schemas.microsoft.com/office/drawing/2014/main" id="{0D0799EB-BFF7-4692-8AB1-8E567D56298C}"/>
                </a:ext>
              </a:extLst>
            </xdr:cNvPr>
            <xdr:cNvSpPr txBox="1"/>
          </xdr:nvSpPr>
          <xdr:spPr>
            <a:xfrm>
              <a:off x="1431290" y="26513791"/>
              <a:ext cx="338380" cy="406225"/>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US" b="0" i="1">
                            <a:solidFill>
                              <a:sysClr val="windowText" lastClr="000000"/>
                            </a:solidFill>
                            <a:latin typeface="Cambria Math" panose="02040503050406030204" pitchFamily="18" charset="0"/>
                          </a:rPr>
                          <m:t>4|</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58</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5" name="Object 4">
              <a:extLst>
                <a:ext uri="{FF2B5EF4-FFF2-40B4-BE49-F238E27FC236}">
                  <a16:creationId xmlns:a16="http://schemas.microsoft.com/office/drawing/2014/main" id="{0D0799EB-BFF7-4692-8AB1-8E567D56298C}"/>
                </a:ext>
              </a:extLst>
            </xdr:cNvPr>
            <xdr:cNvSpPr txBox="1"/>
          </xdr:nvSpPr>
          <xdr:spPr>
            <a:xfrm>
              <a:off x="1431290" y="26513791"/>
              <a:ext cx="338380" cy="406225"/>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_4|^)</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58^((</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twoCellAnchor>
    <xdr:from>
      <xdr:col>2</xdr:col>
      <xdr:colOff>226785</xdr:colOff>
      <xdr:row>148</xdr:row>
      <xdr:rowOff>62367</xdr:rowOff>
    </xdr:from>
    <xdr:to>
      <xdr:col>2</xdr:col>
      <xdr:colOff>782335</xdr:colOff>
      <xdr:row>166</xdr:row>
      <xdr:rowOff>88014</xdr:rowOff>
    </xdr:to>
    <mc:AlternateContent xmlns:mc="http://schemas.openxmlformats.org/markup-compatibility/2006" xmlns:a14="http://schemas.microsoft.com/office/drawing/2010/main">
      <mc:Choice Requires="a14">
        <xdr:sp macro="" textlink="">
          <xdr:nvSpPr>
            <xdr:cNvPr id="6" name="Object 4">
              <a:extLst>
                <a:ext uri="{FF2B5EF4-FFF2-40B4-BE49-F238E27FC236}">
                  <a16:creationId xmlns:a16="http://schemas.microsoft.com/office/drawing/2014/main" id="{D6612302-4987-48FF-9219-8A425132778D}"/>
                </a:ext>
              </a:extLst>
            </xdr:cNvPr>
            <xdr:cNvSpPr txBox="1"/>
          </xdr:nvSpPr>
          <xdr:spPr>
            <a:xfrm>
              <a:off x="1407885" y="26842857"/>
              <a:ext cx="361240" cy="329081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US" b="0" i="1">
                            <a:solidFill>
                              <a:sysClr val="windowText" lastClr="000000"/>
                            </a:solidFill>
                            <a:latin typeface="Cambria Math" panose="02040503050406030204" pitchFamily="18" charset="0"/>
                          </a:rPr>
                          <m:t>7|</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58</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6" name="Object 4">
              <a:extLst>
                <a:ext uri="{FF2B5EF4-FFF2-40B4-BE49-F238E27FC236}">
                  <a16:creationId xmlns:a16="http://schemas.microsoft.com/office/drawing/2014/main" id="{D6612302-4987-48FF-9219-8A425132778D}"/>
                </a:ext>
              </a:extLst>
            </xdr:cNvPr>
            <xdr:cNvSpPr txBox="1"/>
          </xdr:nvSpPr>
          <xdr:spPr>
            <a:xfrm>
              <a:off x="1407885" y="26842857"/>
              <a:ext cx="361240" cy="3290817"/>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_7|^)</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58^((</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twoCellAnchor>
    <xdr:from>
      <xdr:col>6</xdr:col>
      <xdr:colOff>738187</xdr:colOff>
      <xdr:row>185</xdr:row>
      <xdr:rowOff>0</xdr:rowOff>
    </xdr:from>
    <xdr:to>
      <xdr:col>6</xdr:col>
      <xdr:colOff>1234092</xdr:colOff>
      <xdr:row>185</xdr:row>
      <xdr:rowOff>431</xdr:rowOff>
    </xdr:to>
    <mc:AlternateContent xmlns:mc="http://schemas.openxmlformats.org/markup-compatibility/2006" xmlns:a14="http://schemas.microsoft.com/office/drawing/2010/main">
      <mc:Choice Requires="a14">
        <xdr:sp macro="" textlink="">
          <xdr:nvSpPr>
            <xdr:cNvPr id="7" name="Object 5">
              <a:extLst>
                <a:ext uri="{FF2B5EF4-FFF2-40B4-BE49-F238E27FC236}">
                  <a16:creationId xmlns:a16="http://schemas.microsoft.com/office/drawing/2014/main" id="{9D692CA9-1832-4A9A-AE16-F3B7F2AA5334}"/>
                </a:ext>
              </a:extLst>
            </xdr:cNvPr>
            <xdr:cNvSpPr txBox="1"/>
          </xdr:nvSpPr>
          <xdr:spPr>
            <a:xfrm>
              <a:off x="4132897" y="33480375"/>
              <a:ext cx="605" cy="431"/>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71</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7" name="Object 5">
              <a:extLst>
                <a:ext uri="{FF2B5EF4-FFF2-40B4-BE49-F238E27FC236}">
                  <a16:creationId xmlns:a16="http://schemas.microsoft.com/office/drawing/2014/main" id="{9D692CA9-1832-4A9A-AE16-F3B7F2AA5334}"/>
                </a:ext>
              </a:extLst>
            </xdr:cNvPr>
            <xdr:cNvSpPr txBox="1"/>
          </xdr:nvSpPr>
          <xdr:spPr>
            <a:xfrm>
              <a:off x="4132897" y="33480375"/>
              <a:ext cx="605" cy="431"/>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71^((</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4</xdr:col>
      <xdr:colOff>288136</xdr:colOff>
      <xdr:row>152</xdr:row>
      <xdr:rowOff>70373</xdr:rowOff>
    </xdr:from>
    <xdr:to>
      <xdr:col>4</xdr:col>
      <xdr:colOff>1041717</xdr:colOff>
      <xdr:row>154</xdr:row>
      <xdr:rowOff>0</xdr:rowOff>
    </xdr:to>
    <mc:AlternateContent xmlns:mc="http://schemas.openxmlformats.org/markup-compatibility/2006" xmlns:a14="http://schemas.microsoft.com/office/drawing/2010/main">
      <mc:Choice Requires="a14">
        <xdr:sp macro="" textlink="">
          <xdr:nvSpPr>
            <xdr:cNvPr id="8" name="Object 5">
              <a:extLst>
                <a:ext uri="{FF2B5EF4-FFF2-40B4-BE49-F238E27FC236}">
                  <a16:creationId xmlns:a16="http://schemas.microsoft.com/office/drawing/2014/main" id="{38622439-31D9-499B-8DAC-3734E4798104}"/>
                </a:ext>
              </a:extLst>
            </xdr:cNvPr>
            <xdr:cNvSpPr txBox="1"/>
          </xdr:nvSpPr>
          <xdr:spPr>
            <a:xfrm>
              <a:off x="2646526" y="27576668"/>
              <a:ext cx="304001" cy="293482"/>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72 (</m:t>
                        </m:r>
                        <m:r>
                          <a:rPr lang="en-US" b="0" i="1">
                            <a:solidFill>
                              <a:srgbClr val="000000"/>
                            </a:solidFill>
                            <a:latin typeface="Cambria Math" panose="02040503050406030204" pitchFamily="18" charset="0"/>
                          </a:rPr>
                          <m:t>𝐽</m:t>
                        </m:r>
                        <m:r>
                          <a:rPr lang="en-US" b="0" i="1">
                            <a:solidFill>
                              <a:srgbClr val="000000"/>
                            </a:solidFill>
                            <a:latin typeface="Cambria Math" panose="02040503050406030204" pitchFamily="18" charset="0"/>
                          </a:rPr>
                          <m:t>&amp;</m:t>
                        </m:r>
                        <m:r>
                          <a:rPr lang="en-US" b="0" i="1">
                            <a:solidFill>
                              <a:srgbClr val="000000"/>
                            </a:solidFill>
                            <a:latin typeface="Cambria Math" panose="02040503050406030204" pitchFamily="18" charset="0"/>
                          </a:rPr>
                          <m:t>𝑆</m:t>
                        </m:r>
                        <m:r>
                          <a:rPr lang="en-US" b="0" i="1">
                            <a:solidFill>
                              <a:srgbClr val="000000"/>
                            </a:solidFill>
                            <a:latin typeface="Cambria Math" panose="02040503050406030204" pitchFamily="18" charset="0"/>
                          </a:rPr>
                          <m:t>)</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8" name="Object 5">
              <a:extLst>
                <a:ext uri="{FF2B5EF4-FFF2-40B4-BE49-F238E27FC236}">
                  <a16:creationId xmlns:a16="http://schemas.microsoft.com/office/drawing/2014/main" id="{38622439-31D9-499B-8DAC-3734E4798104}"/>
                </a:ext>
              </a:extLst>
            </xdr:cNvPr>
            <xdr:cNvSpPr txBox="1"/>
          </xdr:nvSpPr>
          <xdr:spPr>
            <a:xfrm>
              <a:off x="2646526" y="27576668"/>
              <a:ext cx="304001" cy="293482"/>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72 (𝐽&amp;𝑆))^((</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320232</xdr:colOff>
      <xdr:row>152</xdr:row>
      <xdr:rowOff>86092</xdr:rowOff>
    </xdr:from>
    <xdr:to>
      <xdr:col>2</xdr:col>
      <xdr:colOff>816137</xdr:colOff>
      <xdr:row>153</xdr:row>
      <xdr:rowOff>190429</xdr:rowOff>
    </xdr:to>
    <mc:AlternateContent xmlns:mc="http://schemas.openxmlformats.org/markup-compatibility/2006" xmlns:a14="http://schemas.microsoft.com/office/drawing/2010/main">
      <mc:Choice Requires="a14">
        <xdr:sp macro="" textlink="">
          <xdr:nvSpPr>
            <xdr:cNvPr id="9" name="Object 5">
              <a:extLst>
                <a:ext uri="{FF2B5EF4-FFF2-40B4-BE49-F238E27FC236}">
                  <a16:creationId xmlns:a16="http://schemas.microsoft.com/office/drawing/2014/main" id="{D721BC05-EB18-4C44-BEFD-47699296FABC}"/>
                </a:ext>
              </a:extLst>
            </xdr:cNvPr>
            <xdr:cNvSpPr txBox="1"/>
          </xdr:nvSpPr>
          <xdr:spPr>
            <a:xfrm>
              <a:off x="1505142" y="27596197"/>
              <a:ext cx="267305" cy="273882"/>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68</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9" name="Object 5">
              <a:extLst>
                <a:ext uri="{FF2B5EF4-FFF2-40B4-BE49-F238E27FC236}">
                  <a16:creationId xmlns:a16="http://schemas.microsoft.com/office/drawing/2014/main" id="{D721BC05-EB18-4C44-BEFD-47699296FABC}"/>
                </a:ext>
              </a:extLst>
            </xdr:cNvPr>
            <xdr:cNvSpPr txBox="1"/>
          </xdr:nvSpPr>
          <xdr:spPr>
            <a:xfrm>
              <a:off x="1505142" y="27596197"/>
              <a:ext cx="267305" cy="273882"/>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68^((</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1</xdr:col>
      <xdr:colOff>159764</xdr:colOff>
      <xdr:row>157</xdr:row>
      <xdr:rowOff>144876</xdr:rowOff>
    </xdr:from>
    <xdr:to>
      <xdr:col>2</xdr:col>
      <xdr:colOff>487494</xdr:colOff>
      <xdr:row>159</xdr:row>
      <xdr:rowOff>100738</xdr:rowOff>
    </xdr:to>
    <mc:AlternateContent xmlns:mc="http://schemas.openxmlformats.org/markup-compatibility/2006" xmlns:a14="http://schemas.microsoft.com/office/drawing/2010/main">
      <mc:Choice Requires="a14">
        <xdr:sp macro="" textlink="">
          <xdr:nvSpPr>
            <xdr:cNvPr id="10" name="Object 4">
              <a:extLst>
                <a:ext uri="{FF2B5EF4-FFF2-40B4-BE49-F238E27FC236}">
                  <a16:creationId xmlns:a16="http://schemas.microsoft.com/office/drawing/2014/main" id="{16591991-717C-490A-936A-DE800F9E1606}"/>
                </a:ext>
              </a:extLst>
            </xdr:cNvPr>
            <xdr:cNvSpPr txBox="1"/>
          </xdr:nvSpPr>
          <xdr:spPr>
            <a:xfrm>
              <a:off x="752219" y="28556046"/>
              <a:ext cx="914470" cy="31590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10" name="Object 4">
              <a:extLst>
                <a:ext uri="{FF2B5EF4-FFF2-40B4-BE49-F238E27FC236}">
                  <a16:creationId xmlns:a16="http://schemas.microsoft.com/office/drawing/2014/main" id="{16591991-717C-490A-936A-DE800F9E1606}"/>
                </a:ext>
              </a:extLst>
            </xdr:cNvPr>
            <xdr:cNvSpPr txBox="1"/>
          </xdr:nvSpPr>
          <xdr:spPr>
            <a:xfrm>
              <a:off x="752219" y="28556046"/>
              <a:ext cx="914470" cy="31590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2</xdr:col>
      <xdr:colOff>238125</xdr:colOff>
      <xdr:row>172</xdr:row>
      <xdr:rowOff>87312</xdr:rowOff>
    </xdr:from>
    <xdr:to>
      <xdr:col>2</xdr:col>
      <xdr:colOff>791770</xdr:colOff>
      <xdr:row>174</xdr:row>
      <xdr:rowOff>16345</xdr:rowOff>
    </xdr:to>
    <mc:AlternateContent xmlns:mc="http://schemas.openxmlformats.org/markup-compatibility/2006" xmlns:a14="http://schemas.microsoft.com/office/drawing/2010/main">
      <mc:Choice Requires="a14">
        <xdr:sp macro="" textlink="">
          <xdr:nvSpPr>
            <xdr:cNvPr id="11" name="Object 4">
              <a:extLst>
                <a:ext uri="{FF2B5EF4-FFF2-40B4-BE49-F238E27FC236}">
                  <a16:creationId xmlns:a16="http://schemas.microsoft.com/office/drawing/2014/main" id="{3B993429-8288-4853-A4C5-2D135A6CF519}"/>
                </a:ext>
              </a:extLst>
            </xdr:cNvPr>
            <xdr:cNvSpPr txBox="1"/>
          </xdr:nvSpPr>
          <xdr:spPr>
            <a:xfrm>
              <a:off x="1421130" y="31216917"/>
              <a:ext cx="349810" cy="292888"/>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US" b="0" i="1">
                            <a:solidFill>
                              <a:sysClr val="windowText" lastClr="000000"/>
                            </a:solidFill>
                            <a:latin typeface="Cambria Math" panose="02040503050406030204" pitchFamily="18" charset="0"/>
                          </a:rPr>
                          <m:t>27|</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35</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11" name="Object 4">
              <a:extLst>
                <a:ext uri="{FF2B5EF4-FFF2-40B4-BE49-F238E27FC236}">
                  <a16:creationId xmlns:a16="http://schemas.microsoft.com/office/drawing/2014/main" id="{3B993429-8288-4853-A4C5-2D135A6CF519}"/>
                </a:ext>
              </a:extLst>
            </xdr:cNvPr>
            <xdr:cNvSpPr txBox="1"/>
          </xdr:nvSpPr>
          <xdr:spPr>
            <a:xfrm>
              <a:off x="1421130" y="31216917"/>
              <a:ext cx="349810" cy="292888"/>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_27|^)</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35^((</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twoCellAnchor>
    <xdr:from>
      <xdr:col>2</xdr:col>
      <xdr:colOff>230187</xdr:colOff>
      <xdr:row>174</xdr:row>
      <xdr:rowOff>103188</xdr:rowOff>
    </xdr:from>
    <xdr:to>
      <xdr:col>2</xdr:col>
      <xdr:colOff>783832</xdr:colOff>
      <xdr:row>176</xdr:row>
      <xdr:rowOff>30317</xdr:rowOff>
    </xdr:to>
    <mc:AlternateContent xmlns:mc="http://schemas.openxmlformats.org/markup-compatibility/2006" xmlns:a14="http://schemas.microsoft.com/office/drawing/2010/main">
      <mc:Choice Requires="a14">
        <xdr:sp macro="" textlink="">
          <xdr:nvSpPr>
            <xdr:cNvPr id="12" name="Object 4">
              <a:extLst>
                <a:ext uri="{FF2B5EF4-FFF2-40B4-BE49-F238E27FC236}">
                  <a16:creationId xmlns:a16="http://schemas.microsoft.com/office/drawing/2014/main" id="{BCE1FF2F-0ADD-4322-9DB8-01C127085820}"/>
                </a:ext>
              </a:extLst>
            </xdr:cNvPr>
            <xdr:cNvSpPr txBox="1"/>
          </xdr:nvSpPr>
          <xdr:spPr>
            <a:xfrm>
              <a:off x="1411287" y="31590933"/>
              <a:ext cx="359335" cy="289079"/>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US" b="0" i="1">
                            <a:solidFill>
                              <a:sysClr val="windowText" lastClr="000000"/>
                            </a:solidFill>
                            <a:latin typeface="Cambria Math" panose="02040503050406030204" pitchFamily="18" charset="0"/>
                          </a:rPr>
                          <m:t>30|</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35</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12" name="Object 4">
              <a:extLst>
                <a:ext uri="{FF2B5EF4-FFF2-40B4-BE49-F238E27FC236}">
                  <a16:creationId xmlns:a16="http://schemas.microsoft.com/office/drawing/2014/main" id="{BCE1FF2F-0ADD-4322-9DB8-01C127085820}"/>
                </a:ext>
              </a:extLst>
            </xdr:cNvPr>
            <xdr:cNvSpPr txBox="1"/>
          </xdr:nvSpPr>
          <xdr:spPr>
            <a:xfrm>
              <a:off x="1411287" y="31590933"/>
              <a:ext cx="359335" cy="289079"/>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_30|^)</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35^((</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twoCellAnchor>
    <xdr:from>
      <xdr:col>2</xdr:col>
      <xdr:colOff>254000</xdr:colOff>
      <xdr:row>176</xdr:row>
      <xdr:rowOff>95251</xdr:rowOff>
    </xdr:from>
    <xdr:to>
      <xdr:col>2</xdr:col>
      <xdr:colOff>805740</xdr:colOff>
      <xdr:row>178</xdr:row>
      <xdr:rowOff>139526</xdr:rowOff>
    </xdr:to>
    <mc:AlternateContent xmlns:mc="http://schemas.openxmlformats.org/markup-compatibility/2006" xmlns:a14="http://schemas.microsoft.com/office/drawing/2010/main">
      <mc:Choice Requires="a14">
        <xdr:sp macro="" textlink="">
          <xdr:nvSpPr>
            <xdr:cNvPr id="13" name="Object 4">
              <a:extLst>
                <a:ext uri="{FF2B5EF4-FFF2-40B4-BE49-F238E27FC236}">
                  <a16:creationId xmlns:a16="http://schemas.microsoft.com/office/drawing/2014/main" id="{DAF1280D-3C71-4822-93AE-8B904FB1178E}"/>
                </a:ext>
              </a:extLst>
            </xdr:cNvPr>
            <xdr:cNvSpPr txBox="1"/>
          </xdr:nvSpPr>
          <xdr:spPr>
            <a:xfrm>
              <a:off x="1431290" y="31943041"/>
              <a:ext cx="338380" cy="406225"/>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US" b="0" i="1">
                            <a:solidFill>
                              <a:sysClr val="windowText" lastClr="000000"/>
                            </a:solidFill>
                            <a:latin typeface="Cambria Math" panose="02040503050406030204" pitchFamily="18" charset="0"/>
                          </a:rPr>
                          <m:t>4|</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58</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13" name="Object 4">
              <a:extLst>
                <a:ext uri="{FF2B5EF4-FFF2-40B4-BE49-F238E27FC236}">
                  <a16:creationId xmlns:a16="http://schemas.microsoft.com/office/drawing/2014/main" id="{DAF1280D-3C71-4822-93AE-8B904FB1178E}"/>
                </a:ext>
              </a:extLst>
            </xdr:cNvPr>
            <xdr:cNvSpPr txBox="1"/>
          </xdr:nvSpPr>
          <xdr:spPr>
            <a:xfrm>
              <a:off x="1431290" y="31943041"/>
              <a:ext cx="338380" cy="406225"/>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_4|^)</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58^((</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twoCellAnchor>
    <xdr:from>
      <xdr:col>4</xdr:col>
      <xdr:colOff>288136</xdr:colOff>
      <xdr:row>182</xdr:row>
      <xdr:rowOff>70373</xdr:rowOff>
    </xdr:from>
    <xdr:to>
      <xdr:col>4</xdr:col>
      <xdr:colOff>1041717</xdr:colOff>
      <xdr:row>184</xdr:row>
      <xdr:rowOff>0</xdr:rowOff>
    </xdr:to>
    <mc:AlternateContent xmlns:mc="http://schemas.openxmlformats.org/markup-compatibility/2006" xmlns:a14="http://schemas.microsoft.com/office/drawing/2010/main">
      <mc:Choice Requires="a14">
        <xdr:sp macro="" textlink="">
          <xdr:nvSpPr>
            <xdr:cNvPr id="14" name="Object 5">
              <a:extLst>
                <a:ext uri="{FF2B5EF4-FFF2-40B4-BE49-F238E27FC236}">
                  <a16:creationId xmlns:a16="http://schemas.microsoft.com/office/drawing/2014/main" id="{41BC86F6-CF19-462D-A134-198A2DC0619D}"/>
                </a:ext>
              </a:extLst>
            </xdr:cNvPr>
            <xdr:cNvSpPr txBox="1"/>
          </xdr:nvSpPr>
          <xdr:spPr>
            <a:xfrm>
              <a:off x="2646526" y="33005918"/>
              <a:ext cx="304001" cy="293482"/>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72 (</m:t>
                        </m:r>
                        <m:r>
                          <a:rPr lang="en-US" b="0" i="1">
                            <a:solidFill>
                              <a:srgbClr val="000000"/>
                            </a:solidFill>
                            <a:latin typeface="Cambria Math" panose="02040503050406030204" pitchFamily="18" charset="0"/>
                          </a:rPr>
                          <m:t>𝐽</m:t>
                        </m:r>
                        <m:r>
                          <a:rPr lang="en-US" b="0" i="1">
                            <a:solidFill>
                              <a:srgbClr val="000000"/>
                            </a:solidFill>
                            <a:latin typeface="Cambria Math" panose="02040503050406030204" pitchFamily="18" charset="0"/>
                          </a:rPr>
                          <m:t>&amp;</m:t>
                        </m:r>
                        <m:r>
                          <a:rPr lang="en-US" b="0" i="1">
                            <a:solidFill>
                              <a:srgbClr val="000000"/>
                            </a:solidFill>
                            <a:latin typeface="Cambria Math" panose="02040503050406030204" pitchFamily="18" charset="0"/>
                          </a:rPr>
                          <m:t>𝑆</m:t>
                        </m:r>
                        <m:r>
                          <a:rPr lang="en-US" b="0" i="1">
                            <a:solidFill>
                              <a:srgbClr val="000000"/>
                            </a:solidFill>
                            <a:latin typeface="Cambria Math" panose="02040503050406030204" pitchFamily="18" charset="0"/>
                          </a:rPr>
                          <m:t>)</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4" name="Object 5">
              <a:extLst>
                <a:ext uri="{FF2B5EF4-FFF2-40B4-BE49-F238E27FC236}">
                  <a16:creationId xmlns:a16="http://schemas.microsoft.com/office/drawing/2014/main" id="{41BC86F6-CF19-462D-A134-198A2DC0619D}"/>
                </a:ext>
              </a:extLst>
            </xdr:cNvPr>
            <xdr:cNvSpPr txBox="1"/>
          </xdr:nvSpPr>
          <xdr:spPr>
            <a:xfrm>
              <a:off x="2646526" y="33005918"/>
              <a:ext cx="304001" cy="293482"/>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72 (𝐽&amp;𝑆))^((</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320232</xdr:colOff>
      <xdr:row>182</xdr:row>
      <xdr:rowOff>86092</xdr:rowOff>
    </xdr:from>
    <xdr:to>
      <xdr:col>2</xdr:col>
      <xdr:colOff>816137</xdr:colOff>
      <xdr:row>183</xdr:row>
      <xdr:rowOff>190429</xdr:rowOff>
    </xdr:to>
    <mc:AlternateContent xmlns:mc="http://schemas.openxmlformats.org/markup-compatibility/2006" xmlns:a14="http://schemas.microsoft.com/office/drawing/2010/main">
      <mc:Choice Requires="a14">
        <xdr:sp macro="" textlink="">
          <xdr:nvSpPr>
            <xdr:cNvPr id="15" name="Object 5">
              <a:extLst>
                <a:ext uri="{FF2B5EF4-FFF2-40B4-BE49-F238E27FC236}">
                  <a16:creationId xmlns:a16="http://schemas.microsoft.com/office/drawing/2014/main" id="{04D60B45-76DA-4BD3-BFBA-2A5F09C8C8DB}"/>
                </a:ext>
              </a:extLst>
            </xdr:cNvPr>
            <xdr:cNvSpPr txBox="1"/>
          </xdr:nvSpPr>
          <xdr:spPr>
            <a:xfrm>
              <a:off x="1505142" y="33025447"/>
              <a:ext cx="267305" cy="273882"/>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68</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5" name="Object 5">
              <a:extLst>
                <a:ext uri="{FF2B5EF4-FFF2-40B4-BE49-F238E27FC236}">
                  <a16:creationId xmlns:a16="http://schemas.microsoft.com/office/drawing/2014/main" id="{04D60B45-76DA-4BD3-BFBA-2A5F09C8C8DB}"/>
                </a:ext>
              </a:extLst>
            </xdr:cNvPr>
            <xdr:cNvSpPr txBox="1"/>
          </xdr:nvSpPr>
          <xdr:spPr>
            <a:xfrm>
              <a:off x="1505142" y="33025447"/>
              <a:ext cx="267305" cy="273882"/>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68^((</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265340</xdr:colOff>
      <xdr:row>178</xdr:row>
      <xdr:rowOff>47624</xdr:rowOff>
    </xdr:from>
    <xdr:to>
      <xdr:col>2</xdr:col>
      <xdr:colOff>817080</xdr:colOff>
      <xdr:row>180</xdr:row>
      <xdr:rowOff>91901</xdr:rowOff>
    </xdr:to>
    <mc:AlternateContent xmlns:mc="http://schemas.openxmlformats.org/markup-compatibility/2006" xmlns:a14="http://schemas.microsoft.com/office/drawing/2010/main">
      <mc:Choice Requires="a14">
        <xdr:sp macro="" textlink="">
          <xdr:nvSpPr>
            <xdr:cNvPr id="16" name="Object 4">
              <a:extLst>
                <a:ext uri="{FF2B5EF4-FFF2-40B4-BE49-F238E27FC236}">
                  <a16:creationId xmlns:a16="http://schemas.microsoft.com/office/drawing/2014/main" id="{4EFE62E3-F775-4F9D-89B5-40BA623A7FA8}"/>
                </a:ext>
              </a:extLst>
            </xdr:cNvPr>
            <xdr:cNvSpPr txBox="1"/>
          </xdr:nvSpPr>
          <xdr:spPr>
            <a:xfrm>
              <a:off x="1446440" y="32263079"/>
              <a:ext cx="326950" cy="408132"/>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ysClr val="windowText" lastClr="000000"/>
                            </a:solidFill>
                            <a:latin typeface="Cambria Math" panose="02040503050406030204" pitchFamily="18" charset="0"/>
                          </a:rPr>
                        </m:ctrlPr>
                      </m:sPrePr>
                      <m:sub>
                        <m:r>
                          <a:rPr lang="en-CA" b="0" i="1">
                            <a:solidFill>
                              <a:sysClr val="windowText" lastClr="000000"/>
                            </a:solidFill>
                            <a:latin typeface="Cambria Math" panose="02040503050406030204" pitchFamily="18" charset="0"/>
                          </a:rPr>
                          <m:t>7</m:t>
                        </m:r>
                        <m:r>
                          <a:rPr lang="en-US" b="0" i="1">
                            <a:solidFill>
                              <a:sysClr val="windowText" lastClr="000000"/>
                            </a:solidFill>
                            <a:latin typeface="Cambria Math" panose="02040503050406030204" pitchFamily="18" charset="0"/>
                          </a:rPr>
                          <m:t>|</m:t>
                        </m:r>
                      </m:sub>
                      <m:sup/>
                      <m:e>
                        <m:sSubSup>
                          <m:sSubSupPr>
                            <m:ctrlPr>
                              <a:rPr lang="en-US" sz="1100" i="1">
                                <a:solidFill>
                                  <a:sysClr val="windowText" lastClr="000000"/>
                                </a:solidFill>
                                <a:effectLst/>
                                <a:latin typeface="Cambria Math" panose="02040503050406030204" pitchFamily="18" charset="0"/>
                                <a:ea typeface="+mn-ea"/>
                                <a:cs typeface="+mn-cs"/>
                              </a:rPr>
                            </m:ctrlPr>
                          </m:sSubSupPr>
                          <m:e>
                            <m:acc>
                              <m:accPr>
                                <m:chr m:val="̈"/>
                                <m:ctrlPr>
                                  <a:rPr lang="en-US" sz="1100" i="1">
                                    <a:solidFill>
                                      <a:sysClr val="windowText" lastClr="000000"/>
                                    </a:solidFill>
                                    <a:effectLst/>
                                    <a:latin typeface="Cambria Math" panose="02040503050406030204" pitchFamily="18" charset="0"/>
                                    <a:ea typeface="+mn-ea"/>
                                    <a:cs typeface="+mn-cs"/>
                                  </a:rPr>
                                </m:ctrlPr>
                              </m:accPr>
                              <m:e>
                                <m:r>
                                  <m:rPr>
                                    <m:sty m:val="p"/>
                                  </m:rPr>
                                  <a:rPr lang="en-US" sz="1100" i="0">
                                    <a:solidFill>
                                      <a:sysClr val="windowText" lastClr="000000"/>
                                    </a:solidFill>
                                    <a:effectLst/>
                                    <a:latin typeface="Cambria Math" panose="02040503050406030204" pitchFamily="18" charset="0"/>
                                    <a:ea typeface="+mn-ea"/>
                                    <a:cs typeface="+mn-cs"/>
                                  </a:rPr>
                                  <m:t>a</m:t>
                                </m:r>
                              </m:e>
                            </m:acc>
                          </m:e>
                          <m:sub>
                            <m:r>
                              <a:rPr lang="en-US" sz="1100" b="0" i="1">
                                <a:solidFill>
                                  <a:sysClr val="windowText" lastClr="000000"/>
                                </a:solidFill>
                                <a:effectLst/>
                                <a:latin typeface="Cambria Math" panose="02040503050406030204" pitchFamily="18" charset="0"/>
                                <a:ea typeface="+mn-ea"/>
                                <a:cs typeface="+mn-cs"/>
                              </a:rPr>
                              <m:t>58</m:t>
                            </m:r>
                          </m:sub>
                          <m:sup>
                            <m:d>
                              <m:dPr>
                                <m:ctrlPr>
                                  <a:rPr lang="en-US" sz="1100" i="1">
                                    <a:solidFill>
                                      <a:sysClr val="windowText" lastClr="000000"/>
                                    </a:solidFill>
                                    <a:effectLst/>
                                    <a:latin typeface="Cambria Math" panose="02040503050406030204" pitchFamily="18" charset="0"/>
                                    <a:ea typeface="+mn-ea"/>
                                    <a:cs typeface="+mn-cs"/>
                                  </a:rPr>
                                </m:ctrlPr>
                              </m:dPr>
                              <m:e>
                                <m:r>
                                  <a:rPr lang="en-US" sz="1100" i="1">
                                    <a:solidFill>
                                      <a:sysClr val="windowText" lastClr="000000"/>
                                    </a:solidFill>
                                    <a:effectLst/>
                                    <a:latin typeface="Cambria Math" panose="02040503050406030204" pitchFamily="18" charset="0"/>
                                    <a:ea typeface="+mn-ea"/>
                                    <a:cs typeface="+mn-cs"/>
                                  </a:rPr>
                                  <m:t>12</m:t>
                                </m:r>
                              </m:e>
                            </m:d>
                          </m:sup>
                        </m:sSubSup>
                      </m:e>
                    </m:sPre>
                  </m:oMath>
                </m:oMathPara>
              </a14:m>
              <a:endParaRPr lang="en-US">
                <a:solidFill>
                  <a:sysClr val="windowText" lastClr="000000"/>
                </a:solidFill>
              </a:endParaRPr>
            </a:p>
          </xdr:txBody>
        </xdr:sp>
      </mc:Choice>
      <mc:Fallback xmlns="">
        <xdr:sp macro="" textlink="">
          <xdr:nvSpPr>
            <xdr:cNvPr id="16" name="Object 4">
              <a:extLst>
                <a:ext uri="{FF2B5EF4-FFF2-40B4-BE49-F238E27FC236}">
                  <a16:creationId xmlns:a16="http://schemas.microsoft.com/office/drawing/2014/main" id="{4EFE62E3-F775-4F9D-89B5-40BA623A7FA8}"/>
                </a:ext>
              </a:extLst>
            </xdr:cNvPr>
            <xdr:cNvSpPr txBox="1"/>
          </xdr:nvSpPr>
          <xdr:spPr>
            <a:xfrm>
              <a:off x="1446440" y="32263079"/>
              <a:ext cx="326950" cy="408132"/>
            </a:xfrm>
            <a:prstGeom prst="rect">
              <a:avLst/>
            </a:prstGeom>
          </xdr:spPr>
          <xdr:txBody>
            <a:bodyPr vertOverflow="clip" horzOverflow="clip" wrap="none">
              <a:noAutofit/>
            </a:bodyPr>
            <a:lstStyle/>
            <a:p>
              <a:pPr/>
              <a:r>
                <a:rPr lang="en-US" i="0">
                  <a:solidFill>
                    <a:sysClr val="windowText" lastClr="000000"/>
                  </a:solidFill>
                  <a:latin typeface="Cambria Math" panose="02040503050406030204" pitchFamily="18" charset="0"/>
                </a:rPr>
                <a:t>(</a:t>
              </a:r>
              <a:r>
                <a:rPr lang="en-US" b="0" i="0">
                  <a:solidFill>
                    <a:sysClr val="windowText" lastClr="000000"/>
                  </a:solidFill>
                  <a:latin typeface="Cambria Math" panose="02040503050406030204" pitchFamily="18" charset="0"/>
                </a:rPr>
                <a:t>_</a:t>
              </a:r>
              <a:r>
                <a:rPr lang="en-CA" b="0" i="0">
                  <a:solidFill>
                    <a:sysClr val="windowText" lastClr="000000"/>
                  </a:solidFill>
                  <a:latin typeface="Cambria Math" panose="02040503050406030204" pitchFamily="18" charset="0"/>
                </a:rPr>
                <a:t>7</a:t>
              </a:r>
              <a:r>
                <a:rPr lang="en-US" b="0" i="0">
                  <a:solidFill>
                    <a:sysClr val="windowText" lastClr="000000"/>
                  </a:solidFill>
                  <a:latin typeface="Cambria Math" panose="02040503050406030204" pitchFamily="18" charset="0"/>
                </a:rPr>
                <a:t>|^)</a:t>
              </a:r>
              <a:r>
                <a:rPr lang="en-US" sz="1100" i="0">
                  <a:solidFill>
                    <a:sysClr val="windowText" lastClr="000000"/>
                  </a:solidFill>
                  <a:effectLst/>
                  <a:latin typeface="Cambria Math" panose="02040503050406030204" pitchFamily="18" charset="0"/>
                  <a:ea typeface="+mn-ea"/>
                  <a:cs typeface="+mn-cs"/>
                </a:rPr>
                <a:t>a ̈_</a:t>
              </a:r>
              <a:r>
                <a:rPr lang="en-US" sz="1100" b="0" i="0">
                  <a:solidFill>
                    <a:sysClr val="windowText" lastClr="000000"/>
                  </a:solidFill>
                  <a:effectLst/>
                  <a:latin typeface="Cambria Math" panose="02040503050406030204" pitchFamily="18" charset="0"/>
                  <a:ea typeface="+mn-ea"/>
                  <a:cs typeface="+mn-cs"/>
                </a:rPr>
                <a:t>58^((</a:t>
              </a:r>
              <a:r>
                <a:rPr lang="en-US" sz="1100" i="0">
                  <a:solidFill>
                    <a:sysClr val="windowText" lastClr="000000"/>
                  </a:solidFill>
                  <a:effectLst/>
                  <a:latin typeface="Cambria Math" panose="02040503050406030204" pitchFamily="18" charset="0"/>
                  <a:ea typeface="+mn-ea"/>
                  <a:cs typeface="+mn-cs"/>
                </a:rPr>
                <a:t>12) ) </a:t>
              </a:r>
              <a:endParaRPr lang="en-US">
                <a:solidFill>
                  <a:sysClr val="windowText" lastClr="000000"/>
                </a:solidFill>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46</xdr:row>
      <xdr:rowOff>0</xdr:rowOff>
    </xdr:from>
    <xdr:to>
      <xdr:col>1</xdr:col>
      <xdr:colOff>1529662</xdr:colOff>
      <xdr:row>48</xdr:row>
      <xdr:rowOff>164945</xdr:rowOff>
    </xdr:to>
    <mc:AlternateContent xmlns:mc="http://schemas.openxmlformats.org/markup-compatibility/2006" xmlns:a14="http://schemas.microsoft.com/office/drawing/2010/main">
      <mc:Choice Requires="a14">
        <xdr:sp macro="" textlink="">
          <xdr:nvSpPr>
            <xdr:cNvPr id="2" name="Object 4">
              <a:extLst>
                <a:ext uri="{FF2B5EF4-FFF2-40B4-BE49-F238E27FC236}">
                  <a16:creationId xmlns:a16="http://schemas.microsoft.com/office/drawing/2014/main" id="{199AFBAF-4716-4CAC-A3FB-4F6FE755FD4E}"/>
                </a:ext>
              </a:extLst>
            </xdr:cNvPr>
            <xdr:cNvSpPr txBox="1"/>
          </xdr:nvSpPr>
          <xdr:spPr>
            <a:xfrm>
              <a:off x="590550" y="8324850"/>
              <a:ext cx="588592" cy="530705"/>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2" name="Object 4">
              <a:extLst>
                <a:ext uri="{FF2B5EF4-FFF2-40B4-BE49-F238E27FC236}">
                  <a16:creationId xmlns:a16="http://schemas.microsoft.com/office/drawing/2014/main" id="{199AFBAF-4716-4CAC-A3FB-4F6FE755FD4E}"/>
                </a:ext>
              </a:extLst>
            </xdr:cNvPr>
            <xdr:cNvSpPr txBox="1"/>
          </xdr:nvSpPr>
          <xdr:spPr>
            <a:xfrm>
              <a:off x="590550" y="8324850"/>
              <a:ext cx="588592" cy="530705"/>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0</xdr:col>
      <xdr:colOff>620921</xdr:colOff>
      <xdr:row>66</xdr:row>
      <xdr:rowOff>122974</xdr:rowOff>
    </xdr:from>
    <xdr:to>
      <xdr:col>1</xdr:col>
      <xdr:colOff>952516</xdr:colOff>
      <xdr:row>69</xdr:row>
      <xdr:rowOff>78836</xdr:rowOff>
    </xdr:to>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89B217FE-DEBF-4011-9A7E-8F8E7E4A9F2E}"/>
                </a:ext>
              </a:extLst>
            </xdr:cNvPr>
            <xdr:cNvSpPr txBox="1"/>
          </xdr:nvSpPr>
          <xdr:spPr>
            <a:xfrm>
              <a:off x="594251" y="12069229"/>
              <a:ext cx="586865" cy="496882"/>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3" name="Object 4">
              <a:extLst>
                <a:ext uri="{FF2B5EF4-FFF2-40B4-BE49-F238E27FC236}">
                  <a16:creationId xmlns:a16="http://schemas.microsoft.com/office/drawing/2014/main" id="{89B217FE-DEBF-4011-9A7E-8F8E7E4A9F2E}"/>
                </a:ext>
              </a:extLst>
            </xdr:cNvPr>
            <xdr:cNvSpPr txBox="1"/>
          </xdr:nvSpPr>
          <xdr:spPr>
            <a:xfrm>
              <a:off x="594251" y="12069229"/>
              <a:ext cx="586865" cy="496882"/>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xdr:col>
      <xdr:colOff>685342</xdr:colOff>
      <xdr:row>43</xdr:row>
      <xdr:rowOff>150582</xdr:rowOff>
    </xdr:from>
    <xdr:to>
      <xdr:col>2</xdr:col>
      <xdr:colOff>1016937</xdr:colOff>
      <xdr:row>46</xdr:row>
      <xdr:rowOff>106444</xdr:rowOff>
    </xdr:to>
    <mc:AlternateContent xmlns:mc="http://schemas.openxmlformats.org/markup-compatibility/2006" xmlns:a14="http://schemas.microsoft.com/office/drawing/2010/main">
      <mc:Choice Requires="a14">
        <xdr:sp macro="" textlink="">
          <xdr:nvSpPr>
            <xdr:cNvPr id="2" name="Object 4">
              <a:extLst>
                <a:ext uri="{FF2B5EF4-FFF2-40B4-BE49-F238E27FC236}">
                  <a16:creationId xmlns:a16="http://schemas.microsoft.com/office/drawing/2014/main" id="{B030EAFA-3B8F-4C8A-9316-4D5EC69F1737}"/>
                </a:ext>
              </a:extLst>
            </xdr:cNvPr>
            <xdr:cNvSpPr txBox="1"/>
          </xdr:nvSpPr>
          <xdr:spPr>
            <a:xfrm>
              <a:off x="1218742" y="7932507"/>
              <a:ext cx="613535" cy="496882"/>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2" name="Object 4">
              <a:extLst>
                <a:ext uri="{FF2B5EF4-FFF2-40B4-BE49-F238E27FC236}">
                  <a16:creationId xmlns:a16="http://schemas.microsoft.com/office/drawing/2014/main" id="{B030EAFA-3B8F-4C8A-9316-4D5EC69F1737}"/>
                </a:ext>
              </a:extLst>
            </xdr:cNvPr>
            <xdr:cNvSpPr txBox="1"/>
          </xdr:nvSpPr>
          <xdr:spPr>
            <a:xfrm>
              <a:off x="1218742" y="7932507"/>
              <a:ext cx="613535" cy="496882"/>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1</xdr:col>
      <xdr:colOff>620921</xdr:colOff>
      <xdr:row>63</xdr:row>
      <xdr:rowOff>122974</xdr:rowOff>
    </xdr:from>
    <xdr:to>
      <xdr:col>2</xdr:col>
      <xdr:colOff>952516</xdr:colOff>
      <xdr:row>65</xdr:row>
      <xdr:rowOff>78836</xdr:rowOff>
    </xdr:to>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8E38C213-8E16-4BFA-B64F-CFAF652C2475}"/>
                </a:ext>
              </a:extLst>
            </xdr:cNvPr>
            <xdr:cNvSpPr txBox="1"/>
          </xdr:nvSpPr>
          <xdr:spPr>
            <a:xfrm>
              <a:off x="1222901" y="11526304"/>
              <a:ext cx="605915" cy="31590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3" name="Object 4">
              <a:extLst>
                <a:ext uri="{FF2B5EF4-FFF2-40B4-BE49-F238E27FC236}">
                  <a16:creationId xmlns:a16="http://schemas.microsoft.com/office/drawing/2014/main" id="{8E38C213-8E16-4BFA-B64F-CFAF652C2475}"/>
                </a:ext>
              </a:extLst>
            </xdr:cNvPr>
            <xdr:cNvSpPr txBox="1"/>
          </xdr:nvSpPr>
          <xdr:spPr>
            <a:xfrm>
              <a:off x="1222901" y="11526304"/>
              <a:ext cx="605915" cy="31590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1</xdr:col>
      <xdr:colOff>685342</xdr:colOff>
      <xdr:row>45</xdr:row>
      <xdr:rowOff>150582</xdr:rowOff>
    </xdr:from>
    <xdr:to>
      <xdr:col>2</xdr:col>
      <xdr:colOff>1016937</xdr:colOff>
      <xdr:row>48</xdr:row>
      <xdr:rowOff>106444</xdr:rowOff>
    </xdr:to>
    <mc:AlternateContent xmlns:mc="http://schemas.openxmlformats.org/markup-compatibility/2006" xmlns:a14="http://schemas.microsoft.com/office/drawing/2010/main">
      <mc:Choice Requires="a14">
        <xdr:sp macro="" textlink="">
          <xdr:nvSpPr>
            <xdr:cNvPr id="2" name="Object 4">
              <a:extLst>
                <a:ext uri="{FF2B5EF4-FFF2-40B4-BE49-F238E27FC236}">
                  <a16:creationId xmlns:a16="http://schemas.microsoft.com/office/drawing/2014/main" id="{396D4863-3347-4803-B1C4-1B3A7AD485A8}"/>
                </a:ext>
              </a:extLst>
            </xdr:cNvPr>
            <xdr:cNvSpPr txBox="1"/>
          </xdr:nvSpPr>
          <xdr:spPr>
            <a:xfrm>
              <a:off x="1218742" y="8294457"/>
              <a:ext cx="613535" cy="496882"/>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2" name="Object 4">
              <a:extLst>
                <a:ext uri="{FF2B5EF4-FFF2-40B4-BE49-F238E27FC236}">
                  <a16:creationId xmlns:a16="http://schemas.microsoft.com/office/drawing/2014/main" id="{396D4863-3347-4803-B1C4-1B3A7AD485A8}"/>
                </a:ext>
              </a:extLst>
            </xdr:cNvPr>
            <xdr:cNvSpPr txBox="1"/>
          </xdr:nvSpPr>
          <xdr:spPr>
            <a:xfrm>
              <a:off x="1218742" y="8294457"/>
              <a:ext cx="613535" cy="496882"/>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1</xdr:col>
      <xdr:colOff>620921</xdr:colOff>
      <xdr:row>65</xdr:row>
      <xdr:rowOff>122974</xdr:rowOff>
    </xdr:from>
    <xdr:to>
      <xdr:col>2</xdr:col>
      <xdr:colOff>952516</xdr:colOff>
      <xdr:row>67</xdr:row>
      <xdr:rowOff>78836</xdr:rowOff>
    </xdr:to>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F3500467-5E6C-49DE-B0D1-D429520ABE88}"/>
                </a:ext>
              </a:extLst>
            </xdr:cNvPr>
            <xdr:cNvSpPr txBox="1"/>
          </xdr:nvSpPr>
          <xdr:spPr>
            <a:xfrm>
              <a:off x="1222901" y="11888254"/>
              <a:ext cx="605915" cy="31590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3" name="Object 4">
              <a:extLst>
                <a:ext uri="{FF2B5EF4-FFF2-40B4-BE49-F238E27FC236}">
                  <a16:creationId xmlns:a16="http://schemas.microsoft.com/office/drawing/2014/main" id="{F3500467-5E6C-49DE-B0D1-D429520ABE88}"/>
                </a:ext>
              </a:extLst>
            </xdr:cNvPr>
            <xdr:cNvSpPr txBox="1"/>
          </xdr:nvSpPr>
          <xdr:spPr>
            <a:xfrm>
              <a:off x="1222901" y="11888254"/>
              <a:ext cx="605915" cy="31590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1</xdr:col>
      <xdr:colOff>104775</xdr:colOff>
      <xdr:row>37</xdr:row>
      <xdr:rowOff>38100</xdr:rowOff>
    </xdr:from>
    <xdr:ext cx="453334" cy="363810"/>
    <xdr:pic>
      <xdr:nvPicPr>
        <xdr:cNvPr id="2" name="Picture 1">
          <a:extLst>
            <a:ext uri="{FF2B5EF4-FFF2-40B4-BE49-F238E27FC236}">
              <a16:creationId xmlns:a16="http://schemas.microsoft.com/office/drawing/2014/main" id="{78AF6D03-5FF1-41B4-B04A-2F7C88282701}"/>
            </a:ext>
          </a:extLst>
        </xdr:cNvPr>
        <xdr:cNvPicPr>
          <a:picLocks noChangeAspect="1"/>
        </xdr:cNvPicPr>
      </xdr:nvPicPr>
      <xdr:blipFill>
        <a:blip xmlns:r="http://schemas.openxmlformats.org/officeDocument/2006/relationships" r:embed="rId1"/>
        <a:stretch>
          <a:fillRect/>
        </a:stretch>
      </xdr:blipFill>
      <xdr:spPr>
        <a:xfrm>
          <a:off x="712470" y="6734175"/>
          <a:ext cx="453334" cy="363810"/>
        </a:xfrm>
        <a:prstGeom prst="rect">
          <a:avLst/>
        </a:prstGeom>
      </xdr:spPr>
    </xdr:pic>
    <xdr:clientData/>
  </xdr:oneCellAnchor>
  <xdr:oneCellAnchor>
    <xdr:from>
      <xdr:col>1</xdr:col>
      <xdr:colOff>104775</xdr:colOff>
      <xdr:row>39</xdr:row>
      <xdr:rowOff>38100</xdr:rowOff>
    </xdr:from>
    <xdr:ext cx="556191" cy="340952"/>
    <xdr:pic>
      <xdr:nvPicPr>
        <xdr:cNvPr id="3" name="Picture 2">
          <a:extLst>
            <a:ext uri="{FF2B5EF4-FFF2-40B4-BE49-F238E27FC236}">
              <a16:creationId xmlns:a16="http://schemas.microsoft.com/office/drawing/2014/main" id="{E175E453-4989-45EA-9C94-F2A45C168B14}"/>
            </a:ext>
          </a:extLst>
        </xdr:cNvPr>
        <xdr:cNvPicPr>
          <a:picLocks noChangeAspect="1"/>
        </xdr:cNvPicPr>
      </xdr:nvPicPr>
      <xdr:blipFill>
        <a:blip xmlns:r="http://schemas.openxmlformats.org/officeDocument/2006/relationships" r:embed="rId2"/>
        <a:stretch>
          <a:fillRect/>
        </a:stretch>
      </xdr:blipFill>
      <xdr:spPr>
        <a:xfrm>
          <a:off x="712470" y="7096125"/>
          <a:ext cx="556191" cy="340952"/>
        </a:xfrm>
        <a:prstGeom prst="rect">
          <a:avLst/>
        </a:prstGeom>
      </xdr:spPr>
    </xdr:pic>
    <xdr:clientData/>
  </xdr:oneCellAnchor>
  <xdr:oneCellAnchor>
    <xdr:from>
      <xdr:col>1</xdr:col>
      <xdr:colOff>104775</xdr:colOff>
      <xdr:row>41</xdr:row>
      <xdr:rowOff>38100</xdr:rowOff>
    </xdr:from>
    <xdr:ext cx="518096" cy="287619"/>
    <xdr:pic>
      <xdr:nvPicPr>
        <xdr:cNvPr id="4" name="Picture 3">
          <a:extLst>
            <a:ext uri="{FF2B5EF4-FFF2-40B4-BE49-F238E27FC236}">
              <a16:creationId xmlns:a16="http://schemas.microsoft.com/office/drawing/2014/main" id="{BE5DB206-49C9-481A-A1ED-1DF954714F9F}"/>
            </a:ext>
          </a:extLst>
        </xdr:cNvPr>
        <xdr:cNvPicPr>
          <a:picLocks noChangeAspect="1"/>
        </xdr:cNvPicPr>
      </xdr:nvPicPr>
      <xdr:blipFill>
        <a:blip xmlns:r="http://schemas.openxmlformats.org/officeDocument/2006/relationships" r:embed="rId3"/>
        <a:stretch>
          <a:fillRect/>
        </a:stretch>
      </xdr:blipFill>
      <xdr:spPr>
        <a:xfrm>
          <a:off x="712470" y="7458075"/>
          <a:ext cx="518096" cy="287619"/>
        </a:xfrm>
        <a:prstGeom prst="rect">
          <a:avLst/>
        </a:prstGeom>
      </xdr:spPr>
    </xdr:pic>
    <xdr:clientData/>
  </xdr:oneCellAnchor>
  <xdr:oneCellAnchor>
    <xdr:from>
      <xdr:col>1</xdr:col>
      <xdr:colOff>104775</xdr:colOff>
      <xdr:row>43</xdr:row>
      <xdr:rowOff>38100</xdr:rowOff>
    </xdr:from>
    <xdr:ext cx="495238" cy="299048"/>
    <xdr:pic>
      <xdr:nvPicPr>
        <xdr:cNvPr id="5" name="Picture 4">
          <a:extLst>
            <a:ext uri="{FF2B5EF4-FFF2-40B4-BE49-F238E27FC236}">
              <a16:creationId xmlns:a16="http://schemas.microsoft.com/office/drawing/2014/main" id="{18FCC123-F8C7-4CE8-B6C4-874DD8855CAD}"/>
            </a:ext>
          </a:extLst>
        </xdr:cNvPr>
        <xdr:cNvPicPr>
          <a:picLocks noChangeAspect="1"/>
        </xdr:cNvPicPr>
      </xdr:nvPicPr>
      <xdr:blipFill>
        <a:blip xmlns:r="http://schemas.openxmlformats.org/officeDocument/2006/relationships" r:embed="rId4"/>
        <a:stretch>
          <a:fillRect/>
        </a:stretch>
      </xdr:blipFill>
      <xdr:spPr>
        <a:xfrm>
          <a:off x="712470" y="7820025"/>
          <a:ext cx="495238" cy="299048"/>
        </a:xfrm>
        <a:prstGeom prst="rect">
          <a:avLst/>
        </a:prstGeom>
      </xdr:spPr>
    </xdr:pic>
    <xdr:clientData/>
  </xdr:oneCellAnchor>
  <xdr:oneCellAnchor>
    <xdr:from>
      <xdr:col>1</xdr:col>
      <xdr:colOff>104775</xdr:colOff>
      <xdr:row>45</xdr:row>
      <xdr:rowOff>38100</xdr:rowOff>
    </xdr:from>
    <xdr:ext cx="491429" cy="340952"/>
    <xdr:pic>
      <xdr:nvPicPr>
        <xdr:cNvPr id="6" name="Picture 5">
          <a:extLst>
            <a:ext uri="{FF2B5EF4-FFF2-40B4-BE49-F238E27FC236}">
              <a16:creationId xmlns:a16="http://schemas.microsoft.com/office/drawing/2014/main" id="{FDD1C3C0-F59C-491E-B132-63BC5391E241}"/>
            </a:ext>
          </a:extLst>
        </xdr:cNvPr>
        <xdr:cNvPicPr>
          <a:picLocks noChangeAspect="1"/>
        </xdr:cNvPicPr>
      </xdr:nvPicPr>
      <xdr:blipFill>
        <a:blip xmlns:r="http://schemas.openxmlformats.org/officeDocument/2006/relationships" r:embed="rId5"/>
        <a:stretch>
          <a:fillRect/>
        </a:stretch>
      </xdr:blipFill>
      <xdr:spPr>
        <a:xfrm>
          <a:off x="712470" y="8181975"/>
          <a:ext cx="491429" cy="340952"/>
        </a:xfrm>
        <a:prstGeom prst="rect">
          <a:avLst/>
        </a:prstGeom>
      </xdr:spPr>
    </xdr:pic>
    <xdr:clientData/>
  </xdr:oneCellAnchor>
  <xdr:oneCellAnchor>
    <xdr:from>
      <xdr:col>1</xdr:col>
      <xdr:colOff>104775</xdr:colOff>
      <xdr:row>47</xdr:row>
      <xdr:rowOff>38100</xdr:rowOff>
    </xdr:from>
    <xdr:ext cx="480000" cy="314286"/>
    <xdr:pic>
      <xdr:nvPicPr>
        <xdr:cNvPr id="7" name="Picture 6">
          <a:extLst>
            <a:ext uri="{FF2B5EF4-FFF2-40B4-BE49-F238E27FC236}">
              <a16:creationId xmlns:a16="http://schemas.microsoft.com/office/drawing/2014/main" id="{B6DB733F-CEDA-4A4B-9684-62ED3637264C}"/>
            </a:ext>
          </a:extLst>
        </xdr:cNvPr>
        <xdr:cNvPicPr>
          <a:picLocks noChangeAspect="1"/>
        </xdr:cNvPicPr>
      </xdr:nvPicPr>
      <xdr:blipFill>
        <a:blip xmlns:r="http://schemas.openxmlformats.org/officeDocument/2006/relationships" r:embed="rId6"/>
        <a:stretch>
          <a:fillRect/>
        </a:stretch>
      </xdr:blipFill>
      <xdr:spPr>
        <a:xfrm>
          <a:off x="712470" y="8543925"/>
          <a:ext cx="480000" cy="314286"/>
        </a:xfrm>
        <a:prstGeom prst="rect">
          <a:avLst/>
        </a:prstGeom>
      </xdr:spPr>
    </xdr:pic>
    <xdr:clientData/>
  </xdr:oneCellAnchor>
  <xdr:oneCellAnchor>
    <xdr:from>
      <xdr:col>1</xdr:col>
      <xdr:colOff>104775</xdr:colOff>
      <xdr:row>49</xdr:row>
      <xdr:rowOff>38100</xdr:rowOff>
    </xdr:from>
    <xdr:ext cx="495238" cy="314286"/>
    <xdr:pic>
      <xdr:nvPicPr>
        <xdr:cNvPr id="8" name="Picture 7">
          <a:extLst>
            <a:ext uri="{FF2B5EF4-FFF2-40B4-BE49-F238E27FC236}">
              <a16:creationId xmlns:a16="http://schemas.microsoft.com/office/drawing/2014/main" id="{C84D22AF-274F-4685-A619-E2605E30AA1B}"/>
            </a:ext>
          </a:extLst>
        </xdr:cNvPr>
        <xdr:cNvPicPr>
          <a:picLocks noChangeAspect="1"/>
        </xdr:cNvPicPr>
      </xdr:nvPicPr>
      <xdr:blipFill>
        <a:blip xmlns:r="http://schemas.openxmlformats.org/officeDocument/2006/relationships" r:embed="rId7"/>
        <a:stretch>
          <a:fillRect/>
        </a:stretch>
      </xdr:blipFill>
      <xdr:spPr>
        <a:xfrm>
          <a:off x="712470" y="8905875"/>
          <a:ext cx="495238" cy="314286"/>
        </a:xfrm>
        <a:prstGeom prst="rect">
          <a:avLst/>
        </a:prstGeom>
      </xdr:spPr>
    </xdr:pic>
    <xdr:clientData/>
  </xdr:oneCellAnchor>
  <xdr:oneCellAnchor>
    <xdr:from>
      <xdr:col>1</xdr:col>
      <xdr:colOff>104775</xdr:colOff>
      <xdr:row>51</xdr:row>
      <xdr:rowOff>38100</xdr:rowOff>
    </xdr:from>
    <xdr:ext cx="506667" cy="287619"/>
    <xdr:pic>
      <xdr:nvPicPr>
        <xdr:cNvPr id="9" name="Picture 8">
          <a:extLst>
            <a:ext uri="{FF2B5EF4-FFF2-40B4-BE49-F238E27FC236}">
              <a16:creationId xmlns:a16="http://schemas.microsoft.com/office/drawing/2014/main" id="{CD43EDDC-C90E-454F-BB25-57674AC95794}"/>
            </a:ext>
          </a:extLst>
        </xdr:cNvPr>
        <xdr:cNvPicPr>
          <a:picLocks noChangeAspect="1"/>
        </xdr:cNvPicPr>
      </xdr:nvPicPr>
      <xdr:blipFill>
        <a:blip xmlns:r="http://schemas.openxmlformats.org/officeDocument/2006/relationships" r:embed="rId8"/>
        <a:stretch>
          <a:fillRect/>
        </a:stretch>
      </xdr:blipFill>
      <xdr:spPr>
        <a:xfrm>
          <a:off x="712470" y="9267825"/>
          <a:ext cx="506667" cy="287619"/>
        </a:xfrm>
        <a:prstGeom prst="rect">
          <a:avLst/>
        </a:prstGeom>
      </xdr:spPr>
    </xdr:pic>
    <xdr:clientData/>
  </xdr:oneCellAnchor>
  <xdr:oneCellAnchor>
    <xdr:from>
      <xdr:col>1</xdr:col>
      <xdr:colOff>104775</xdr:colOff>
      <xdr:row>53</xdr:row>
      <xdr:rowOff>38100</xdr:rowOff>
    </xdr:from>
    <xdr:ext cx="457143" cy="337143"/>
    <xdr:pic>
      <xdr:nvPicPr>
        <xdr:cNvPr id="10" name="Picture 9">
          <a:extLst>
            <a:ext uri="{FF2B5EF4-FFF2-40B4-BE49-F238E27FC236}">
              <a16:creationId xmlns:a16="http://schemas.microsoft.com/office/drawing/2014/main" id="{ADB6E0D8-FB6C-44B0-9A2A-81F9CF50D97A}"/>
            </a:ext>
          </a:extLst>
        </xdr:cNvPr>
        <xdr:cNvPicPr>
          <a:picLocks noChangeAspect="1"/>
        </xdr:cNvPicPr>
      </xdr:nvPicPr>
      <xdr:blipFill>
        <a:blip xmlns:r="http://schemas.openxmlformats.org/officeDocument/2006/relationships" r:embed="rId9"/>
        <a:stretch>
          <a:fillRect/>
        </a:stretch>
      </xdr:blipFill>
      <xdr:spPr>
        <a:xfrm>
          <a:off x="712470" y="9629775"/>
          <a:ext cx="457143" cy="337143"/>
        </a:xfrm>
        <a:prstGeom prst="rect">
          <a:avLst/>
        </a:prstGeom>
      </xdr:spPr>
    </xdr:pic>
    <xdr:clientData/>
  </xdr:oneCellAnchor>
  <xdr:oneCellAnchor>
    <xdr:from>
      <xdr:col>1</xdr:col>
      <xdr:colOff>104775</xdr:colOff>
      <xdr:row>55</xdr:row>
      <xdr:rowOff>38100</xdr:rowOff>
    </xdr:from>
    <xdr:ext cx="441905" cy="264762"/>
    <xdr:pic>
      <xdr:nvPicPr>
        <xdr:cNvPr id="11" name="Picture 10">
          <a:extLst>
            <a:ext uri="{FF2B5EF4-FFF2-40B4-BE49-F238E27FC236}">
              <a16:creationId xmlns:a16="http://schemas.microsoft.com/office/drawing/2014/main" id="{A82FA448-5E8B-4F07-9DB9-8E24917F6AA1}"/>
            </a:ext>
          </a:extLst>
        </xdr:cNvPr>
        <xdr:cNvPicPr>
          <a:picLocks noChangeAspect="1"/>
        </xdr:cNvPicPr>
      </xdr:nvPicPr>
      <xdr:blipFill>
        <a:blip xmlns:r="http://schemas.openxmlformats.org/officeDocument/2006/relationships" r:embed="rId10"/>
        <a:stretch>
          <a:fillRect/>
        </a:stretch>
      </xdr:blipFill>
      <xdr:spPr>
        <a:xfrm>
          <a:off x="712470" y="9991725"/>
          <a:ext cx="441905" cy="264762"/>
        </a:xfrm>
        <a:prstGeom prst="rect">
          <a:avLst/>
        </a:prstGeom>
      </xdr:spPr>
    </xdr:pic>
    <xdr:clientData/>
  </xdr:oneCellAnchor>
  <xdr:oneCellAnchor>
    <xdr:from>
      <xdr:col>1</xdr:col>
      <xdr:colOff>104775</xdr:colOff>
      <xdr:row>57</xdr:row>
      <xdr:rowOff>38100</xdr:rowOff>
    </xdr:from>
    <xdr:ext cx="457143" cy="287619"/>
    <xdr:pic>
      <xdr:nvPicPr>
        <xdr:cNvPr id="12" name="Picture 11">
          <a:extLst>
            <a:ext uri="{FF2B5EF4-FFF2-40B4-BE49-F238E27FC236}">
              <a16:creationId xmlns:a16="http://schemas.microsoft.com/office/drawing/2014/main" id="{43863649-094A-4397-AFB4-BC62F1E310A9}"/>
            </a:ext>
          </a:extLst>
        </xdr:cNvPr>
        <xdr:cNvPicPr>
          <a:picLocks noChangeAspect="1"/>
        </xdr:cNvPicPr>
      </xdr:nvPicPr>
      <xdr:blipFill>
        <a:blip xmlns:r="http://schemas.openxmlformats.org/officeDocument/2006/relationships" r:embed="rId11"/>
        <a:stretch>
          <a:fillRect/>
        </a:stretch>
      </xdr:blipFill>
      <xdr:spPr>
        <a:xfrm>
          <a:off x="712470" y="10353675"/>
          <a:ext cx="457143" cy="287619"/>
        </a:xfrm>
        <a:prstGeom prst="rect">
          <a:avLst/>
        </a:prstGeom>
      </xdr:spPr>
    </xdr:pic>
    <xdr:clientData/>
  </xdr:oneCellAnchor>
  <xdr:oneCellAnchor>
    <xdr:from>
      <xdr:col>4</xdr:col>
      <xdr:colOff>171450</xdr:colOff>
      <xdr:row>37</xdr:row>
      <xdr:rowOff>76200</xdr:rowOff>
    </xdr:from>
    <xdr:ext cx="388572" cy="264762"/>
    <xdr:pic>
      <xdr:nvPicPr>
        <xdr:cNvPr id="13" name="Picture 12">
          <a:extLst>
            <a:ext uri="{FF2B5EF4-FFF2-40B4-BE49-F238E27FC236}">
              <a16:creationId xmlns:a16="http://schemas.microsoft.com/office/drawing/2014/main" id="{24AFB8A0-4A29-4584-9D0D-BFF5C115E737}"/>
            </a:ext>
          </a:extLst>
        </xdr:cNvPr>
        <xdr:cNvPicPr>
          <a:picLocks noChangeAspect="1"/>
        </xdr:cNvPicPr>
      </xdr:nvPicPr>
      <xdr:blipFill>
        <a:blip xmlns:r="http://schemas.openxmlformats.org/officeDocument/2006/relationships" r:embed="rId12"/>
        <a:stretch>
          <a:fillRect/>
        </a:stretch>
      </xdr:blipFill>
      <xdr:spPr>
        <a:xfrm>
          <a:off x="2606040" y="6772275"/>
          <a:ext cx="388572" cy="264762"/>
        </a:xfrm>
        <a:prstGeom prst="rect">
          <a:avLst/>
        </a:prstGeom>
      </xdr:spPr>
    </xdr:pic>
    <xdr:clientData/>
  </xdr:oneCellAnchor>
  <xdr:oneCellAnchor>
    <xdr:from>
      <xdr:col>4</xdr:col>
      <xdr:colOff>171450</xdr:colOff>
      <xdr:row>43</xdr:row>
      <xdr:rowOff>76200</xdr:rowOff>
    </xdr:from>
    <xdr:ext cx="415239" cy="287619"/>
    <xdr:pic>
      <xdr:nvPicPr>
        <xdr:cNvPr id="14" name="Picture 13">
          <a:extLst>
            <a:ext uri="{FF2B5EF4-FFF2-40B4-BE49-F238E27FC236}">
              <a16:creationId xmlns:a16="http://schemas.microsoft.com/office/drawing/2014/main" id="{8DFDC6DC-EA0A-41B9-AC54-9447ECB84E12}"/>
            </a:ext>
          </a:extLst>
        </xdr:cNvPr>
        <xdr:cNvPicPr>
          <a:picLocks noChangeAspect="1"/>
        </xdr:cNvPicPr>
      </xdr:nvPicPr>
      <xdr:blipFill>
        <a:blip xmlns:r="http://schemas.openxmlformats.org/officeDocument/2006/relationships" r:embed="rId13"/>
        <a:stretch>
          <a:fillRect/>
        </a:stretch>
      </xdr:blipFill>
      <xdr:spPr>
        <a:xfrm>
          <a:off x="2606040" y="7858125"/>
          <a:ext cx="415239" cy="287619"/>
        </a:xfrm>
        <a:prstGeom prst="rect">
          <a:avLst/>
        </a:prstGeom>
      </xdr:spPr>
    </xdr:pic>
    <xdr:clientData/>
  </xdr:oneCellAnchor>
  <xdr:oneCellAnchor>
    <xdr:from>
      <xdr:col>4</xdr:col>
      <xdr:colOff>171450</xdr:colOff>
      <xdr:row>45</xdr:row>
      <xdr:rowOff>76200</xdr:rowOff>
    </xdr:from>
    <xdr:ext cx="415239" cy="264762"/>
    <xdr:pic>
      <xdr:nvPicPr>
        <xdr:cNvPr id="15" name="Picture 14">
          <a:extLst>
            <a:ext uri="{FF2B5EF4-FFF2-40B4-BE49-F238E27FC236}">
              <a16:creationId xmlns:a16="http://schemas.microsoft.com/office/drawing/2014/main" id="{4F96CA9C-453F-4885-A808-CC0ACBB82FEF}"/>
            </a:ext>
          </a:extLst>
        </xdr:cNvPr>
        <xdr:cNvPicPr>
          <a:picLocks noChangeAspect="1"/>
        </xdr:cNvPicPr>
      </xdr:nvPicPr>
      <xdr:blipFill>
        <a:blip xmlns:r="http://schemas.openxmlformats.org/officeDocument/2006/relationships" r:embed="rId14"/>
        <a:stretch>
          <a:fillRect/>
        </a:stretch>
      </xdr:blipFill>
      <xdr:spPr>
        <a:xfrm>
          <a:off x="2606040" y="8220075"/>
          <a:ext cx="415239" cy="264762"/>
        </a:xfrm>
        <a:prstGeom prst="rect">
          <a:avLst/>
        </a:prstGeom>
      </xdr:spPr>
    </xdr:pic>
    <xdr:clientData/>
  </xdr:oneCellAnchor>
  <xdr:oneCellAnchor>
    <xdr:from>
      <xdr:col>4</xdr:col>
      <xdr:colOff>171450</xdr:colOff>
      <xdr:row>47</xdr:row>
      <xdr:rowOff>76200</xdr:rowOff>
    </xdr:from>
    <xdr:ext cx="403810" cy="287619"/>
    <xdr:pic>
      <xdr:nvPicPr>
        <xdr:cNvPr id="16" name="Picture 15">
          <a:extLst>
            <a:ext uri="{FF2B5EF4-FFF2-40B4-BE49-F238E27FC236}">
              <a16:creationId xmlns:a16="http://schemas.microsoft.com/office/drawing/2014/main" id="{64364B3C-0B95-44D9-970A-7F58157F931F}"/>
            </a:ext>
          </a:extLst>
        </xdr:cNvPr>
        <xdr:cNvPicPr>
          <a:picLocks noChangeAspect="1"/>
        </xdr:cNvPicPr>
      </xdr:nvPicPr>
      <xdr:blipFill>
        <a:blip xmlns:r="http://schemas.openxmlformats.org/officeDocument/2006/relationships" r:embed="rId15"/>
        <a:stretch>
          <a:fillRect/>
        </a:stretch>
      </xdr:blipFill>
      <xdr:spPr>
        <a:xfrm>
          <a:off x="2606040" y="8582025"/>
          <a:ext cx="403810" cy="287619"/>
        </a:xfrm>
        <a:prstGeom prst="rect">
          <a:avLst/>
        </a:prstGeom>
      </xdr:spPr>
    </xdr:pic>
    <xdr:clientData/>
  </xdr:oneCellAnchor>
  <xdr:oneCellAnchor>
    <xdr:from>
      <xdr:col>4</xdr:col>
      <xdr:colOff>142875</xdr:colOff>
      <xdr:row>39</xdr:row>
      <xdr:rowOff>19050</xdr:rowOff>
    </xdr:from>
    <xdr:ext cx="495238" cy="375239"/>
    <xdr:pic>
      <xdr:nvPicPr>
        <xdr:cNvPr id="17" name="Picture 16">
          <a:extLst>
            <a:ext uri="{FF2B5EF4-FFF2-40B4-BE49-F238E27FC236}">
              <a16:creationId xmlns:a16="http://schemas.microsoft.com/office/drawing/2014/main" id="{373503C1-8134-40E1-897C-8A949810AA42}"/>
            </a:ext>
          </a:extLst>
        </xdr:cNvPr>
        <xdr:cNvPicPr>
          <a:picLocks noChangeAspect="1"/>
        </xdr:cNvPicPr>
      </xdr:nvPicPr>
      <xdr:blipFill>
        <a:blip xmlns:r="http://schemas.openxmlformats.org/officeDocument/2006/relationships" r:embed="rId16"/>
        <a:stretch>
          <a:fillRect/>
        </a:stretch>
      </xdr:blipFill>
      <xdr:spPr>
        <a:xfrm>
          <a:off x="2579370" y="7073265"/>
          <a:ext cx="495238" cy="375239"/>
        </a:xfrm>
        <a:prstGeom prst="rect">
          <a:avLst/>
        </a:prstGeom>
      </xdr:spPr>
    </xdr:pic>
    <xdr:clientData/>
  </xdr:oneCellAnchor>
  <xdr:oneCellAnchor>
    <xdr:from>
      <xdr:col>4</xdr:col>
      <xdr:colOff>180975</xdr:colOff>
      <xdr:row>41</xdr:row>
      <xdr:rowOff>38100</xdr:rowOff>
    </xdr:from>
    <xdr:ext cx="392381" cy="337143"/>
    <xdr:pic>
      <xdr:nvPicPr>
        <xdr:cNvPr id="18" name="Picture 17">
          <a:extLst>
            <a:ext uri="{FF2B5EF4-FFF2-40B4-BE49-F238E27FC236}">
              <a16:creationId xmlns:a16="http://schemas.microsoft.com/office/drawing/2014/main" id="{E540B161-B52B-48E0-8B0F-A667B84181FF}"/>
            </a:ext>
          </a:extLst>
        </xdr:cNvPr>
        <xdr:cNvPicPr>
          <a:picLocks noChangeAspect="1"/>
        </xdr:cNvPicPr>
      </xdr:nvPicPr>
      <xdr:blipFill>
        <a:blip xmlns:r="http://schemas.openxmlformats.org/officeDocument/2006/relationships" r:embed="rId17"/>
        <a:stretch>
          <a:fillRect/>
        </a:stretch>
      </xdr:blipFill>
      <xdr:spPr>
        <a:xfrm>
          <a:off x="2617470" y="7458075"/>
          <a:ext cx="392381" cy="337143"/>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7</xdr:col>
      <xdr:colOff>906395</xdr:colOff>
      <xdr:row>80</xdr:row>
      <xdr:rowOff>139608</xdr:rowOff>
    </xdr:from>
    <xdr:to>
      <xdr:col>8</xdr:col>
      <xdr:colOff>129760</xdr:colOff>
      <xdr:row>82</xdr:row>
      <xdr:rowOff>135097</xdr:rowOff>
    </xdr:to>
    <mc:AlternateContent xmlns:mc="http://schemas.openxmlformats.org/markup-compatibility/2006" xmlns:a14="http://schemas.microsoft.com/office/drawing/2010/main">
      <mc:Choice Requires="a14">
        <xdr:sp macro="" textlink="">
          <xdr:nvSpPr>
            <xdr:cNvPr id="2" name="Object 5">
              <a:extLst>
                <a:ext uri="{FF2B5EF4-FFF2-40B4-BE49-F238E27FC236}">
                  <a16:creationId xmlns:a16="http://schemas.microsoft.com/office/drawing/2014/main" id="{263901B2-3155-499E-955C-7C4F79B83EBC}"/>
                </a:ext>
              </a:extLst>
            </xdr:cNvPr>
            <xdr:cNvSpPr txBox="1"/>
          </xdr:nvSpPr>
          <xdr:spPr>
            <a:xfrm>
              <a:off x="5028815" y="14613798"/>
              <a:ext cx="133955" cy="357439"/>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77</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2" name="Object 5">
              <a:extLst>
                <a:ext uri="{FF2B5EF4-FFF2-40B4-BE49-F238E27FC236}">
                  <a16:creationId xmlns:a16="http://schemas.microsoft.com/office/drawing/2014/main" id="{263901B2-3155-499E-955C-7C4F79B83EBC}"/>
                </a:ext>
              </a:extLst>
            </xdr:cNvPr>
            <xdr:cNvSpPr txBox="1"/>
          </xdr:nvSpPr>
          <xdr:spPr>
            <a:xfrm>
              <a:off x="5028815" y="14613798"/>
              <a:ext cx="133955" cy="357439"/>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77^((</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6</xdr:col>
      <xdr:colOff>976870</xdr:colOff>
      <xdr:row>81</xdr:row>
      <xdr:rowOff>8204</xdr:rowOff>
    </xdr:from>
    <xdr:to>
      <xdr:col>7</xdr:col>
      <xdr:colOff>136051</xdr:colOff>
      <xdr:row>83</xdr:row>
      <xdr:rowOff>130489</xdr:rowOff>
    </xdr:to>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E7BF8F76-82D2-4247-81F7-DCD530A23B46}"/>
                </a:ext>
              </a:extLst>
            </xdr:cNvPr>
            <xdr:cNvSpPr txBox="1"/>
          </xdr:nvSpPr>
          <xdr:spPr>
            <a:xfrm>
              <a:off x="4402060" y="14669084"/>
              <a:ext cx="130731" cy="486140"/>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65</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3" name="Object 4">
              <a:extLst>
                <a:ext uri="{FF2B5EF4-FFF2-40B4-BE49-F238E27FC236}">
                  <a16:creationId xmlns:a16="http://schemas.microsoft.com/office/drawing/2014/main" id="{E7BF8F76-82D2-4247-81F7-DCD530A23B46}"/>
                </a:ext>
              </a:extLst>
            </xdr:cNvPr>
            <xdr:cNvSpPr txBox="1"/>
          </xdr:nvSpPr>
          <xdr:spPr>
            <a:xfrm>
              <a:off x="4402060" y="14669084"/>
              <a:ext cx="130731" cy="486140"/>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̈_65^((12) )</a:t>
              </a:r>
              <a:endParaRPr lang="en-US"/>
            </a:p>
          </xdr:txBody>
        </xdr:sp>
      </mc:Fallback>
    </mc:AlternateContent>
    <xdr:clientData/>
  </xdr:twoCellAnchor>
  <xdr:twoCellAnchor>
    <xdr:from>
      <xdr:col>2</xdr:col>
      <xdr:colOff>159764</xdr:colOff>
      <xdr:row>86</xdr:row>
      <xdr:rowOff>144876</xdr:rowOff>
    </xdr:from>
    <xdr:to>
      <xdr:col>3</xdr:col>
      <xdr:colOff>487494</xdr:colOff>
      <xdr:row>88</xdr:row>
      <xdr:rowOff>100738</xdr:rowOff>
    </xdr:to>
    <mc:AlternateContent xmlns:mc="http://schemas.openxmlformats.org/markup-compatibility/2006" xmlns:a14="http://schemas.microsoft.com/office/drawing/2010/main">
      <mc:Choice Requires="a14">
        <xdr:sp macro="" textlink="">
          <xdr:nvSpPr>
            <xdr:cNvPr id="4" name="Object 4">
              <a:extLst>
                <a:ext uri="{FF2B5EF4-FFF2-40B4-BE49-F238E27FC236}">
                  <a16:creationId xmlns:a16="http://schemas.microsoft.com/office/drawing/2014/main" id="{1DDE7486-51B8-493B-A396-5C49E0F4D28D}"/>
                </a:ext>
              </a:extLst>
            </xdr:cNvPr>
            <xdr:cNvSpPr txBox="1"/>
          </xdr:nvSpPr>
          <xdr:spPr>
            <a:xfrm>
              <a:off x="1418969" y="15706821"/>
              <a:ext cx="952570" cy="31590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r>
                          <a:rPr lang="en-CA" b="0" i="1">
                            <a:solidFill>
                              <a:srgbClr val="000000"/>
                            </a:solidFill>
                            <a:latin typeface="Cambria Math" panose="02040503050406030204" pitchFamily="18" charset="0"/>
                          </a:rPr>
                          <m:t> </m:t>
                        </m:r>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4" name="Object 4">
              <a:extLst>
                <a:ext uri="{FF2B5EF4-FFF2-40B4-BE49-F238E27FC236}">
                  <a16:creationId xmlns:a16="http://schemas.microsoft.com/office/drawing/2014/main" id="{1DDE7486-51B8-493B-A396-5C49E0F4D28D}"/>
                </a:ext>
              </a:extLst>
            </xdr:cNvPr>
            <xdr:cNvSpPr txBox="1"/>
          </xdr:nvSpPr>
          <xdr:spPr>
            <a:xfrm>
              <a:off x="1418969" y="15706821"/>
              <a:ext cx="952570" cy="31590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CA" b="0" i="0">
                  <a:solidFill>
                    <a:srgbClr val="000000"/>
                  </a:solidFill>
                  <a:latin typeface="Cambria Math" panose="02040503050406030204" pitchFamily="18" charset="0"/>
                </a:rPr>
                <a:t>^ </a:t>
              </a:r>
              <a:r>
                <a:rPr lang="en-US" b="0" i="0">
                  <a:solidFill>
                    <a:srgbClr val="000000"/>
                  </a:solidFill>
                  <a:latin typeface="Cambria Math" panose="02040503050406030204" pitchFamily="18" charset="0"/>
                </a:rPr>
                <a:t>)</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3</xdr:col>
      <xdr:colOff>719904</xdr:colOff>
      <xdr:row>80</xdr:row>
      <xdr:rowOff>154296</xdr:rowOff>
    </xdr:from>
    <xdr:to>
      <xdr:col>4</xdr:col>
      <xdr:colOff>91440</xdr:colOff>
      <xdr:row>83</xdr:row>
      <xdr:rowOff>116561</xdr:rowOff>
    </xdr:to>
    <mc:AlternateContent xmlns:mc="http://schemas.openxmlformats.org/markup-compatibility/2006" xmlns:a14="http://schemas.microsoft.com/office/drawing/2010/main">
      <mc:Choice Requires="a14">
        <xdr:sp macro="" textlink="">
          <xdr:nvSpPr>
            <xdr:cNvPr id="5" name="Object 4">
              <a:extLst>
                <a:ext uri="{FF2B5EF4-FFF2-40B4-BE49-F238E27FC236}">
                  <a16:creationId xmlns:a16="http://schemas.microsoft.com/office/drawing/2014/main" id="{BD558BD3-C2AF-46A8-A388-CE1F80582377}"/>
                </a:ext>
              </a:extLst>
            </xdr:cNvPr>
            <xdr:cNvSpPr txBox="1"/>
          </xdr:nvSpPr>
          <xdr:spPr>
            <a:xfrm>
              <a:off x="2518224" y="14632296"/>
              <a:ext cx="91626" cy="505190"/>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59</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5" name="Object 4">
              <a:extLst>
                <a:ext uri="{FF2B5EF4-FFF2-40B4-BE49-F238E27FC236}">
                  <a16:creationId xmlns:a16="http://schemas.microsoft.com/office/drawing/2014/main" id="{BD558BD3-C2AF-46A8-A388-CE1F80582377}"/>
                </a:ext>
              </a:extLst>
            </xdr:cNvPr>
            <xdr:cNvSpPr txBox="1"/>
          </xdr:nvSpPr>
          <xdr:spPr>
            <a:xfrm>
              <a:off x="2518224" y="14632296"/>
              <a:ext cx="91626" cy="505190"/>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59^((</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152400</xdr:colOff>
      <xdr:row>106</xdr:row>
      <xdr:rowOff>64099</xdr:rowOff>
    </xdr:from>
    <xdr:to>
      <xdr:col>2</xdr:col>
      <xdr:colOff>644210</xdr:colOff>
      <xdr:row>108</xdr:row>
      <xdr:rowOff>83821</xdr:rowOff>
    </xdr:to>
    <mc:AlternateContent xmlns:mc="http://schemas.openxmlformats.org/markup-compatibility/2006" xmlns:a14="http://schemas.microsoft.com/office/drawing/2010/main">
      <mc:Choice Requires="a14">
        <xdr:sp macro="" textlink="">
          <xdr:nvSpPr>
            <xdr:cNvPr id="6" name="Object 5">
              <a:extLst>
                <a:ext uri="{FF2B5EF4-FFF2-40B4-BE49-F238E27FC236}">
                  <a16:creationId xmlns:a16="http://schemas.microsoft.com/office/drawing/2014/main" id="{199B6830-AD8E-414D-BF40-84245747B38A}"/>
                </a:ext>
              </a:extLst>
            </xdr:cNvPr>
            <xdr:cNvSpPr txBox="1"/>
          </xdr:nvSpPr>
          <xdr:spPr>
            <a:xfrm>
              <a:off x="1409700" y="19243639"/>
              <a:ext cx="472760" cy="38738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77</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6" name="Object 5">
              <a:extLst>
                <a:ext uri="{FF2B5EF4-FFF2-40B4-BE49-F238E27FC236}">
                  <a16:creationId xmlns:a16="http://schemas.microsoft.com/office/drawing/2014/main" id="{199B6830-AD8E-414D-BF40-84245747B38A}"/>
                </a:ext>
              </a:extLst>
            </xdr:cNvPr>
            <xdr:cNvSpPr txBox="1"/>
          </xdr:nvSpPr>
          <xdr:spPr>
            <a:xfrm>
              <a:off x="1409700" y="19243639"/>
              <a:ext cx="472760" cy="38738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77^((</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127234</xdr:colOff>
      <xdr:row>104</xdr:row>
      <xdr:rowOff>48136</xdr:rowOff>
    </xdr:from>
    <xdr:to>
      <xdr:col>2</xdr:col>
      <xdr:colOff>623139</xdr:colOff>
      <xdr:row>106</xdr:row>
      <xdr:rowOff>38100</xdr:rowOff>
    </xdr:to>
    <mc:AlternateContent xmlns:mc="http://schemas.openxmlformats.org/markup-compatibility/2006" xmlns:a14="http://schemas.microsoft.com/office/drawing/2010/main">
      <mc:Choice Requires="a14">
        <xdr:sp macro="" textlink="">
          <xdr:nvSpPr>
            <xdr:cNvPr id="7" name="Object 5">
              <a:extLst>
                <a:ext uri="{FF2B5EF4-FFF2-40B4-BE49-F238E27FC236}">
                  <a16:creationId xmlns:a16="http://schemas.microsoft.com/office/drawing/2014/main" id="{1BE4C54E-7E02-4671-8A2D-FADD104AF459}"/>
                </a:ext>
              </a:extLst>
            </xdr:cNvPr>
            <xdr:cNvSpPr txBox="1"/>
          </xdr:nvSpPr>
          <xdr:spPr>
            <a:xfrm>
              <a:off x="1388344" y="18871441"/>
              <a:ext cx="495905" cy="350009"/>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61</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7" name="Object 5">
              <a:extLst>
                <a:ext uri="{FF2B5EF4-FFF2-40B4-BE49-F238E27FC236}">
                  <a16:creationId xmlns:a16="http://schemas.microsoft.com/office/drawing/2014/main" id="{1BE4C54E-7E02-4671-8A2D-FADD104AF459}"/>
                </a:ext>
              </a:extLst>
            </xdr:cNvPr>
            <xdr:cNvSpPr txBox="1"/>
          </xdr:nvSpPr>
          <xdr:spPr>
            <a:xfrm>
              <a:off x="1388344" y="18871441"/>
              <a:ext cx="495905" cy="350009"/>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61^((</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5</xdr:col>
      <xdr:colOff>875089</xdr:colOff>
      <xdr:row>81</xdr:row>
      <xdr:rowOff>17457</xdr:rowOff>
    </xdr:from>
    <xdr:to>
      <xdr:col>6</xdr:col>
      <xdr:colOff>125710</xdr:colOff>
      <xdr:row>83</xdr:row>
      <xdr:rowOff>139742</xdr:rowOff>
    </xdr:to>
    <mc:AlternateContent xmlns:mc="http://schemas.openxmlformats.org/markup-compatibility/2006" xmlns:a14="http://schemas.microsoft.com/office/drawing/2010/main">
      <mc:Choice Requires="a14">
        <xdr:sp macro="" textlink="">
          <xdr:nvSpPr>
            <xdr:cNvPr id="8" name="Object 4">
              <a:extLst>
                <a:ext uri="{FF2B5EF4-FFF2-40B4-BE49-F238E27FC236}">
                  <a16:creationId xmlns:a16="http://schemas.microsoft.com/office/drawing/2014/main" id="{A7734D50-E65C-4A42-B2E4-3B3D31A1B380}"/>
                </a:ext>
              </a:extLst>
            </xdr:cNvPr>
            <xdr:cNvSpPr txBox="1"/>
          </xdr:nvSpPr>
          <xdr:spPr>
            <a:xfrm>
              <a:off x="3770689" y="14680242"/>
              <a:ext cx="128826" cy="476615"/>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1</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8" name="Object 4">
              <a:extLst>
                <a:ext uri="{FF2B5EF4-FFF2-40B4-BE49-F238E27FC236}">
                  <a16:creationId xmlns:a16="http://schemas.microsoft.com/office/drawing/2014/main" id="{A7734D50-E65C-4A42-B2E4-3B3D31A1B380}"/>
                </a:ext>
              </a:extLst>
            </xdr:cNvPr>
            <xdr:cNvSpPr txBox="1"/>
          </xdr:nvSpPr>
          <xdr:spPr>
            <a:xfrm>
              <a:off x="3770689" y="14680242"/>
              <a:ext cx="128826" cy="476615"/>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1^((</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125922</xdr:colOff>
      <xdr:row>102</xdr:row>
      <xdr:rowOff>76567</xdr:rowOff>
    </xdr:from>
    <xdr:to>
      <xdr:col>2</xdr:col>
      <xdr:colOff>621827</xdr:colOff>
      <xdr:row>104</xdr:row>
      <xdr:rowOff>121920</xdr:rowOff>
    </xdr:to>
    <mc:AlternateContent xmlns:mc="http://schemas.openxmlformats.org/markup-compatibility/2006" xmlns:a14="http://schemas.microsoft.com/office/drawing/2010/main">
      <mc:Choice Requires="a14">
        <xdr:sp macro="" textlink="">
          <xdr:nvSpPr>
            <xdr:cNvPr id="9" name="Object 5">
              <a:extLst>
                <a:ext uri="{FF2B5EF4-FFF2-40B4-BE49-F238E27FC236}">
                  <a16:creationId xmlns:a16="http://schemas.microsoft.com/office/drawing/2014/main" id="{31D1BC17-4ED4-4A0F-8835-C3AF4CB10FE0}"/>
                </a:ext>
              </a:extLst>
            </xdr:cNvPr>
            <xdr:cNvSpPr txBox="1"/>
          </xdr:nvSpPr>
          <xdr:spPr>
            <a:xfrm>
              <a:off x="1387032" y="18536017"/>
              <a:ext cx="495905" cy="409208"/>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59</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9" name="Object 5">
              <a:extLst>
                <a:ext uri="{FF2B5EF4-FFF2-40B4-BE49-F238E27FC236}">
                  <a16:creationId xmlns:a16="http://schemas.microsoft.com/office/drawing/2014/main" id="{31D1BC17-4ED4-4A0F-8835-C3AF4CB10FE0}"/>
                </a:ext>
              </a:extLst>
            </xdr:cNvPr>
            <xdr:cNvSpPr txBox="1"/>
          </xdr:nvSpPr>
          <xdr:spPr>
            <a:xfrm>
              <a:off x="1387032" y="18536017"/>
              <a:ext cx="495905" cy="409208"/>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59^((</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103613</xdr:colOff>
      <xdr:row>100</xdr:row>
      <xdr:rowOff>31619</xdr:rowOff>
    </xdr:from>
    <xdr:to>
      <xdr:col>2</xdr:col>
      <xdr:colOff>845821</xdr:colOff>
      <xdr:row>101</xdr:row>
      <xdr:rowOff>190501</xdr:rowOff>
    </xdr:to>
    <mc:AlternateContent xmlns:mc="http://schemas.openxmlformats.org/markup-compatibility/2006" xmlns:a14="http://schemas.microsoft.com/office/drawing/2010/main">
      <mc:Choice Requires="a14">
        <xdr:sp macro="" textlink="">
          <xdr:nvSpPr>
            <xdr:cNvPr id="10" name="Object 4">
              <a:extLst>
                <a:ext uri="{FF2B5EF4-FFF2-40B4-BE49-F238E27FC236}">
                  <a16:creationId xmlns:a16="http://schemas.microsoft.com/office/drawing/2014/main" id="{CBE17420-3544-4C1E-90F3-53911119DC8E}"/>
                </a:ext>
              </a:extLst>
            </xdr:cNvPr>
            <xdr:cNvSpPr txBox="1"/>
          </xdr:nvSpPr>
          <xdr:spPr>
            <a:xfrm>
              <a:off x="1359008" y="18127214"/>
              <a:ext cx="526943" cy="33223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20|</m:t>
                        </m:r>
                      </m:sub>
                      <m:sup>
                        <m:r>
                          <a:rPr lang="en-CA" b="0" i="1">
                            <a:solidFill>
                              <a:srgbClr val="000000"/>
                            </a:solidFill>
                            <a:latin typeface="Cambria Math" panose="02040503050406030204" pitchFamily="18" charset="0"/>
                          </a:rPr>
                          <m:t> </m:t>
                        </m:r>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45</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10" name="Object 4">
              <a:extLst>
                <a:ext uri="{FF2B5EF4-FFF2-40B4-BE49-F238E27FC236}">
                  <a16:creationId xmlns:a16="http://schemas.microsoft.com/office/drawing/2014/main" id="{CBE17420-3544-4C1E-90F3-53911119DC8E}"/>
                </a:ext>
              </a:extLst>
            </xdr:cNvPr>
            <xdr:cNvSpPr txBox="1"/>
          </xdr:nvSpPr>
          <xdr:spPr>
            <a:xfrm>
              <a:off x="1359008" y="18127214"/>
              <a:ext cx="526943" cy="33223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_20|</a:t>
              </a:r>
              <a:r>
                <a:rPr lang="en-CA" b="0" i="0">
                  <a:solidFill>
                    <a:srgbClr val="000000"/>
                  </a:solidFill>
                  <a:latin typeface="Cambria Math" panose="02040503050406030204" pitchFamily="18" charset="0"/>
                </a:rPr>
                <a:t>^ </a:t>
              </a:r>
              <a:r>
                <a:rPr lang="en-US" b="0" i="0">
                  <a:solidFill>
                    <a:srgbClr val="000000"/>
                  </a:solidFill>
                  <a:latin typeface="Cambria Math" panose="02040503050406030204" pitchFamily="18" charset="0"/>
                </a:rPr>
                <a:t>)</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45^((</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4</xdr:col>
      <xdr:colOff>769434</xdr:colOff>
      <xdr:row>81</xdr:row>
      <xdr:rowOff>16319</xdr:rowOff>
    </xdr:from>
    <xdr:to>
      <xdr:col>5</xdr:col>
      <xdr:colOff>48169</xdr:colOff>
      <xdr:row>84</xdr:row>
      <xdr:rowOff>141514</xdr:rowOff>
    </xdr:to>
    <mc:AlternateContent xmlns:mc="http://schemas.openxmlformats.org/markup-compatibility/2006" xmlns:a14="http://schemas.microsoft.com/office/drawing/2010/main">
      <mc:Choice Requires="a14">
        <xdr:sp macro="" textlink="">
          <xdr:nvSpPr>
            <xdr:cNvPr id="11" name="Object 4">
              <a:extLst>
                <a:ext uri="{FF2B5EF4-FFF2-40B4-BE49-F238E27FC236}">
                  <a16:creationId xmlns:a16="http://schemas.microsoft.com/office/drawing/2014/main" id="{4D79F51B-D28D-4479-AC2E-4117CBBD1D96}"/>
                </a:ext>
              </a:extLst>
            </xdr:cNvPr>
            <xdr:cNvSpPr txBox="1"/>
          </xdr:nvSpPr>
          <xdr:spPr>
            <a:xfrm flipH="1">
              <a:off x="3143064" y="14679104"/>
              <a:ext cx="50260" cy="662405"/>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0</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1" name="Object 4">
              <a:extLst>
                <a:ext uri="{FF2B5EF4-FFF2-40B4-BE49-F238E27FC236}">
                  <a16:creationId xmlns:a16="http://schemas.microsoft.com/office/drawing/2014/main" id="{4D79F51B-D28D-4479-AC2E-4117CBBD1D96}"/>
                </a:ext>
              </a:extLst>
            </xdr:cNvPr>
            <xdr:cNvSpPr txBox="1"/>
          </xdr:nvSpPr>
          <xdr:spPr>
            <a:xfrm flipH="1">
              <a:off x="3143064" y="14679104"/>
              <a:ext cx="50260" cy="662405"/>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0^((</a:t>
              </a:r>
              <a:r>
                <a:rPr lang="en-US" i="0">
                  <a:solidFill>
                    <a:srgbClr val="000000"/>
                  </a:solidFill>
                  <a:latin typeface="Cambria Math" panose="02040503050406030204" pitchFamily="18" charset="0"/>
                </a:rPr>
                <a:t>12) )</a:t>
              </a:r>
              <a:endParaRPr lang="en-US"/>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6</xdr:col>
      <xdr:colOff>487662</xdr:colOff>
      <xdr:row>116</xdr:row>
      <xdr:rowOff>33481</xdr:rowOff>
    </xdr:from>
    <xdr:to>
      <xdr:col>6</xdr:col>
      <xdr:colOff>843960</xdr:colOff>
      <xdr:row>117</xdr:row>
      <xdr:rowOff>136063</xdr:rowOff>
    </xdr:to>
    <mc:AlternateContent xmlns:mc="http://schemas.openxmlformats.org/markup-compatibility/2006" xmlns:a14="http://schemas.microsoft.com/office/drawing/2010/main">
      <mc:Choice Requires="a14">
        <xdr:sp macro="" textlink="">
          <xdr:nvSpPr>
            <xdr:cNvPr id="2" name="Object 5">
              <a:extLst>
                <a:ext uri="{FF2B5EF4-FFF2-40B4-BE49-F238E27FC236}">
                  <a16:creationId xmlns:a16="http://schemas.microsoft.com/office/drawing/2014/main" id="{8C82BB06-B3E9-43CA-8054-5032646B9876}"/>
                </a:ext>
              </a:extLst>
            </xdr:cNvPr>
            <xdr:cNvSpPr txBox="1"/>
          </xdr:nvSpPr>
          <xdr:spPr>
            <a:xfrm>
              <a:off x="4029057" y="21024676"/>
              <a:ext cx="102933" cy="281652"/>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64</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2" name="Object 5">
              <a:extLst>
                <a:ext uri="{FF2B5EF4-FFF2-40B4-BE49-F238E27FC236}">
                  <a16:creationId xmlns:a16="http://schemas.microsoft.com/office/drawing/2014/main" id="{8C82BB06-B3E9-43CA-8054-5032646B9876}"/>
                </a:ext>
              </a:extLst>
            </xdr:cNvPr>
            <xdr:cNvSpPr txBox="1"/>
          </xdr:nvSpPr>
          <xdr:spPr>
            <a:xfrm>
              <a:off x="4029057" y="21024676"/>
              <a:ext cx="102933" cy="281652"/>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64^((</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5</xdr:col>
      <xdr:colOff>351765</xdr:colOff>
      <xdr:row>116</xdr:row>
      <xdr:rowOff>60930</xdr:rowOff>
    </xdr:from>
    <xdr:to>
      <xdr:col>5</xdr:col>
      <xdr:colOff>860369</xdr:colOff>
      <xdr:row>119</xdr:row>
      <xdr:rowOff>23195</xdr:rowOff>
    </xdr:to>
    <mc:AlternateContent xmlns:mc="http://schemas.openxmlformats.org/markup-compatibility/2006" xmlns:a14="http://schemas.microsoft.com/office/drawing/2010/main">
      <mc:Choice Requires="a14">
        <xdr:sp macro="" textlink="">
          <xdr:nvSpPr>
            <xdr:cNvPr id="3" name="Object 4">
              <a:extLst>
                <a:ext uri="{FF2B5EF4-FFF2-40B4-BE49-F238E27FC236}">
                  <a16:creationId xmlns:a16="http://schemas.microsoft.com/office/drawing/2014/main" id="{69DF13DC-4421-4332-9FDC-F9E82B223439}"/>
                </a:ext>
              </a:extLst>
            </xdr:cNvPr>
            <xdr:cNvSpPr txBox="1"/>
          </xdr:nvSpPr>
          <xdr:spPr>
            <a:xfrm>
              <a:off x="3306420" y="21050220"/>
              <a:ext cx="236189" cy="505190"/>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3</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3" name="Object 4">
              <a:extLst>
                <a:ext uri="{FF2B5EF4-FFF2-40B4-BE49-F238E27FC236}">
                  <a16:creationId xmlns:a16="http://schemas.microsoft.com/office/drawing/2014/main" id="{69DF13DC-4421-4332-9FDC-F9E82B223439}"/>
                </a:ext>
              </a:extLst>
            </xdr:cNvPr>
            <xdr:cNvSpPr txBox="1"/>
          </xdr:nvSpPr>
          <xdr:spPr>
            <a:xfrm>
              <a:off x="3306420" y="21050220"/>
              <a:ext cx="236189" cy="505190"/>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3^((</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830385</xdr:colOff>
      <xdr:row>116</xdr:row>
      <xdr:rowOff>24377</xdr:rowOff>
    </xdr:from>
    <xdr:to>
      <xdr:col>3</xdr:col>
      <xdr:colOff>5088</xdr:colOff>
      <xdr:row>118</xdr:row>
      <xdr:rowOff>147835</xdr:rowOff>
    </xdr:to>
    <mc:AlternateContent xmlns:mc="http://schemas.openxmlformats.org/markup-compatibility/2006" xmlns:a14="http://schemas.microsoft.com/office/drawing/2010/main">
      <mc:Choice Requires="a14">
        <xdr:sp macro="" textlink="">
          <xdr:nvSpPr>
            <xdr:cNvPr id="4" name="Object 4">
              <a:extLst>
                <a:ext uri="{FF2B5EF4-FFF2-40B4-BE49-F238E27FC236}">
                  <a16:creationId xmlns:a16="http://schemas.microsoft.com/office/drawing/2014/main" id="{3D477D04-4F39-4DA3-9FCB-2A8D8BCE32AB}"/>
                </a:ext>
              </a:extLst>
            </xdr:cNvPr>
            <xdr:cNvSpPr txBox="1"/>
          </xdr:nvSpPr>
          <xdr:spPr>
            <a:xfrm>
              <a:off x="1771455" y="21013667"/>
              <a:ext cx="7188" cy="487313"/>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60</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4" name="Object 4">
              <a:extLst>
                <a:ext uri="{FF2B5EF4-FFF2-40B4-BE49-F238E27FC236}">
                  <a16:creationId xmlns:a16="http://schemas.microsoft.com/office/drawing/2014/main" id="{3D477D04-4F39-4DA3-9FCB-2A8D8BCE32AB}"/>
                </a:ext>
              </a:extLst>
            </xdr:cNvPr>
            <xdr:cNvSpPr txBox="1"/>
          </xdr:nvSpPr>
          <xdr:spPr>
            <a:xfrm>
              <a:off x="1771455" y="21013667"/>
              <a:ext cx="7188" cy="487313"/>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60^((</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4</xdr:col>
      <xdr:colOff>383515</xdr:colOff>
      <xdr:row>116</xdr:row>
      <xdr:rowOff>35042</xdr:rowOff>
    </xdr:from>
    <xdr:to>
      <xdr:col>4</xdr:col>
      <xdr:colOff>892120</xdr:colOff>
      <xdr:row>118</xdr:row>
      <xdr:rowOff>158500</xdr:rowOff>
    </xdr:to>
    <mc:AlternateContent xmlns:mc="http://schemas.openxmlformats.org/markup-compatibility/2006" xmlns:a14="http://schemas.microsoft.com/office/drawing/2010/main">
      <mc:Choice Requires="a14">
        <xdr:sp macro="" textlink="">
          <xdr:nvSpPr>
            <xdr:cNvPr id="5" name="Object 4">
              <a:extLst>
                <a:ext uri="{FF2B5EF4-FFF2-40B4-BE49-F238E27FC236}">
                  <a16:creationId xmlns:a16="http://schemas.microsoft.com/office/drawing/2014/main" id="{3E75E3AF-D10F-4450-AFC4-6386901549AA}"/>
                </a:ext>
              </a:extLst>
            </xdr:cNvPr>
            <xdr:cNvSpPr txBox="1"/>
          </xdr:nvSpPr>
          <xdr:spPr>
            <a:xfrm>
              <a:off x="2745715" y="21028142"/>
              <a:ext cx="207615" cy="487313"/>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2</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5" name="Object 4">
              <a:extLst>
                <a:ext uri="{FF2B5EF4-FFF2-40B4-BE49-F238E27FC236}">
                  <a16:creationId xmlns:a16="http://schemas.microsoft.com/office/drawing/2014/main" id="{3E75E3AF-D10F-4450-AFC4-6386901549AA}"/>
                </a:ext>
              </a:extLst>
            </xdr:cNvPr>
            <xdr:cNvSpPr txBox="1"/>
          </xdr:nvSpPr>
          <xdr:spPr>
            <a:xfrm>
              <a:off x="2745715" y="21028142"/>
              <a:ext cx="207615" cy="487313"/>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2^((</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3</xdr:col>
      <xdr:colOff>840905</xdr:colOff>
      <xdr:row>116</xdr:row>
      <xdr:rowOff>16561</xdr:rowOff>
    </xdr:from>
    <xdr:to>
      <xdr:col>4</xdr:col>
      <xdr:colOff>564359</xdr:colOff>
      <xdr:row>119</xdr:row>
      <xdr:rowOff>142928</xdr:rowOff>
    </xdr:to>
    <mc:AlternateContent xmlns:mc="http://schemas.openxmlformats.org/markup-compatibility/2006" xmlns:a14="http://schemas.microsoft.com/office/drawing/2010/main">
      <mc:Choice Requires="a14">
        <xdr:sp macro="" textlink="">
          <xdr:nvSpPr>
            <xdr:cNvPr id="6" name="Object 4">
              <a:extLst>
                <a:ext uri="{FF2B5EF4-FFF2-40B4-BE49-F238E27FC236}">
                  <a16:creationId xmlns:a16="http://schemas.microsoft.com/office/drawing/2014/main" id="{E2E624B3-47EB-4762-AB36-0DBFFE69A1DA}"/>
                </a:ext>
              </a:extLst>
            </xdr:cNvPr>
            <xdr:cNvSpPr txBox="1"/>
          </xdr:nvSpPr>
          <xdr:spPr>
            <a:xfrm flipH="1">
              <a:off x="2364905" y="21013471"/>
              <a:ext cx="559749" cy="66357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1</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6" name="Object 4">
              <a:extLst>
                <a:ext uri="{FF2B5EF4-FFF2-40B4-BE49-F238E27FC236}">
                  <a16:creationId xmlns:a16="http://schemas.microsoft.com/office/drawing/2014/main" id="{E2E624B3-47EB-4762-AB36-0DBFFE69A1DA}"/>
                </a:ext>
              </a:extLst>
            </xdr:cNvPr>
            <xdr:cNvSpPr txBox="1"/>
          </xdr:nvSpPr>
          <xdr:spPr>
            <a:xfrm flipH="1">
              <a:off x="2364905" y="21013471"/>
              <a:ext cx="559749" cy="66357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1^((</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7</xdr:col>
      <xdr:colOff>442236</xdr:colOff>
      <xdr:row>116</xdr:row>
      <xdr:rowOff>51065</xdr:rowOff>
    </xdr:from>
    <xdr:to>
      <xdr:col>7</xdr:col>
      <xdr:colOff>1097084</xdr:colOff>
      <xdr:row>118</xdr:row>
      <xdr:rowOff>39278</xdr:rowOff>
    </xdr:to>
    <mc:AlternateContent xmlns:mc="http://schemas.openxmlformats.org/markup-compatibility/2006" xmlns:a14="http://schemas.microsoft.com/office/drawing/2010/main">
      <mc:Choice Requires="a14">
        <xdr:sp macro="" textlink="">
          <xdr:nvSpPr>
            <xdr:cNvPr id="7" name="Object 5">
              <a:extLst>
                <a:ext uri="{FF2B5EF4-FFF2-40B4-BE49-F238E27FC236}">
                  <a16:creationId xmlns:a16="http://schemas.microsoft.com/office/drawing/2014/main" id="{F9CAEDF2-3A64-4FEF-A32B-E65A1FA3C151}"/>
                </a:ext>
              </a:extLst>
            </xdr:cNvPr>
            <xdr:cNvSpPr txBox="1"/>
          </xdr:nvSpPr>
          <xdr:spPr>
            <a:xfrm>
              <a:off x="4572276" y="21047975"/>
              <a:ext cx="151928" cy="346353"/>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65</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7" name="Object 5">
              <a:extLst>
                <a:ext uri="{FF2B5EF4-FFF2-40B4-BE49-F238E27FC236}">
                  <a16:creationId xmlns:a16="http://schemas.microsoft.com/office/drawing/2014/main" id="{F9CAEDF2-3A64-4FEF-A32B-E65A1FA3C151}"/>
                </a:ext>
              </a:extLst>
            </xdr:cNvPr>
            <xdr:cNvSpPr txBox="1"/>
          </xdr:nvSpPr>
          <xdr:spPr>
            <a:xfrm>
              <a:off x="4572276" y="21047975"/>
              <a:ext cx="151928" cy="346353"/>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65^((</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6</xdr:col>
      <xdr:colOff>470567</xdr:colOff>
      <xdr:row>123</xdr:row>
      <xdr:rowOff>18339</xdr:rowOff>
    </xdr:from>
    <xdr:to>
      <xdr:col>6</xdr:col>
      <xdr:colOff>826865</xdr:colOff>
      <xdr:row>124</xdr:row>
      <xdr:rowOff>120921</xdr:rowOff>
    </xdr:to>
    <mc:AlternateContent xmlns:mc="http://schemas.openxmlformats.org/markup-compatibility/2006" xmlns:a14="http://schemas.microsoft.com/office/drawing/2010/main">
      <mc:Choice Requires="a14">
        <xdr:sp macro="" textlink="">
          <xdr:nvSpPr>
            <xdr:cNvPr id="8" name="Object 5">
              <a:extLst>
                <a:ext uri="{FF2B5EF4-FFF2-40B4-BE49-F238E27FC236}">
                  <a16:creationId xmlns:a16="http://schemas.microsoft.com/office/drawing/2014/main" id="{A544B42B-1AAC-41E9-9720-4349C2C74019}"/>
                </a:ext>
              </a:extLst>
            </xdr:cNvPr>
            <xdr:cNvSpPr txBox="1"/>
          </xdr:nvSpPr>
          <xdr:spPr>
            <a:xfrm>
              <a:off x="4017677" y="22282074"/>
              <a:ext cx="112458" cy="281652"/>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64</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8" name="Object 5">
              <a:extLst>
                <a:ext uri="{FF2B5EF4-FFF2-40B4-BE49-F238E27FC236}">
                  <a16:creationId xmlns:a16="http://schemas.microsoft.com/office/drawing/2014/main" id="{A544B42B-1AAC-41E9-9720-4349C2C74019}"/>
                </a:ext>
              </a:extLst>
            </xdr:cNvPr>
            <xdr:cNvSpPr txBox="1"/>
          </xdr:nvSpPr>
          <xdr:spPr>
            <a:xfrm>
              <a:off x="4017677" y="22282074"/>
              <a:ext cx="112458" cy="281652"/>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64^((</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5</xdr:col>
      <xdr:colOff>527611</xdr:colOff>
      <xdr:row>123</xdr:row>
      <xdr:rowOff>26738</xdr:rowOff>
    </xdr:from>
    <xdr:to>
      <xdr:col>5</xdr:col>
      <xdr:colOff>1036215</xdr:colOff>
      <xdr:row>125</xdr:row>
      <xdr:rowOff>150196</xdr:rowOff>
    </xdr:to>
    <mc:AlternateContent xmlns:mc="http://schemas.openxmlformats.org/markup-compatibility/2006" xmlns:a14="http://schemas.microsoft.com/office/drawing/2010/main">
      <mc:Choice Requires="a14">
        <xdr:sp macro="" textlink="">
          <xdr:nvSpPr>
            <xdr:cNvPr id="9" name="Object 4">
              <a:extLst>
                <a:ext uri="{FF2B5EF4-FFF2-40B4-BE49-F238E27FC236}">
                  <a16:creationId xmlns:a16="http://schemas.microsoft.com/office/drawing/2014/main" id="{E76F2B76-2DDA-46E4-B918-26D4C762A5D0}"/>
                </a:ext>
              </a:extLst>
            </xdr:cNvPr>
            <xdr:cNvSpPr txBox="1"/>
          </xdr:nvSpPr>
          <xdr:spPr>
            <a:xfrm>
              <a:off x="3478456" y="22284758"/>
              <a:ext cx="64739" cy="487313"/>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3</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9" name="Object 4">
              <a:extLst>
                <a:ext uri="{FF2B5EF4-FFF2-40B4-BE49-F238E27FC236}">
                  <a16:creationId xmlns:a16="http://schemas.microsoft.com/office/drawing/2014/main" id="{E76F2B76-2DDA-46E4-B918-26D4C762A5D0}"/>
                </a:ext>
              </a:extLst>
            </xdr:cNvPr>
            <xdr:cNvSpPr txBox="1"/>
          </xdr:nvSpPr>
          <xdr:spPr>
            <a:xfrm>
              <a:off x="3478456" y="22284758"/>
              <a:ext cx="64739" cy="487313"/>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3^((</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796192</xdr:colOff>
      <xdr:row>123</xdr:row>
      <xdr:rowOff>34146</xdr:rowOff>
    </xdr:from>
    <xdr:to>
      <xdr:col>2</xdr:col>
      <xdr:colOff>1162741</xdr:colOff>
      <xdr:row>125</xdr:row>
      <xdr:rowOff>157604</xdr:rowOff>
    </xdr:to>
    <mc:AlternateContent xmlns:mc="http://schemas.openxmlformats.org/markup-compatibility/2006" xmlns:a14="http://schemas.microsoft.com/office/drawing/2010/main">
      <mc:Choice Requires="a14">
        <xdr:sp macro="" textlink="">
          <xdr:nvSpPr>
            <xdr:cNvPr id="10" name="Object 4">
              <a:extLst>
                <a:ext uri="{FF2B5EF4-FFF2-40B4-BE49-F238E27FC236}">
                  <a16:creationId xmlns:a16="http://schemas.microsoft.com/office/drawing/2014/main" id="{B8CF6103-537A-451E-98FB-060998D74F35}"/>
                </a:ext>
              </a:extLst>
            </xdr:cNvPr>
            <xdr:cNvSpPr txBox="1"/>
          </xdr:nvSpPr>
          <xdr:spPr>
            <a:xfrm>
              <a:off x="1775362" y="22292166"/>
              <a:ext cx="0" cy="489218"/>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60</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0" name="Object 4">
              <a:extLst>
                <a:ext uri="{FF2B5EF4-FFF2-40B4-BE49-F238E27FC236}">
                  <a16:creationId xmlns:a16="http://schemas.microsoft.com/office/drawing/2014/main" id="{B8CF6103-537A-451E-98FB-060998D74F35}"/>
                </a:ext>
              </a:extLst>
            </xdr:cNvPr>
            <xdr:cNvSpPr txBox="1"/>
          </xdr:nvSpPr>
          <xdr:spPr>
            <a:xfrm>
              <a:off x="1775362" y="22292166"/>
              <a:ext cx="0" cy="489218"/>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60^((</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4</xdr:col>
      <xdr:colOff>450434</xdr:colOff>
      <xdr:row>123</xdr:row>
      <xdr:rowOff>10618</xdr:rowOff>
    </xdr:from>
    <xdr:to>
      <xdr:col>4</xdr:col>
      <xdr:colOff>959039</xdr:colOff>
      <xdr:row>125</xdr:row>
      <xdr:rowOff>134076</xdr:rowOff>
    </xdr:to>
    <mc:AlternateContent xmlns:mc="http://schemas.openxmlformats.org/markup-compatibility/2006" xmlns:a14="http://schemas.microsoft.com/office/drawing/2010/main">
      <mc:Choice Requires="a14">
        <xdr:sp macro="" textlink="">
          <xdr:nvSpPr>
            <xdr:cNvPr id="11" name="Object 4">
              <a:extLst>
                <a:ext uri="{FF2B5EF4-FFF2-40B4-BE49-F238E27FC236}">
                  <a16:creationId xmlns:a16="http://schemas.microsoft.com/office/drawing/2014/main" id="{09FFAD1F-43ED-4B22-AB54-505F29F65B13}"/>
                </a:ext>
              </a:extLst>
            </xdr:cNvPr>
            <xdr:cNvSpPr txBox="1"/>
          </xdr:nvSpPr>
          <xdr:spPr>
            <a:xfrm>
              <a:off x="2810729" y="22272448"/>
              <a:ext cx="140940" cy="479693"/>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2</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1" name="Object 4">
              <a:extLst>
                <a:ext uri="{FF2B5EF4-FFF2-40B4-BE49-F238E27FC236}">
                  <a16:creationId xmlns:a16="http://schemas.microsoft.com/office/drawing/2014/main" id="{09FFAD1F-43ED-4B22-AB54-505F29F65B13}"/>
                </a:ext>
              </a:extLst>
            </xdr:cNvPr>
            <xdr:cNvSpPr txBox="1"/>
          </xdr:nvSpPr>
          <xdr:spPr>
            <a:xfrm>
              <a:off x="2810729" y="22272448"/>
              <a:ext cx="140940" cy="479693"/>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2^((</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3</xdr:col>
      <xdr:colOff>801828</xdr:colOff>
      <xdr:row>123</xdr:row>
      <xdr:rowOff>11676</xdr:rowOff>
    </xdr:from>
    <xdr:to>
      <xdr:col>4</xdr:col>
      <xdr:colOff>525282</xdr:colOff>
      <xdr:row>126</xdr:row>
      <xdr:rowOff>138043</xdr:rowOff>
    </xdr:to>
    <mc:AlternateContent xmlns:mc="http://schemas.openxmlformats.org/markup-compatibility/2006" xmlns:a14="http://schemas.microsoft.com/office/drawing/2010/main">
      <mc:Choice Requires="a14">
        <xdr:sp macro="" textlink="">
          <xdr:nvSpPr>
            <xdr:cNvPr id="12" name="Object 4">
              <a:extLst>
                <a:ext uri="{FF2B5EF4-FFF2-40B4-BE49-F238E27FC236}">
                  <a16:creationId xmlns:a16="http://schemas.microsoft.com/office/drawing/2014/main" id="{EA9201B5-31D0-4F25-9640-8126FAA2EE34}"/>
                </a:ext>
              </a:extLst>
            </xdr:cNvPr>
            <xdr:cNvSpPr txBox="1"/>
          </xdr:nvSpPr>
          <xdr:spPr>
            <a:xfrm flipH="1">
              <a:off x="2363928" y="22275411"/>
              <a:ext cx="521649" cy="661672"/>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i="1">
                            <a:solidFill>
                              <a:srgbClr val="000000"/>
                            </a:solidFill>
                            <a:latin typeface="Cambria Math" panose="02040503050406030204" pitchFamily="18" charset="0"/>
                          </a:rPr>
                          <m:t>6</m:t>
                        </m:r>
                        <m:r>
                          <a:rPr lang="en-US" b="0" i="1">
                            <a:solidFill>
                              <a:srgbClr val="000000"/>
                            </a:solidFill>
                            <a:latin typeface="Cambria Math" panose="02040503050406030204" pitchFamily="18" charset="0"/>
                          </a:rPr>
                          <m:t>1</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2" name="Object 4">
              <a:extLst>
                <a:ext uri="{FF2B5EF4-FFF2-40B4-BE49-F238E27FC236}">
                  <a16:creationId xmlns:a16="http://schemas.microsoft.com/office/drawing/2014/main" id="{EA9201B5-31D0-4F25-9640-8126FAA2EE34}"/>
                </a:ext>
              </a:extLst>
            </xdr:cNvPr>
            <xdr:cNvSpPr txBox="1"/>
          </xdr:nvSpPr>
          <xdr:spPr>
            <a:xfrm flipH="1">
              <a:off x="2363928" y="22275411"/>
              <a:ext cx="521649" cy="661672"/>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 ̈_6</a:t>
              </a:r>
              <a:r>
                <a:rPr lang="en-US" b="0" i="0">
                  <a:solidFill>
                    <a:srgbClr val="000000"/>
                  </a:solidFill>
                  <a:latin typeface="Cambria Math" panose="02040503050406030204" pitchFamily="18" charset="0"/>
                </a:rPr>
                <a:t>1^((</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7</xdr:col>
      <xdr:colOff>642815</xdr:colOff>
      <xdr:row>123</xdr:row>
      <xdr:rowOff>20292</xdr:rowOff>
    </xdr:from>
    <xdr:to>
      <xdr:col>7</xdr:col>
      <xdr:colOff>1058640</xdr:colOff>
      <xdr:row>125</xdr:row>
      <xdr:rowOff>1965</xdr:rowOff>
    </xdr:to>
    <mc:AlternateContent xmlns:mc="http://schemas.openxmlformats.org/markup-compatibility/2006" xmlns:a14="http://schemas.microsoft.com/office/drawing/2010/main">
      <mc:Choice Requires="a14">
        <xdr:sp macro="" textlink="">
          <xdr:nvSpPr>
            <xdr:cNvPr id="13" name="Object 5">
              <a:extLst>
                <a:ext uri="{FF2B5EF4-FFF2-40B4-BE49-F238E27FC236}">
                  <a16:creationId xmlns:a16="http://schemas.microsoft.com/office/drawing/2014/main" id="{FCC176C9-9248-454C-A250-E62F003F7E0B}"/>
                </a:ext>
              </a:extLst>
            </xdr:cNvPr>
            <xdr:cNvSpPr txBox="1"/>
          </xdr:nvSpPr>
          <xdr:spPr>
            <a:xfrm>
              <a:off x="4727135" y="22276407"/>
              <a:ext cx="0" cy="347433"/>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65</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3" name="Object 5">
              <a:extLst>
                <a:ext uri="{FF2B5EF4-FFF2-40B4-BE49-F238E27FC236}">
                  <a16:creationId xmlns:a16="http://schemas.microsoft.com/office/drawing/2014/main" id="{FCC176C9-9248-454C-A250-E62F003F7E0B}"/>
                </a:ext>
              </a:extLst>
            </xdr:cNvPr>
            <xdr:cNvSpPr txBox="1"/>
          </xdr:nvSpPr>
          <xdr:spPr>
            <a:xfrm>
              <a:off x="4727135" y="22276407"/>
              <a:ext cx="0" cy="347433"/>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65^((</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8</xdr:col>
      <xdr:colOff>367989</xdr:colOff>
      <xdr:row>116</xdr:row>
      <xdr:rowOff>26642</xdr:rowOff>
    </xdr:from>
    <xdr:to>
      <xdr:col>9</xdr:col>
      <xdr:colOff>919722</xdr:colOff>
      <xdr:row>117</xdr:row>
      <xdr:rowOff>148267</xdr:rowOff>
    </xdr:to>
    <mc:AlternateContent xmlns:mc="http://schemas.openxmlformats.org/markup-compatibility/2006" xmlns:a14="http://schemas.microsoft.com/office/drawing/2010/main">
      <mc:Choice Requires="a14">
        <xdr:sp macro="" textlink="">
          <xdr:nvSpPr>
            <xdr:cNvPr id="14" name="Object 5">
              <a:extLst>
                <a:ext uri="{FF2B5EF4-FFF2-40B4-BE49-F238E27FC236}">
                  <a16:creationId xmlns:a16="http://schemas.microsoft.com/office/drawing/2014/main" id="{900ECBF9-11D7-4027-BEAE-54DD8AF94774}"/>
                </a:ext>
              </a:extLst>
            </xdr:cNvPr>
            <xdr:cNvSpPr txBox="1"/>
          </xdr:nvSpPr>
          <xdr:spPr>
            <a:xfrm>
              <a:off x="5088579" y="21015932"/>
              <a:ext cx="814623" cy="304505"/>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68 (</m:t>
                        </m:r>
                        <m:r>
                          <a:rPr lang="en-US" b="0" i="1">
                            <a:solidFill>
                              <a:srgbClr val="000000"/>
                            </a:solidFill>
                            <a:latin typeface="Cambria Math" panose="02040503050406030204" pitchFamily="18" charset="0"/>
                          </a:rPr>
                          <m:t>𝐽</m:t>
                        </m:r>
                        <m:r>
                          <a:rPr lang="en-US" b="0" i="1">
                            <a:solidFill>
                              <a:srgbClr val="000000"/>
                            </a:solidFill>
                            <a:latin typeface="Cambria Math" panose="02040503050406030204" pitchFamily="18" charset="0"/>
                          </a:rPr>
                          <m:t>&amp;</m:t>
                        </m:r>
                        <m:r>
                          <a:rPr lang="en-US" b="0" i="1">
                            <a:solidFill>
                              <a:srgbClr val="000000"/>
                            </a:solidFill>
                            <a:latin typeface="Cambria Math" panose="02040503050406030204" pitchFamily="18" charset="0"/>
                          </a:rPr>
                          <m:t>𝑆</m:t>
                        </m:r>
                        <m:r>
                          <a:rPr lang="en-US" b="0" i="1">
                            <a:solidFill>
                              <a:srgbClr val="000000"/>
                            </a:solidFill>
                            <a:latin typeface="Cambria Math" panose="02040503050406030204" pitchFamily="18" charset="0"/>
                          </a:rPr>
                          <m:t>)</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4" name="Object 5">
              <a:extLst>
                <a:ext uri="{FF2B5EF4-FFF2-40B4-BE49-F238E27FC236}">
                  <a16:creationId xmlns:a16="http://schemas.microsoft.com/office/drawing/2014/main" id="{900ECBF9-11D7-4027-BEAE-54DD8AF94774}"/>
                </a:ext>
              </a:extLst>
            </xdr:cNvPr>
            <xdr:cNvSpPr txBox="1"/>
          </xdr:nvSpPr>
          <xdr:spPr>
            <a:xfrm>
              <a:off x="5088579" y="21015932"/>
              <a:ext cx="814623" cy="304505"/>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68 (𝐽&amp;𝑆))^((</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8</xdr:col>
      <xdr:colOff>305467</xdr:colOff>
      <xdr:row>123</xdr:row>
      <xdr:rowOff>21758</xdr:rowOff>
    </xdr:from>
    <xdr:to>
      <xdr:col>9</xdr:col>
      <xdr:colOff>826545</xdr:colOff>
      <xdr:row>124</xdr:row>
      <xdr:rowOff>143383</xdr:rowOff>
    </xdr:to>
    <mc:AlternateContent xmlns:mc="http://schemas.openxmlformats.org/markup-compatibility/2006" xmlns:a14="http://schemas.microsoft.com/office/drawing/2010/main">
      <mc:Choice Requires="a14">
        <xdr:sp macro="" textlink="">
          <xdr:nvSpPr>
            <xdr:cNvPr id="15" name="Object 5">
              <a:extLst>
                <a:ext uri="{FF2B5EF4-FFF2-40B4-BE49-F238E27FC236}">
                  <a16:creationId xmlns:a16="http://schemas.microsoft.com/office/drawing/2014/main" id="{53CDC6C3-4028-4835-BCB3-A83AEF6B4BA4}"/>
                </a:ext>
              </a:extLst>
            </xdr:cNvPr>
            <xdr:cNvSpPr txBox="1"/>
          </xdr:nvSpPr>
          <xdr:spPr>
            <a:xfrm>
              <a:off x="5029867" y="22277873"/>
              <a:ext cx="879218" cy="304505"/>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68 (</m:t>
                        </m:r>
                        <m:r>
                          <a:rPr lang="en-US" b="0" i="1">
                            <a:solidFill>
                              <a:srgbClr val="000000"/>
                            </a:solidFill>
                            <a:latin typeface="Cambria Math" panose="02040503050406030204" pitchFamily="18" charset="0"/>
                          </a:rPr>
                          <m:t>𝐽</m:t>
                        </m:r>
                        <m:r>
                          <a:rPr lang="en-US" b="0" i="1">
                            <a:solidFill>
                              <a:srgbClr val="000000"/>
                            </a:solidFill>
                            <a:latin typeface="Cambria Math" panose="02040503050406030204" pitchFamily="18" charset="0"/>
                          </a:rPr>
                          <m:t>&amp;</m:t>
                        </m:r>
                        <m:r>
                          <a:rPr lang="en-US" b="0" i="1">
                            <a:solidFill>
                              <a:srgbClr val="000000"/>
                            </a:solidFill>
                            <a:latin typeface="Cambria Math" panose="02040503050406030204" pitchFamily="18" charset="0"/>
                          </a:rPr>
                          <m:t>𝑆</m:t>
                        </m:r>
                        <m:r>
                          <a:rPr lang="en-US" b="0" i="1">
                            <a:solidFill>
                              <a:srgbClr val="000000"/>
                            </a:solidFill>
                            <a:latin typeface="Cambria Math" panose="02040503050406030204" pitchFamily="18" charset="0"/>
                          </a:rPr>
                          <m:t>)</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5" name="Object 5">
              <a:extLst>
                <a:ext uri="{FF2B5EF4-FFF2-40B4-BE49-F238E27FC236}">
                  <a16:creationId xmlns:a16="http://schemas.microsoft.com/office/drawing/2014/main" id="{53CDC6C3-4028-4835-BCB3-A83AEF6B4BA4}"/>
                </a:ext>
              </a:extLst>
            </xdr:cNvPr>
            <xdr:cNvSpPr txBox="1"/>
          </xdr:nvSpPr>
          <xdr:spPr>
            <a:xfrm>
              <a:off x="5029867" y="22277873"/>
              <a:ext cx="879218" cy="304505"/>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68 (𝐽&amp;𝑆))^((</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1</xdr:col>
      <xdr:colOff>159764</xdr:colOff>
      <xdr:row>131</xdr:row>
      <xdr:rowOff>144876</xdr:rowOff>
    </xdr:from>
    <xdr:to>
      <xdr:col>2</xdr:col>
      <xdr:colOff>487494</xdr:colOff>
      <xdr:row>133</xdr:row>
      <xdr:rowOff>100738</xdr:rowOff>
    </xdr:to>
    <mc:AlternateContent xmlns:mc="http://schemas.openxmlformats.org/markup-compatibility/2006" xmlns:a14="http://schemas.microsoft.com/office/drawing/2010/main">
      <mc:Choice Requires="a14">
        <xdr:sp macro="" textlink="">
          <xdr:nvSpPr>
            <xdr:cNvPr id="16" name="Object 4">
              <a:extLst>
                <a:ext uri="{FF2B5EF4-FFF2-40B4-BE49-F238E27FC236}">
                  <a16:creationId xmlns:a16="http://schemas.microsoft.com/office/drawing/2014/main" id="{90421417-9EBA-4371-9E21-B128A4C3F569}"/>
                </a:ext>
              </a:extLst>
            </xdr:cNvPr>
            <xdr:cNvSpPr txBox="1"/>
          </xdr:nvSpPr>
          <xdr:spPr>
            <a:xfrm>
              <a:off x="752219" y="23850696"/>
              <a:ext cx="914470" cy="315907"/>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𝑑</m:t>
                        </m:r>
                        <m:r>
                          <a:rPr lang="en-US" b="0" i="1">
                            <a:solidFill>
                              <a:srgbClr val="000000"/>
                            </a:solidFill>
                            <a:latin typeface="Cambria Math" panose="02040503050406030204" pitchFamily="18" charset="0"/>
                          </a:rPr>
                          <m:t>|</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𝑥</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16" name="Object 4">
              <a:extLst>
                <a:ext uri="{FF2B5EF4-FFF2-40B4-BE49-F238E27FC236}">
                  <a16:creationId xmlns:a16="http://schemas.microsoft.com/office/drawing/2014/main" id="{90421417-9EBA-4371-9E21-B128A4C3F569}"/>
                </a:ext>
              </a:extLst>
            </xdr:cNvPr>
            <xdr:cNvSpPr txBox="1"/>
          </xdr:nvSpPr>
          <xdr:spPr>
            <a:xfrm>
              <a:off x="752219" y="23850696"/>
              <a:ext cx="914470" cy="315907"/>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_𝑑|^)</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𝑥^((</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6</xdr:col>
      <xdr:colOff>283374</xdr:colOff>
      <xdr:row>152</xdr:row>
      <xdr:rowOff>9686</xdr:rowOff>
    </xdr:from>
    <xdr:to>
      <xdr:col>7</xdr:col>
      <xdr:colOff>326900</xdr:colOff>
      <xdr:row>153</xdr:row>
      <xdr:rowOff>163599</xdr:rowOff>
    </xdr:to>
    <mc:AlternateContent xmlns:mc="http://schemas.openxmlformats.org/markup-compatibility/2006" xmlns:a14="http://schemas.microsoft.com/office/drawing/2010/main">
      <mc:Choice Requires="a14">
        <xdr:sp macro="" textlink="">
          <xdr:nvSpPr>
            <xdr:cNvPr id="17" name="Object 5">
              <a:extLst>
                <a:ext uri="{FF2B5EF4-FFF2-40B4-BE49-F238E27FC236}">
                  <a16:creationId xmlns:a16="http://schemas.microsoft.com/office/drawing/2014/main" id="{2ED5F13E-4048-461D-8377-8C7A50D88BAA}"/>
                </a:ext>
              </a:extLst>
            </xdr:cNvPr>
            <xdr:cNvSpPr txBox="1"/>
          </xdr:nvSpPr>
          <xdr:spPr>
            <a:xfrm>
              <a:off x="3830484" y="27519791"/>
              <a:ext cx="626456" cy="334888"/>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68 (</m:t>
                        </m:r>
                        <m:r>
                          <a:rPr lang="en-US" b="0" i="1">
                            <a:solidFill>
                              <a:srgbClr val="000000"/>
                            </a:solidFill>
                            <a:latin typeface="Cambria Math" panose="02040503050406030204" pitchFamily="18" charset="0"/>
                          </a:rPr>
                          <m:t>𝐽</m:t>
                        </m:r>
                        <m:r>
                          <a:rPr lang="en-US" b="0" i="1">
                            <a:solidFill>
                              <a:srgbClr val="000000"/>
                            </a:solidFill>
                            <a:latin typeface="Cambria Math" panose="02040503050406030204" pitchFamily="18" charset="0"/>
                          </a:rPr>
                          <m:t>&amp;</m:t>
                        </m:r>
                        <m:r>
                          <a:rPr lang="en-US" b="0" i="1">
                            <a:solidFill>
                              <a:srgbClr val="000000"/>
                            </a:solidFill>
                            <a:latin typeface="Cambria Math" panose="02040503050406030204" pitchFamily="18" charset="0"/>
                          </a:rPr>
                          <m:t>𝑆</m:t>
                        </m:r>
                        <m:r>
                          <a:rPr lang="en-US" b="0" i="1">
                            <a:solidFill>
                              <a:srgbClr val="000000"/>
                            </a:solidFill>
                            <a:latin typeface="Cambria Math" panose="02040503050406030204" pitchFamily="18" charset="0"/>
                          </a:rPr>
                          <m:t>)</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7" name="Object 5">
              <a:extLst>
                <a:ext uri="{FF2B5EF4-FFF2-40B4-BE49-F238E27FC236}">
                  <a16:creationId xmlns:a16="http://schemas.microsoft.com/office/drawing/2014/main" id="{2ED5F13E-4048-461D-8377-8C7A50D88BAA}"/>
                </a:ext>
              </a:extLst>
            </xdr:cNvPr>
            <xdr:cNvSpPr txBox="1"/>
          </xdr:nvSpPr>
          <xdr:spPr>
            <a:xfrm>
              <a:off x="3830484" y="27519791"/>
              <a:ext cx="626456" cy="334888"/>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68 (𝐽&amp;𝑆))^((</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6</xdr:col>
      <xdr:colOff>324829</xdr:colOff>
      <xdr:row>148</xdr:row>
      <xdr:rowOff>31406</xdr:rowOff>
    </xdr:from>
    <xdr:to>
      <xdr:col>7</xdr:col>
      <xdr:colOff>128803</xdr:colOff>
      <xdr:row>149</xdr:row>
      <xdr:rowOff>163169</xdr:rowOff>
    </xdr:to>
    <mc:AlternateContent xmlns:mc="http://schemas.openxmlformats.org/markup-compatibility/2006" xmlns:a14="http://schemas.microsoft.com/office/drawing/2010/main">
      <mc:Choice Requires="a14">
        <xdr:sp macro="" textlink="">
          <xdr:nvSpPr>
            <xdr:cNvPr id="18" name="Object 5">
              <a:extLst>
                <a:ext uri="{FF2B5EF4-FFF2-40B4-BE49-F238E27FC236}">
                  <a16:creationId xmlns:a16="http://schemas.microsoft.com/office/drawing/2014/main" id="{B72A62F2-8EE3-47FA-8812-8FD73BD77E44}"/>
                </a:ext>
              </a:extLst>
            </xdr:cNvPr>
            <xdr:cNvSpPr txBox="1"/>
          </xdr:nvSpPr>
          <xdr:spPr>
            <a:xfrm>
              <a:off x="3864319" y="26813801"/>
              <a:ext cx="402144" cy="316548"/>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64</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8" name="Object 5">
              <a:extLst>
                <a:ext uri="{FF2B5EF4-FFF2-40B4-BE49-F238E27FC236}">
                  <a16:creationId xmlns:a16="http://schemas.microsoft.com/office/drawing/2014/main" id="{B72A62F2-8EE3-47FA-8812-8FD73BD77E44}"/>
                </a:ext>
              </a:extLst>
            </xdr:cNvPr>
            <xdr:cNvSpPr txBox="1"/>
          </xdr:nvSpPr>
          <xdr:spPr>
            <a:xfrm>
              <a:off x="3864319" y="26813801"/>
              <a:ext cx="402144" cy="316548"/>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64^((</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6</xdr:col>
      <xdr:colOff>329122</xdr:colOff>
      <xdr:row>146</xdr:row>
      <xdr:rowOff>20687</xdr:rowOff>
    </xdr:from>
    <xdr:to>
      <xdr:col>7</xdr:col>
      <xdr:colOff>133096</xdr:colOff>
      <xdr:row>147</xdr:row>
      <xdr:rowOff>158927</xdr:rowOff>
    </xdr:to>
    <mc:AlternateContent xmlns:mc="http://schemas.openxmlformats.org/markup-compatibility/2006" xmlns:a14="http://schemas.microsoft.com/office/drawing/2010/main">
      <mc:Choice Requires="a14">
        <xdr:sp macro="" textlink="">
          <xdr:nvSpPr>
            <xdr:cNvPr id="19" name="Object 5">
              <a:extLst>
                <a:ext uri="{FF2B5EF4-FFF2-40B4-BE49-F238E27FC236}">
                  <a16:creationId xmlns:a16="http://schemas.microsoft.com/office/drawing/2014/main" id="{836D0810-620A-4140-91C5-F44A655A6307}"/>
                </a:ext>
              </a:extLst>
            </xdr:cNvPr>
            <xdr:cNvSpPr txBox="1"/>
          </xdr:nvSpPr>
          <xdr:spPr>
            <a:xfrm>
              <a:off x="3868612" y="26439227"/>
              <a:ext cx="402144" cy="324930"/>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63</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19" name="Object 5">
              <a:extLst>
                <a:ext uri="{FF2B5EF4-FFF2-40B4-BE49-F238E27FC236}">
                  <a16:creationId xmlns:a16="http://schemas.microsoft.com/office/drawing/2014/main" id="{836D0810-620A-4140-91C5-F44A655A6307}"/>
                </a:ext>
              </a:extLst>
            </xdr:cNvPr>
            <xdr:cNvSpPr txBox="1"/>
          </xdr:nvSpPr>
          <xdr:spPr>
            <a:xfrm>
              <a:off x="3868612" y="26439227"/>
              <a:ext cx="402144" cy="324930"/>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63^((</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597879</xdr:colOff>
      <xdr:row>152</xdr:row>
      <xdr:rowOff>37756</xdr:rowOff>
    </xdr:from>
    <xdr:to>
      <xdr:col>2</xdr:col>
      <xdr:colOff>1093784</xdr:colOff>
      <xdr:row>153</xdr:row>
      <xdr:rowOff>143681</xdr:rowOff>
    </xdr:to>
    <mc:AlternateContent xmlns:mc="http://schemas.openxmlformats.org/markup-compatibility/2006" xmlns:a14="http://schemas.microsoft.com/office/drawing/2010/main">
      <mc:Choice Requires="a14">
        <xdr:sp macro="" textlink="">
          <xdr:nvSpPr>
            <xdr:cNvPr id="20" name="Object 5">
              <a:extLst>
                <a:ext uri="{FF2B5EF4-FFF2-40B4-BE49-F238E27FC236}">
                  <a16:creationId xmlns:a16="http://schemas.microsoft.com/office/drawing/2014/main" id="{5AF76801-1FA4-478C-9899-4E30F694CF78}"/>
                </a:ext>
              </a:extLst>
            </xdr:cNvPr>
            <xdr:cNvSpPr txBox="1"/>
          </xdr:nvSpPr>
          <xdr:spPr>
            <a:xfrm>
              <a:off x="1775169" y="27545956"/>
              <a:ext cx="0" cy="284995"/>
            </a:xfrm>
            <a:prstGeom prst="rect">
              <a:avLst/>
            </a:prstGeom>
          </xdr:spPr>
          <xdr:txBody>
            <a:bodyPr vertOverflow="clip" horzOverflow="clip" wrap="none">
              <a:spAutoFit/>
            </a:bodyPr>
            <a:lstStyle/>
            <a:p>
              <a:pPr/>
              <a14:m>
                <m:oMathPara xmlns:m="http://schemas.openxmlformats.org/officeDocument/2006/math">
                  <m:oMathParaPr>
                    <m:jc m:val="center"/>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61</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20" name="Object 5">
              <a:extLst>
                <a:ext uri="{FF2B5EF4-FFF2-40B4-BE49-F238E27FC236}">
                  <a16:creationId xmlns:a16="http://schemas.microsoft.com/office/drawing/2014/main" id="{5AF76801-1FA4-478C-9899-4E30F694CF78}"/>
                </a:ext>
              </a:extLst>
            </xdr:cNvPr>
            <xdr:cNvSpPr txBox="1"/>
          </xdr:nvSpPr>
          <xdr:spPr>
            <a:xfrm>
              <a:off x="1775169" y="27545956"/>
              <a:ext cx="0" cy="284995"/>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61^((</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627573</xdr:colOff>
      <xdr:row>150</xdr:row>
      <xdr:rowOff>33387</xdr:rowOff>
    </xdr:from>
    <xdr:to>
      <xdr:col>2</xdr:col>
      <xdr:colOff>1028701</xdr:colOff>
      <xdr:row>151</xdr:row>
      <xdr:rowOff>139312</xdr:rowOff>
    </xdr:to>
    <mc:AlternateContent xmlns:mc="http://schemas.openxmlformats.org/markup-compatibility/2006" xmlns:a14="http://schemas.microsoft.com/office/drawing/2010/main">
      <mc:Choice Requires="a14">
        <xdr:sp macro="" textlink="">
          <xdr:nvSpPr>
            <xdr:cNvPr id="21" name="Object 5">
              <a:extLst>
                <a:ext uri="{FF2B5EF4-FFF2-40B4-BE49-F238E27FC236}">
                  <a16:creationId xmlns:a16="http://schemas.microsoft.com/office/drawing/2014/main" id="{82C89600-F2C3-4565-804E-31E5BCA53CF1}"/>
                </a:ext>
              </a:extLst>
            </xdr:cNvPr>
            <xdr:cNvSpPr txBox="1"/>
          </xdr:nvSpPr>
          <xdr:spPr>
            <a:xfrm>
              <a:off x="1774383" y="27177732"/>
              <a:ext cx="0" cy="284995"/>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60</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21" name="Object 5">
              <a:extLst>
                <a:ext uri="{FF2B5EF4-FFF2-40B4-BE49-F238E27FC236}">
                  <a16:creationId xmlns:a16="http://schemas.microsoft.com/office/drawing/2014/main" id="{82C89600-F2C3-4565-804E-31E5BCA53CF1}"/>
                </a:ext>
              </a:extLst>
            </xdr:cNvPr>
            <xdr:cNvSpPr txBox="1"/>
          </xdr:nvSpPr>
          <xdr:spPr>
            <a:xfrm>
              <a:off x="1774383" y="27177732"/>
              <a:ext cx="0" cy="284995"/>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60^((</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6</xdr:col>
      <xdr:colOff>312129</xdr:colOff>
      <xdr:row>150</xdr:row>
      <xdr:rowOff>6006</xdr:rowOff>
    </xdr:from>
    <xdr:to>
      <xdr:col>7</xdr:col>
      <xdr:colOff>148611</xdr:colOff>
      <xdr:row>151</xdr:row>
      <xdr:rowOff>135683</xdr:rowOff>
    </xdr:to>
    <mc:AlternateContent xmlns:mc="http://schemas.openxmlformats.org/markup-compatibility/2006" xmlns:a14="http://schemas.microsoft.com/office/drawing/2010/main">
      <mc:Choice Requires="a14">
        <xdr:sp macro="" textlink="">
          <xdr:nvSpPr>
            <xdr:cNvPr id="22" name="Object 5">
              <a:extLst>
                <a:ext uri="{FF2B5EF4-FFF2-40B4-BE49-F238E27FC236}">
                  <a16:creationId xmlns:a16="http://schemas.microsoft.com/office/drawing/2014/main" id="{4934FA57-13A1-4DE2-BC5C-513201CE6F88}"/>
                </a:ext>
              </a:extLst>
            </xdr:cNvPr>
            <xdr:cNvSpPr txBox="1"/>
          </xdr:nvSpPr>
          <xdr:spPr>
            <a:xfrm>
              <a:off x="3857334" y="27154161"/>
              <a:ext cx="425127" cy="304937"/>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65</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22" name="Object 5">
              <a:extLst>
                <a:ext uri="{FF2B5EF4-FFF2-40B4-BE49-F238E27FC236}">
                  <a16:creationId xmlns:a16="http://schemas.microsoft.com/office/drawing/2014/main" id="{4934FA57-13A1-4DE2-BC5C-513201CE6F88}"/>
                </a:ext>
              </a:extLst>
            </xdr:cNvPr>
            <xdr:cNvSpPr txBox="1"/>
          </xdr:nvSpPr>
          <xdr:spPr>
            <a:xfrm>
              <a:off x="3857334" y="27154161"/>
              <a:ext cx="425127" cy="304937"/>
            </a:xfrm>
            <a:prstGeom prst="rect">
              <a:avLst/>
            </a:prstGeom>
          </xdr:spPr>
          <xdr:txBody>
            <a:bodyPr vertOverflow="clip" horzOverflow="clip" wrap="non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65^((</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9</xdr:col>
      <xdr:colOff>358220</xdr:colOff>
      <xdr:row>116</xdr:row>
      <xdr:rowOff>48134</xdr:rowOff>
    </xdr:from>
    <xdr:to>
      <xdr:col>10</xdr:col>
      <xdr:colOff>0</xdr:colOff>
      <xdr:row>118</xdr:row>
      <xdr:rowOff>54045</xdr:rowOff>
    </xdr:to>
    <mc:AlternateContent xmlns:mc="http://schemas.openxmlformats.org/markup-compatibility/2006" xmlns:a14="http://schemas.microsoft.com/office/drawing/2010/main">
      <mc:Choice Requires="a14">
        <xdr:sp macro="" textlink="">
          <xdr:nvSpPr>
            <xdr:cNvPr id="23" name="Object 5">
              <a:extLst>
                <a:ext uri="{FF2B5EF4-FFF2-40B4-BE49-F238E27FC236}">
                  <a16:creationId xmlns:a16="http://schemas.microsoft.com/office/drawing/2014/main" id="{B438BD81-9E01-491A-86C7-9E5DC48E6498}"/>
                </a:ext>
              </a:extLst>
            </xdr:cNvPr>
            <xdr:cNvSpPr txBox="1"/>
          </xdr:nvSpPr>
          <xdr:spPr>
            <a:xfrm>
              <a:off x="5676980" y="21043139"/>
              <a:ext cx="228520" cy="369766"/>
            </a:xfrm>
            <a:prstGeom prst="rect">
              <a:avLst/>
            </a:prstGeom>
          </xdr:spPr>
          <xdr:txBody>
            <a:bodyPr vertOverflow="clip" horzOverflow="clip" wrap="square">
              <a:spAutoFit/>
            </a:bodyPr>
            <a:lstStyle/>
            <a:p>
              <a:pPr/>
              <a14:m>
                <m:oMathPara xmlns:m="http://schemas.openxmlformats.org/officeDocument/2006/math">
                  <m:oMathParaPr>
                    <m:jc m:val="left"/>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69 (</m:t>
                        </m:r>
                        <m:r>
                          <a:rPr lang="en-US" b="0" i="1">
                            <a:solidFill>
                              <a:srgbClr val="000000"/>
                            </a:solidFill>
                            <a:latin typeface="Cambria Math" panose="02040503050406030204" pitchFamily="18" charset="0"/>
                          </a:rPr>
                          <m:t>𝐽</m:t>
                        </m:r>
                        <m:r>
                          <a:rPr lang="en-US" b="0" i="1">
                            <a:solidFill>
                              <a:srgbClr val="000000"/>
                            </a:solidFill>
                            <a:latin typeface="Cambria Math" panose="02040503050406030204" pitchFamily="18" charset="0"/>
                          </a:rPr>
                          <m:t>&amp;</m:t>
                        </m:r>
                        <m:r>
                          <a:rPr lang="en-US" b="0" i="1">
                            <a:solidFill>
                              <a:srgbClr val="000000"/>
                            </a:solidFill>
                            <a:latin typeface="Cambria Math" panose="02040503050406030204" pitchFamily="18" charset="0"/>
                          </a:rPr>
                          <m:t>𝑆</m:t>
                        </m:r>
                        <m:r>
                          <a:rPr lang="en-US" b="0" i="1">
                            <a:solidFill>
                              <a:srgbClr val="000000"/>
                            </a:solidFill>
                            <a:latin typeface="Cambria Math" panose="02040503050406030204" pitchFamily="18" charset="0"/>
                          </a:rPr>
                          <m:t>)</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23" name="Object 5">
              <a:extLst>
                <a:ext uri="{FF2B5EF4-FFF2-40B4-BE49-F238E27FC236}">
                  <a16:creationId xmlns:a16="http://schemas.microsoft.com/office/drawing/2014/main" id="{B438BD81-9E01-491A-86C7-9E5DC48E6498}"/>
                </a:ext>
              </a:extLst>
            </xdr:cNvPr>
            <xdr:cNvSpPr txBox="1"/>
          </xdr:nvSpPr>
          <xdr:spPr>
            <a:xfrm>
              <a:off x="5676980" y="21043139"/>
              <a:ext cx="228520" cy="369766"/>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69 (𝐽&amp;𝑆))^((</a:t>
              </a:r>
              <a:r>
                <a:rPr lang="en-US" i="0">
                  <a:solidFill>
                    <a:srgbClr val="000000"/>
                  </a:solidFill>
                  <a:latin typeface="Cambria Math" panose="02040503050406030204" pitchFamily="18" charset="0"/>
                </a:rPr>
                <a:t>12) )</a:t>
              </a:r>
              <a:endParaRPr lang="en-US"/>
            </a:p>
          </xdr:txBody>
        </xdr:sp>
      </mc:Fallback>
    </mc:AlternateContent>
    <xdr:clientData/>
  </xdr:twoCellAnchor>
  <xdr:twoCellAnchor>
    <xdr:from>
      <xdr:col>2</xdr:col>
      <xdr:colOff>524641</xdr:colOff>
      <xdr:row>146</xdr:row>
      <xdr:rowOff>68536</xdr:rowOff>
    </xdr:from>
    <xdr:to>
      <xdr:col>3</xdr:col>
      <xdr:colOff>399048</xdr:colOff>
      <xdr:row>148</xdr:row>
      <xdr:rowOff>30801</xdr:rowOff>
    </xdr:to>
    <mc:AlternateContent xmlns:mc="http://schemas.openxmlformats.org/markup-compatibility/2006" xmlns:a14="http://schemas.microsoft.com/office/drawing/2010/main">
      <mc:Choice Requires="a14">
        <xdr:sp macro="" textlink="">
          <xdr:nvSpPr>
            <xdr:cNvPr id="24" name="Object 4">
              <a:extLst>
                <a:ext uri="{FF2B5EF4-FFF2-40B4-BE49-F238E27FC236}">
                  <a16:creationId xmlns:a16="http://schemas.microsoft.com/office/drawing/2014/main" id="{4EB4BE4B-0C20-4E19-9842-5FDD6D34F184}"/>
                </a:ext>
              </a:extLst>
            </xdr:cNvPr>
            <xdr:cNvSpPr txBox="1"/>
          </xdr:nvSpPr>
          <xdr:spPr>
            <a:xfrm>
              <a:off x="1703836" y="26488981"/>
              <a:ext cx="470672" cy="324215"/>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26|</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39</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24" name="Object 4">
              <a:extLst>
                <a:ext uri="{FF2B5EF4-FFF2-40B4-BE49-F238E27FC236}">
                  <a16:creationId xmlns:a16="http://schemas.microsoft.com/office/drawing/2014/main" id="{4EB4BE4B-0C20-4E19-9842-5FDD6D34F184}"/>
                </a:ext>
              </a:extLst>
            </xdr:cNvPr>
            <xdr:cNvSpPr txBox="1"/>
          </xdr:nvSpPr>
          <xdr:spPr>
            <a:xfrm>
              <a:off x="1703836" y="26488981"/>
              <a:ext cx="470672" cy="324215"/>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_26|^)</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39^((</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2</xdr:col>
      <xdr:colOff>508657</xdr:colOff>
      <xdr:row>148</xdr:row>
      <xdr:rowOff>43355</xdr:rowOff>
    </xdr:from>
    <xdr:to>
      <xdr:col>3</xdr:col>
      <xdr:colOff>383064</xdr:colOff>
      <xdr:row>150</xdr:row>
      <xdr:rowOff>5619</xdr:rowOff>
    </xdr:to>
    <mc:AlternateContent xmlns:mc="http://schemas.openxmlformats.org/markup-compatibility/2006" xmlns:a14="http://schemas.microsoft.com/office/drawing/2010/main">
      <mc:Choice Requires="a14">
        <xdr:sp macro="" textlink="">
          <xdr:nvSpPr>
            <xdr:cNvPr id="25" name="Object 4">
              <a:extLst>
                <a:ext uri="{FF2B5EF4-FFF2-40B4-BE49-F238E27FC236}">
                  <a16:creationId xmlns:a16="http://schemas.microsoft.com/office/drawing/2014/main" id="{5E4D1CDC-880F-4C26-8D28-747FC359932D}"/>
                </a:ext>
              </a:extLst>
            </xdr:cNvPr>
            <xdr:cNvSpPr txBox="1"/>
          </xdr:nvSpPr>
          <xdr:spPr>
            <a:xfrm>
              <a:off x="1693567" y="26829560"/>
              <a:ext cx="461147" cy="324214"/>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Pre>
                      <m:sPrePr>
                        <m:ctrlPr>
                          <a:rPr lang="en-US" i="1">
                            <a:solidFill>
                              <a:srgbClr val="000000"/>
                            </a:solidFill>
                            <a:latin typeface="Cambria Math" panose="02040503050406030204" pitchFamily="18" charset="0"/>
                          </a:rPr>
                        </m:ctrlPr>
                      </m:sPrePr>
                      <m:sub>
                        <m:r>
                          <a:rPr lang="en-US" b="0" i="1">
                            <a:solidFill>
                              <a:srgbClr val="000000"/>
                            </a:solidFill>
                            <a:latin typeface="Cambria Math" panose="02040503050406030204" pitchFamily="18" charset="0"/>
                          </a:rPr>
                          <m:t>25|</m:t>
                        </m:r>
                      </m:sub>
                      <m:sup/>
                      <m:e>
                        <m:sSubSup>
                          <m:sSubSupPr>
                            <m:ctrlPr>
                              <a:rPr lang="en-US" sz="1100" i="1">
                                <a:effectLst/>
                                <a:latin typeface="Cambria Math" panose="02040503050406030204" pitchFamily="18" charset="0"/>
                                <a:ea typeface="+mn-ea"/>
                                <a:cs typeface="+mn-cs"/>
                              </a:rPr>
                            </m:ctrlPr>
                          </m:sSubSupPr>
                          <m:e>
                            <m:acc>
                              <m:accPr>
                                <m:chr m:val="̈"/>
                                <m:ctrlPr>
                                  <a:rPr lang="en-US" sz="1100" i="1">
                                    <a:effectLst/>
                                    <a:latin typeface="Cambria Math" panose="02040503050406030204" pitchFamily="18" charset="0"/>
                                    <a:ea typeface="+mn-ea"/>
                                    <a:cs typeface="+mn-cs"/>
                                  </a:rPr>
                                </m:ctrlPr>
                              </m:accPr>
                              <m:e>
                                <m:r>
                                  <m:rPr>
                                    <m:sty m:val="p"/>
                                  </m:rPr>
                                  <a:rPr lang="en-US" sz="1100" i="0">
                                    <a:effectLst/>
                                    <a:latin typeface="Cambria Math" panose="02040503050406030204" pitchFamily="18" charset="0"/>
                                    <a:ea typeface="+mn-ea"/>
                                    <a:cs typeface="+mn-cs"/>
                                  </a:rPr>
                                  <m:t>a</m:t>
                                </m:r>
                              </m:e>
                            </m:acc>
                          </m:e>
                          <m:sub>
                            <m:r>
                              <a:rPr lang="en-US" sz="1100" b="0" i="1">
                                <a:effectLst/>
                                <a:latin typeface="Cambria Math" panose="02040503050406030204" pitchFamily="18" charset="0"/>
                                <a:ea typeface="+mn-ea"/>
                                <a:cs typeface="+mn-cs"/>
                              </a:rPr>
                              <m:t>40</m:t>
                            </m:r>
                          </m:sub>
                          <m:sup>
                            <m:d>
                              <m:dPr>
                                <m:ctrlPr>
                                  <a:rPr lang="en-US" sz="1100" i="1">
                                    <a:effectLst/>
                                    <a:latin typeface="Cambria Math" panose="02040503050406030204" pitchFamily="18" charset="0"/>
                                    <a:ea typeface="+mn-ea"/>
                                    <a:cs typeface="+mn-cs"/>
                                  </a:rPr>
                                </m:ctrlPr>
                              </m:dPr>
                              <m:e>
                                <m:r>
                                  <a:rPr lang="en-US" sz="1100" i="1">
                                    <a:effectLst/>
                                    <a:latin typeface="Cambria Math" panose="02040503050406030204" pitchFamily="18" charset="0"/>
                                    <a:ea typeface="+mn-ea"/>
                                    <a:cs typeface="+mn-cs"/>
                                  </a:rPr>
                                  <m:t>12</m:t>
                                </m:r>
                              </m:e>
                            </m:d>
                          </m:sup>
                        </m:sSubSup>
                      </m:e>
                    </m:sPre>
                  </m:oMath>
                </m:oMathPara>
              </a14:m>
              <a:endParaRPr lang="en-US"/>
            </a:p>
          </xdr:txBody>
        </xdr:sp>
      </mc:Choice>
      <mc:Fallback xmlns="">
        <xdr:sp macro="" textlink="">
          <xdr:nvSpPr>
            <xdr:cNvPr id="25" name="Object 4">
              <a:extLst>
                <a:ext uri="{FF2B5EF4-FFF2-40B4-BE49-F238E27FC236}">
                  <a16:creationId xmlns:a16="http://schemas.microsoft.com/office/drawing/2014/main" id="{5E4D1CDC-880F-4C26-8D28-747FC359932D}"/>
                </a:ext>
              </a:extLst>
            </xdr:cNvPr>
            <xdr:cNvSpPr txBox="1"/>
          </xdr:nvSpPr>
          <xdr:spPr>
            <a:xfrm>
              <a:off x="1693567" y="26829560"/>
              <a:ext cx="461147" cy="324214"/>
            </a:xfrm>
            <a:prstGeom prst="rect">
              <a:avLst/>
            </a:prstGeom>
          </xdr:spPr>
          <xdr:txBody>
            <a:bodyPr vertOverflow="clip" horzOverflow="clip" wrap="none">
              <a:noAutofit/>
            </a:bodyPr>
            <a:lstStyle/>
            <a:p>
              <a:pPr/>
              <a:r>
                <a:rPr lang="en-US" i="0">
                  <a:solidFill>
                    <a:srgbClr val="000000"/>
                  </a:solidFill>
                  <a:latin typeface="Cambria Math" panose="02040503050406030204" pitchFamily="18" charset="0"/>
                </a:rPr>
                <a:t>(</a:t>
              </a:r>
              <a:r>
                <a:rPr lang="en-US" b="0" i="0">
                  <a:solidFill>
                    <a:srgbClr val="000000"/>
                  </a:solidFill>
                  <a:latin typeface="Cambria Math" panose="02040503050406030204" pitchFamily="18" charset="0"/>
                </a:rPr>
                <a:t>_25|^)</a:t>
              </a:r>
              <a:r>
                <a:rPr lang="en-US" sz="1100" i="0">
                  <a:effectLst/>
                  <a:latin typeface="Cambria Math" panose="02040503050406030204" pitchFamily="18" charset="0"/>
                  <a:ea typeface="+mn-ea"/>
                  <a:cs typeface="+mn-cs"/>
                </a:rPr>
                <a:t>a ̈_</a:t>
              </a:r>
              <a:r>
                <a:rPr lang="en-US" sz="1100" b="0" i="0">
                  <a:effectLst/>
                  <a:latin typeface="Cambria Math" panose="02040503050406030204" pitchFamily="18" charset="0"/>
                  <a:ea typeface="+mn-ea"/>
                  <a:cs typeface="+mn-cs"/>
                </a:rPr>
                <a:t>40^((</a:t>
              </a:r>
              <a:r>
                <a:rPr lang="en-US" sz="1100" i="0">
                  <a:effectLst/>
                  <a:latin typeface="Cambria Math" panose="02040503050406030204" pitchFamily="18" charset="0"/>
                  <a:ea typeface="+mn-ea"/>
                  <a:cs typeface="+mn-cs"/>
                </a:rPr>
                <a:t>12) ) </a:t>
              </a:r>
              <a:endParaRPr lang="en-US"/>
            </a:p>
          </xdr:txBody>
        </xdr:sp>
      </mc:Fallback>
    </mc:AlternateContent>
    <xdr:clientData/>
  </xdr:twoCellAnchor>
  <xdr:twoCellAnchor>
    <xdr:from>
      <xdr:col>9</xdr:col>
      <xdr:colOff>0</xdr:colOff>
      <xdr:row>123</xdr:row>
      <xdr:rowOff>0</xdr:rowOff>
    </xdr:from>
    <xdr:to>
      <xdr:col>9</xdr:col>
      <xdr:colOff>1174750</xdr:colOff>
      <xdr:row>124</xdr:row>
      <xdr:rowOff>131445</xdr:rowOff>
    </xdr:to>
    <mc:AlternateContent xmlns:mc="http://schemas.openxmlformats.org/markup-compatibility/2006" xmlns:a14="http://schemas.microsoft.com/office/drawing/2010/main">
      <mc:Choice Requires="a14">
        <xdr:sp macro="" textlink="">
          <xdr:nvSpPr>
            <xdr:cNvPr id="26" name="Object 5">
              <a:extLst>
                <a:ext uri="{FF2B5EF4-FFF2-40B4-BE49-F238E27FC236}">
                  <a16:creationId xmlns:a16="http://schemas.microsoft.com/office/drawing/2014/main" id="{E6794447-80B0-47EC-BF9B-B6194C41ED88}"/>
                </a:ext>
              </a:extLst>
            </xdr:cNvPr>
            <xdr:cNvSpPr txBox="1"/>
          </xdr:nvSpPr>
          <xdr:spPr>
            <a:xfrm>
              <a:off x="5314950" y="22259925"/>
              <a:ext cx="591820" cy="316230"/>
            </a:xfrm>
            <a:prstGeom prst="rect">
              <a:avLst/>
            </a:prstGeom>
          </xdr:spPr>
          <xdr:txBody>
            <a:bodyPr vertOverflow="clip" horzOverflow="clip" wrap="square">
              <a:spAutoFit/>
            </a:bodyPr>
            <a:lstStyle/>
            <a:p>
              <a:pPr/>
              <a14:m>
                <m:oMathPara xmlns:m="http://schemas.openxmlformats.org/officeDocument/2006/math">
                  <m:oMathParaPr>
                    <m:jc m:val="center"/>
                  </m:oMathParaPr>
                  <m:oMath xmlns:m="http://schemas.openxmlformats.org/officeDocument/2006/math">
                    <m:sSubSup>
                      <m:sSubSupPr>
                        <m:ctrlPr>
                          <a:rPr lang="en-US" i="1">
                            <a:solidFill>
                              <a:srgbClr val="000000"/>
                            </a:solidFill>
                            <a:latin typeface="Cambria Math" panose="02040503050406030204" pitchFamily="18" charset="0"/>
                          </a:rPr>
                        </m:ctrlPr>
                      </m:sSubSupPr>
                      <m:e>
                        <m:acc>
                          <m:accPr>
                            <m:chr m:val="̈"/>
                            <m:ctrlPr>
                              <a:rPr lang="en-US" i="1">
                                <a:solidFill>
                                  <a:srgbClr val="000000"/>
                                </a:solidFill>
                                <a:latin typeface="Cambria Math" panose="02040503050406030204" pitchFamily="18" charset="0"/>
                              </a:rPr>
                            </m:ctrlPr>
                          </m:accPr>
                          <m:e>
                            <m:r>
                              <m:rPr>
                                <m:sty m:val="p"/>
                              </m:rPr>
                              <a:rPr lang="en-US" i="0">
                                <a:solidFill>
                                  <a:srgbClr val="000000"/>
                                </a:solidFill>
                                <a:latin typeface="Cambria Math" panose="02040503050406030204" pitchFamily="18" charset="0"/>
                              </a:rPr>
                              <m:t>a</m:t>
                            </m:r>
                          </m:e>
                        </m:acc>
                      </m:e>
                      <m:sub>
                        <m:r>
                          <a:rPr lang="en-US" b="0" i="1">
                            <a:solidFill>
                              <a:srgbClr val="000000"/>
                            </a:solidFill>
                            <a:latin typeface="Cambria Math" panose="02040503050406030204" pitchFamily="18" charset="0"/>
                          </a:rPr>
                          <m:t>69 (</m:t>
                        </m:r>
                        <m:r>
                          <a:rPr lang="en-US" b="0" i="1">
                            <a:solidFill>
                              <a:srgbClr val="000000"/>
                            </a:solidFill>
                            <a:latin typeface="Cambria Math" panose="02040503050406030204" pitchFamily="18" charset="0"/>
                          </a:rPr>
                          <m:t>𝐽</m:t>
                        </m:r>
                        <m:r>
                          <a:rPr lang="en-US" b="0" i="1">
                            <a:solidFill>
                              <a:srgbClr val="000000"/>
                            </a:solidFill>
                            <a:latin typeface="Cambria Math" panose="02040503050406030204" pitchFamily="18" charset="0"/>
                          </a:rPr>
                          <m:t>&amp;</m:t>
                        </m:r>
                        <m:r>
                          <a:rPr lang="en-US" b="0" i="1">
                            <a:solidFill>
                              <a:srgbClr val="000000"/>
                            </a:solidFill>
                            <a:latin typeface="Cambria Math" panose="02040503050406030204" pitchFamily="18" charset="0"/>
                          </a:rPr>
                          <m:t>𝑆</m:t>
                        </m:r>
                        <m:r>
                          <a:rPr lang="en-US" b="0" i="1">
                            <a:solidFill>
                              <a:srgbClr val="000000"/>
                            </a:solidFill>
                            <a:latin typeface="Cambria Math" panose="02040503050406030204" pitchFamily="18" charset="0"/>
                          </a:rPr>
                          <m:t>)</m:t>
                        </m:r>
                      </m:sub>
                      <m:sup>
                        <m:d>
                          <m:dPr>
                            <m:ctrlPr>
                              <a:rPr lang="en-US" i="1">
                                <a:solidFill>
                                  <a:srgbClr val="000000"/>
                                </a:solidFill>
                                <a:latin typeface="Cambria Math" panose="02040503050406030204" pitchFamily="18" charset="0"/>
                              </a:rPr>
                            </m:ctrlPr>
                          </m:dPr>
                          <m:e>
                            <m:r>
                              <a:rPr lang="en-US" i="1">
                                <a:solidFill>
                                  <a:srgbClr val="000000"/>
                                </a:solidFill>
                                <a:latin typeface="Cambria Math" panose="02040503050406030204" pitchFamily="18" charset="0"/>
                              </a:rPr>
                              <m:t>12</m:t>
                            </m:r>
                          </m:e>
                        </m:d>
                      </m:sup>
                    </m:sSubSup>
                  </m:oMath>
                </m:oMathPara>
              </a14:m>
              <a:endParaRPr lang="en-US"/>
            </a:p>
          </xdr:txBody>
        </xdr:sp>
      </mc:Choice>
      <mc:Fallback xmlns="">
        <xdr:sp macro="" textlink="">
          <xdr:nvSpPr>
            <xdr:cNvPr id="26" name="Object 5">
              <a:extLst>
                <a:ext uri="{FF2B5EF4-FFF2-40B4-BE49-F238E27FC236}">
                  <a16:creationId xmlns:a16="http://schemas.microsoft.com/office/drawing/2014/main" id="{E6794447-80B0-47EC-BF9B-B6194C41ED88}"/>
                </a:ext>
              </a:extLst>
            </xdr:cNvPr>
            <xdr:cNvSpPr txBox="1"/>
          </xdr:nvSpPr>
          <xdr:spPr>
            <a:xfrm>
              <a:off x="5314950" y="22259925"/>
              <a:ext cx="591820" cy="316230"/>
            </a:xfrm>
            <a:prstGeom prst="rect">
              <a:avLst/>
            </a:prstGeom>
          </xdr:spPr>
          <xdr:txBody>
            <a:bodyPr vertOverflow="clip" horzOverflow="clip" wrap="square">
              <a:spAutoFit/>
            </a:bodyPr>
            <a:lstStyle/>
            <a:p>
              <a:pPr/>
              <a:r>
                <a:rPr lang="en-US" i="0">
                  <a:solidFill>
                    <a:srgbClr val="000000"/>
                  </a:solidFill>
                  <a:latin typeface="Cambria Math" panose="02040503050406030204" pitchFamily="18" charset="0"/>
                </a:rPr>
                <a:t>a ̈_(</a:t>
              </a:r>
              <a:r>
                <a:rPr lang="en-US" b="0" i="0">
                  <a:solidFill>
                    <a:srgbClr val="000000"/>
                  </a:solidFill>
                  <a:latin typeface="Cambria Math" panose="02040503050406030204" pitchFamily="18" charset="0"/>
                </a:rPr>
                <a:t>69 (𝐽&amp;𝑆))^((</a:t>
              </a:r>
              <a:r>
                <a:rPr lang="en-US" i="0">
                  <a:solidFill>
                    <a:srgbClr val="000000"/>
                  </a:solidFill>
                  <a:latin typeface="Cambria Math" panose="02040503050406030204" pitchFamily="18" charset="0"/>
                </a:rPr>
                <a:t>12) )</a:t>
              </a:r>
              <a:endParaRPr lang="en-US"/>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Dropbox/Documents/Paul/SOA%20Exam%20Committee/2017/Dec%202017%20-%20San%20Francisco/DA_Retirement_Case_Study_2018%20FINAL%201218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ncleg-my.sharepoint.com/personal/david_vanderweide_ncleg_gov/Documents/Documents/Desktop/SOA/Practice%20Problems/Excel/fall-2022-exam-retdac%20(1).xlsx" TargetMode="External"/><Relationship Id="rId1" Type="http://schemas.openxmlformats.org/officeDocument/2006/relationships/externalLinkPath" Target="Excel/fall-2022-exam-retdac%20(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david.vanderweide\Downloads\edu-2022-fall-solutions-ret-dac%20(1).xlsx" TargetMode="External"/><Relationship Id="rId1" Type="http://schemas.openxmlformats.org/officeDocument/2006/relationships/externalLinkPath" Target="file:///C:\Users\david.vanderweide\Downloads\edu-2022-fall-solutions-ret-dac%20(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ILA101%20Curated%20Past%20Exam%20Excel%20Files.xlsx" TargetMode="External"/><Relationship Id="rId1" Type="http://schemas.openxmlformats.org/officeDocument/2006/relationships/externalLinkPath" Target="ILA101%20Curated%20Past%20Exam%20Excel%20Fil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mcglobalcan-my.sharepoint.com/Users/licscs/OneDrive%20-%20Industrial%20Alliance/Desktop/Verif%20FM/V&#233;rif_FM_2021.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Fully%20Assembled/RET101%20Curated%20Past%20Exam%20Excel%20Files.xlsx" TargetMode="External"/><Relationship Id="rId1" Type="http://schemas.openxmlformats.org/officeDocument/2006/relationships/externalLinkPath" Target="RET101%20Curated%20Past%20Exam%20Excel%20File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jbrennan.INSCONST\Downloads\ILA-LPM%20Spring%202021%20Exam%20Rubric%20with%20Calibration%20Notes%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unlifefinancial-my.sharepoint.com/personal/al_na_sunlife_com/Documents/Documents/Personal%20Documents/SOA%20Volunteer/2022%20Spring%20CG/ILA-LPM%20Spring%202022%20Rubric%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2"/>
      <sheetName val="Question 5"/>
      <sheetName val="Question 6"/>
      <sheetName val="Question 8"/>
      <sheetName val="Question 9"/>
      <sheetName val="Overview Case Study"/>
      <sheetName val="Pension Case Study"/>
      <sheetName val="Retiree Health Case Study"/>
    </sheetNames>
    <sheetDataSet>
      <sheetData sheetId="0" refreshError="1"/>
      <sheetData sheetId="1" refreshError="1"/>
      <sheetData sheetId="2" refreshError="1"/>
      <sheetData sheetId="3">
        <row r="1">
          <cell r="A1" t="str">
            <v>Exam RETDAC:  Fall 2022</v>
          </cell>
        </row>
      </sheetData>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2"/>
      <sheetName val="Question 5"/>
      <sheetName val="Question 6"/>
      <sheetName val="Question 8"/>
      <sheetName val="Question 9"/>
      <sheetName val="Overview Case Study"/>
      <sheetName val="Pension Case Study"/>
      <sheetName val="Retiree Health Case Study"/>
    </sheetNames>
    <sheetDataSet>
      <sheetData sheetId="0"/>
      <sheetData sheetId="1"/>
      <sheetData sheetId="2"/>
      <sheetData sheetId="3">
        <row r="1">
          <cell r="A1" t="str">
            <v>Exam RETDAC:  Fall 2022</v>
          </cell>
        </row>
      </sheetData>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F20 Question 6 (b) Quest"/>
      <sheetName val="F20 Question 6 (b) Sol"/>
      <sheetName val="S21 Question 2 (a) Quest"/>
      <sheetName val="S21 Question 2(a) Sol"/>
      <sheetName val="S21 Question 3 (d) Quest"/>
      <sheetName val="S21 Question 3(d) Sol"/>
      <sheetName val="S21 Question 5 (b) Quest"/>
      <sheetName val="S21 Question 5 (b) Sol"/>
      <sheetName val="S22 Question 8(a) Quest"/>
      <sheetName val="S22 Question 8(a) Sol"/>
      <sheetName val="S23 Question 5 (a) (ii) Quest"/>
      <sheetName val="S23 Question 5 (a) (ii) Sol"/>
      <sheetName val="F24 Question 2 (c) Quest"/>
      <sheetName val="F24 Question 2 (c) Sol"/>
      <sheetName val="F24 Question 5 (c) Quest"/>
      <sheetName val="F24 Question 5 (c) Sol"/>
      <sheetName val="F24 Question 5 (d) Quest"/>
      <sheetName val="F24 Question 5 (d) S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C1">
            <v>100000</v>
          </cell>
        </row>
        <row r="2">
          <cell r="C2">
            <v>5.0000000000000001E-3</v>
          </cell>
        </row>
        <row r="3">
          <cell r="C3">
            <v>1.2E-2</v>
          </cell>
        </row>
        <row r="4">
          <cell r="C4">
            <v>0.05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Aide mémoire"/>
      <sheetName val="Funding"/>
      <sheetName val="Funding LV"/>
      <sheetName val="Solvency"/>
      <sheetName val="MaxFunding"/>
      <sheetName val="Funding sens"/>
      <sheetName val="Solvency sens"/>
      <sheetName val="Incr cost Solv"/>
      <sheetName val=" FESP 2014"/>
      <sheetName val="PfAD ON"/>
      <sheetName val="PfAD NS"/>
      <sheetName val="PfAD QC"/>
      <sheetName val="Amortissement"/>
      <sheetName val="Sommaire"/>
      <sheetName val="Amort2"/>
      <sheetName val="Terminaison"/>
      <sheetName val="Terminaison Future"/>
      <sheetName val="Funding RCA"/>
      <sheetName val="Solvency RCA"/>
      <sheetName val="Projection to retirement"/>
      <sheetName val="Parameters"/>
      <sheetName val="Tables"/>
      <sheetName val="PA"/>
    </sheetNames>
    <sheetDataSet>
      <sheetData sheetId="0">
        <row r="3">
          <cell r="B3">
            <v>44562</v>
          </cell>
        </row>
        <row r="9">
          <cell r="B9" t="str">
            <v>M</v>
          </cell>
        </row>
      </sheetData>
      <sheetData sheetId="1" refreshError="1"/>
      <sheetData sheetId="2">
        <row r="47">
          <cell r="B47">
            <v>50</v>
          </cell>
        </row>
        <row r="48">
          <cell r="B48">
            <v>65</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15">
          <cell r="C115">
            <v>0</v>
          </cell>
        </row>
        <row r="117">
          <cell r="C117" t="str">
            <v>CPM2014</v>
          </cell>
          <cell r="D117" t="str">
            <v>CPM-B</v>
          </cell>
          <cell r="E117" t="str">
            <v>N</v>
          </cell>
          <cell r="F117" t="str">
            <v>N</v>
          </cell>
          <cell r="G117">
            <v>0</v>
          </cell>
        </row>
        <row r="119">
          <cell r="C119" t="str">
            <v>M</v>
          </cell>
        </row>
        <row r="123">
          <cell r="C123">
            <v>0</v>
          </cell>
        </row>
        <row r="125">
          <cell r="C125">
            <v>1</v>
          </cell>
        </row>
      </sheetData>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RET 101 LO 1"/>
      <sheetName val="DAC-Fall22-Q8"/>
      <sheetName val="DAC-Fall22-Q8Ans"/>
      <sheetName val="DAU-Spring24-Q4"/>
      <sheetName val="DAU-Spring24-Q4Ans"/>
      <sheetName val="RET 101 LO 2"/>
      <sheetName val="DAC-Fall21-Q10"/>
      <sheetName val="DAC-Fall21-Q10Ans"/>
      <sheetName val="DAC-Spring24-Q10"/>
      <sheetName val="DAC-Spring24-Q10Ans"/>
      <sheetName val="RET 101 LO 4"/>
      <sheetName val="DAC-Fall21-Q4"/>
      <sheetName val="DAC-Fall21-Q4A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ll"/>
      <sheetName val="Coverage"/>
      <sheetName val="BP-1-2020"/>
      <sheetName val="AA-1-2020"/>
      <sheetName val="Spring 2021 LPM Q2 Calibration"/>
      <sheetName val="Part a"/>
      <sheetName val="Part b"/>
      <sheetName val="Part c"/>
      <sheetName val="AA-1-2020 calc"/>
      <sheetName val="AA-1-2020 calc corrected"/>
      <sheetName val="DF-1-2020"/>
      <sheetName val="JR-1-2020"/>
      <sheetName val="JR-1-2020 calc"/>
      <sheetName val="KW-1-2020"/>
      <sheetName val="MD-1-2020"/>
      <sheetName val="MD-1-2020 calc"/>
      <sheetName val="SM-1-2019"/>
      <sheetName val="SM-1-2019 Calc"/>
      <sheetName val="SR-1-2020"/>
      <sheetName val="TL-1-2020"/>
      <sheetName val="TL-2-2020"/>
      <sheetName val="TL-Calc's"/>
      <sheetName val="Rubric Template"/>
      <sheetName val="BL-1-2020"/>
      <sheetName val="syllabus list"/>
      <sheetName val="ILA Prod Mgmt LOs and 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 xml:space="preserve">LO#3-2, </v>
          </cell>
        </row>
        <row r="10">
          <cell r="C10" t="str">
            <v xml:space="preserve">LO#3-9, </v>
          </cell>
        </row>
        <row r="11">
          <cell r="C11" t="str">
            <v xml:space="preserve">LO#3-10, </v>
          </cell>
        </row>
        <row r="12">
          <cell r="C12" t="e">
            <v>#N/A</v>
          </cell>
        </row>
        <row r="13">
          <cell r="C13" t="e">
            <v>#N/A</v>
          </cell>
        </row>
        <row r="14">
          <cell r="C14" t="e">
            <v>#N/A</v>
          </cell>
        </row>
        <row r="15">
          <cell r="C15" t="e">
            <v>#N/A</v>
          </cell>
        </row>
        <row r="16">
          <cell r="C16" t="e">
            <v>#N/A</v>
          </cell>
        </row>
      </sheetData>
      <sheetData sheetId="26">
        <row r="4">
          <cell r="B4" t="str">
            <v>LPM-107-07: Experience Assumptions for Individual Life Insurance and Annuities</v>
          </cell>
        </row>
        <row r="5">
          <cell r="B5" t="str">
            <v>LPM-121-13: Life Insurance and Annuity Non-forfeiture Practices</v>
          </cell>
        </row>
        <row r="6">
          <cell r="B6" t="str">
            <v>LPM-134-15: Digital Distribution in Insurance: A Quiet Revolution</v>
          </cell>
        </row>
        <row r="7">
          <cell r="B7" t="str">
            <v>LPM-142-16: Malcolm Life Enhances Its Variable Annuities, 2010</v>
          </cell>
        </row>
        <row r="8">
          <cell r="B8" t="str">
            <v>LPM-147-17: Life Insurance: Focusing on the Consumer (excluding Appendices)</v>
          </cell>
        </row>
        <row r="9">
          <cell r="B9" t="str">
            <v>LPM-148-19: Ch. 9 of Life Insurance Products and Finance, Atkinson and Dallas</v>
          </cell>
        </row>
        <row r="10">
          <cell r="B10" t="str">
            <v>LPM-149-19: Ch. 11, pp. 499-502 of Life Insurance Products and Finance, Atkinson and Dallas</v>
          </cell>
        </row>
        <row r="11">
          <cell r="B11" t="str">
            <v>LPM-150-19: Tax Reform Impacts on Life Insurance Pricing and Profitability, 2018</v>
          </cell>
        </row>
        <row r="12">
          <cell r="B12" t="str">
            <v>LPM-151-19: Transamerica Term Life: Understanding Post-Level Experience</v>
          </cell>
        </row>
        <row r="13">
          <cell r="B13" t="str">
            <v>LPM-152-19: Lapse Supported Insurance Analysis</v>
          </cell>
        </row>
        <row r="14">
          <cell r="B14" t="str">
            <v>LPM-165-19: Life Products and Features, ILA Committee, 2019</v>
          </cell>
        </row>
        <row r="15">
          <cell r="B15" t="str">
            <v>LPM-166-19: Annuity Product and Features, ILA Committee, 2019</v>
          </cell>
        </row>
        <row r="16">
          <cell r="B16" t="str">
            <v>ASOP 2: Non-guaranteed Charges or Benefits for Life Insurance Policies and Annuity Contracts, May 2011 (excluding Appendices)</v>
          </cell>
        </row>
        <row r="17">
          <cell r="B17" t="str">
            <v>ASOP 54: Pricing of Life and Annuity Products, Jun 2018</v>
          </cell>
        </row>
        <row r="18">
          <cell r="B18" t="str">
            <v>Impact of VM-20 on Life Insurance Product Development, SOA Research, Nov 2016, pp. 1-31 (excluding discussion of 20-year term)</v>
          </cell>
        </row>
        <row r="19">
          <cell r="B19" t="str">
            <v>The Use of Predictive Analytics in the Development of Experience Studies, The Actuary, 2015, pp. 26-34</v>
          </cell>
        </row>
        <row r="20">
          <cell r="B20" t="str">
            <v>Variable Annuity Guaranteed Living Benefits Utilization, SOA LIMRA Research, 2018, Executive Summary only (pp. 19-32)</v>
          </cell>
        </row>
        <row r="21">
          <cell r="B21" t="str">
            <v>Predictive Modeling for Life Insurance: Ways Life Insurers Can Participate in the Business Analytics Revolution, Product Matters, 2018</v>
          </cell>
        </row>
        <row r="22">
          <cell r="B22" t="str">
            <v>Macro-Pricing, Product Development Monograph, pp. 11-41</v>
          </cell>
        </row>
        <row r="23">
          <cell r="B23" t="str">
            <v>Life Insurance Acceleration Riders, SOA Reinsurance News, 2013, pp. 35-38</v>
          </cell>
        </row>
        <row r="24">
          <cell r="B24" t="str">
            <v>The Response of Life Insurance Pricing to Life Settlements, Product Matters, Sep 2006</v>
          </cell>
        </row>
        <row r="25">
          <cell r="B25" t="str">
            <v>Risk Based Pricing – Risk Management at Point of Sale, Product Matters, Jun 2009</v>
          </cell>
        </row>
        <row r="26">
          <cell r="B26" t="str">
            <v>Report on Pricing Using Market Consistent Embedded Value (MCEV), Jun 2012 (excluding Appendix 2)</v>
          </cell>
        </row>
        <row r="27">
          <cell r="B27" t="str">
            <v>Life Insurance for the Digital Age:  An End-to-End View, Product Matters, Nov 2017</v>
          </cell>
        </row>
        <row r="28">
          <cell r="B28" t="str">
            <v>Term Conversions: Pricing and Reserving, Product Matters, Mar 2017</v>
          </cell>
        </row>
        <row r="29">
          <cell r="B29" t="str">
            <v>Term Conversions - A Reinsurers Perspective, Product Matters, Jun 2012</v>
          </cell>
        </row>
        <row r="30">
          <cell r="B30" t="str">
            <v>Setting Assumptions, Exposure Draft, ASOP, Dec 2016</v>
          </cell>
        </row>
        <row r="31">
          <cell r="B31" t="str">
            <v>Term Mortality and Lapses, Product Matters, Aug 2005</v>
          </cell>
        </row>
        <row r="32">
          <cell r="B32" t="str">
            <v>Ending the Mortality Table, Living to 100 Symposium</v>
          </cell>
        </row>
        <row r="33">
          <cell r="B33" t="str">
            <v>Post Level Term Experience Results, 2014, pp. 21-44</v>
          </cell>
        </row>
        <row r="34">
          <cell r="B34" t="str">
            <v>Level Term Lapse Rates – Lessons Learned Here and in Canada, Product Matters, Oct 2011, pp. 11-14</v>
          </cell>
        </row>
        <row r="35">
          <cell r="B35" t="str">
            <v>Modeling of Policyholder Behavior for Life and Annuity Products, SOA, 2014, pp. 6, 9-16 &amp; 19-73</v>
          </cell>
        </row>
        <row r="36">
          <cell r="B36" t="str">
            <v>Report on Premium Persistency Assumptions Study of Flexible Premium Universal Life Products, May 2012, pp. 9-15</v>
          </cell>
        </row>
        <row r="37">
          <cell r="B37" t="str">
            <v>Understanding the Volatility Experience and Pricing Assumptions in Long-Term Care Insurance, 2014, pp. 4-46</v>
          </cell>
        </row>
        <row r="38">
          <cell r="B38" t="str">
            <v>Report on the Conversion Experience Study for the Level Premium Term Plans, 2016, pp. 6-9, 39-40 &amp; Appendix B</v>
          </cell>
        </row>
        <row r="39">
          <cell r="B39" t="str">
            <v>Long-Term Care Insurance: The SOA Pricing Project, 2016</v>
          </cell>
        </row>
        <row r="40">
          <cell r="B40" t="str">
            <v>Table Development, Feb 2018 (excluding Appendices C, D, F, G &amp; H)</v>
          </cell>
        </row>
        <row r="41">
          <cell r="B41" t="str">
            <v>LPM-113-09: Economics of Insurance: How Insurers Create Value for Shareholders, pp. 4-31</v>
          </cell>
        </row>
        <row r="42">
          <cell r="B42" t="str">
            <v>LPM-153-19: Life in-force Management: Improving Consumer Value and Long-Term Profitability</v>
          </cell>
        </row>
        <row r="43">
          <cell r="B43" t="str">
            <v xml:space="preserve">LPM-154-19: Introduction to Source of Earnings Analysis, 2015, Exclude Appendix </v>
          </cell>
        </row>
        <row r="44">
          <cell r="B44" t="str">
            <v>LPM-155-19: Understanding Profitability in Life Insurance</v>
          </cell>
        </row>
        <row r="45">
          <cell r="B45" t="str">
            <v>Earnings Emergence Insurance Accounting under Multiple Financial Reporting Bases, 2015, pp. 4-6, 10-24 &amp; 45-53</v>
          </cell>
        </row>
        <row r="46">
          <cell r="B46" t="str">
            <v>Relationship of IRR to ROI on a Level Term Life Insurance Policy, Product Matters, Jun 2013, pp. 18-21</v>
          </cell>
        </row>
        <row r="47">
          <cell r="B47" t="str">
            <v>Evolving Strategies to Improve Inforce Post-Level Term Profitability, Product Matters, Feb 2015, pp. 23-29</v>
          </cell>
        </row>
        <row r="48">
          <cell r="B48" t="str">
            <v>LPM-110-07: Policyholder Dividends</v>
          </cell>
        </row>
        <row r="49">
          <cell r="B49" t="str">
            <v>LPM-133-16: Testing for Adverse Selection in Life Settlements: The Secondary Market for Life Insurance Policies, pp. 2-18</v>
          </cell>
        </row>
        <row r="50">
          <cell r="B50" t="str">
            <v>LPM-156-19: The Impact of Stochastic Volatility on Pricing, Hedging and Hedge Efficiency of Withdrawal Benefit Guarantees in Variable Annuities (Note: Candidates not responsible for mathematical derivations or detailed results, but should understand concepts and methodology)</v>
          </cell>
        </row>
        <row r="51">
          <cell r="B51" t="str">
            <v>LPM-157-19: Diversification of Longevity and Mortality Risk</v>
          </cell>
        </row>
        <row r="52">
          <cell r="B52" t="str">
            <v>LPM-159-19: New York State Department of Financial Services 11 NYCRR 48 (Insurance Regulation 210), pp. 4-9</v>
          </cell>
        </row>
        <row r="53">
          <cell r="B53" t="str">
            <v>Transition to a High Interest Rate Environment: Preparing for Uncertainty, SOA Research, Jul 2015, Executive Summary, section IV: parts C (1-4 &amp; 8-11 only), D, E &amp; H</v>
          </cell>
        </row>
        <row r="54">
          <cell r="B54" t="str">
            <v>Experience Study Calculations, Oct 2016, sections 2-4, 11, 12, 15, 17 &amp; 18 (excluding 18.2, 18.8 &amp; 18.9)</v>
          </cell>
        </row>
        <row r="55">
          <cell r="B55" t="str">
            <v>Credibility Theory Practices, 2009 (excluding Appendices and formula derivations)</v>
          </cell>
        </row>
        <row r="56">
          <cell r="B56" t="str">
            <v>TransUnion’s TrueRisk Life Creation and Validation of the Industry’s Leading Credit-Based Insurance Score, RGA, 2019</v>
          </cell>
        </row>
        <row r="57">
          <cell r="B57" t="str">
            <v>LexisNexis® Risk Classifier – stratifying mortality risk using alternative data sources</v>
          </cell>
        </row>
        <row r="58">
          <cell r="B58" t="str">
            <v>Life, Health &amp; Annuity Reinsurance, Tiller, John E. and Tiller, Denise, 4th Edition, 2015 - Ch. 4: Basic Methods of Reinsurance</v>
          </cell>
        </row>
        <row r="59">
          <cell r="B59" t="str">
            <v>Life, Health &amp; Annuity Reinsurance, Tiller, John E. and Tiller, Denise, 4th Edition, 2015 - Ch. 5: Advanced Methods and Structures of Reinsurance</v>
          </cell>
        </row>
        <row r="60">
          <cell r="B60" t="str">
            <v>Life, Health &amp; Annuity Reinsurance, Tiller, John E. and Tiller, Denise, 4th Edition, 2015 - Ch. 6: Assumption</v>
          </cell>
        </row>
        <row r="61">
          <cell r="B61" t="str">
            <v>Life, Health &amp; Annuity Reinsurance, Tiller, John E. and Tiller, Denise, 4th Edition, 2015 - Ch. 7: Reinsurance of Inforce Risks</v>
          </cell>
        </row>
        <row r="62">
          <cell r="B62" t="str">
            <v>Life, Health &amp; Annuity Reinsurance, Tiller, John E. and Tiller, Denise, 4th Edition, 2015 - Ch. 9: Risk Transfer Considerations (pp. 269-280)</v>
          </cell>
        </row>
        <row r="63">
          <cell r="B63" t="str">
            <v xml:space="preserve">Life, Health &amp; Annuity Reinsurance, Tiller, John E. and Tiller, Denise, 4th Edition, 2015 - Ch. 17: Nonproportional Reinsurance </v>
          </cell>
        </row>
        <row r="64">
          <cell r="B64" t="str">
            <v>LPM-160-19: Strategic Reinsurance and Insurance: The Increasing Trend of Customized Solutions, pp. 1-4, 14-15 &amp; 18-31</v>
          </cell>
        </row>
        <row r="65">
          <cell r="B65" t="str">
            <v>Managing Investment Portfolios, Maginn, John L. and Tuttle, Donald L., 3rd Edition, 2007 - Ch. 3: Managing Institutional Investor Portfolios (section 4.1)</v>
          </cell>
        </row>
        <row r="66">
          <cell r="B66" t="str">
            <v>Managing Investment Portfolios, Maginn, John L. and Tuttle, Donald L., 3rd Edition, 2007 - Ch. 5: Asset Allocation (sections 2-4)</v>
          </cell>
        </row>
        <row r="67">
          <cell r="B67" t="str">
            <v>Managing Investment Portfolios, Maginn, John L. and Tuttle, Donald L., 3rd Edition, 2007 - Ch. 6: Fixed-Income Portfolio Management (sections 1-5)</v>
          </cell>
        </row>
        <row r="68">
          <cell r="B68" t="str">
            <v>Managing Investment Portfolios, Maginn, John L. and Tuttle, Donald L., 3rd Edition, 2007 - Ch. 8: Alternative Investments Portfolio Management (section 3)</v>
          </cell>
        </row>
        <row r="69">
          <cell r="B69" t="str">
            <v>Managing Investment Portfolios, Maginn, John L. and Tuttle, Donald L., 3rd Edition, 2007 - Ch.12: Evaluating Portfolio Performance (section 4)</v>
          </cell>
        </row>
        <row r="70">
          <cell r="B70" t="str">
            <v>Handbook of Fixed Income Securities, Fabozzi, Frank J., 8th Edition, 2012 - Ch. 6: Bond Pricing, Yield Measures and Total Return (pp. 102-120)</v>
          </cell>
        </row>
        <row r="71">
          <cell r="B71" t="str">
            <v>Handbook of Fixed Income Securities, Fabozzi, Frank J., 8th Edition, 2012 - Ch. 9: U.S. Treasury Securities (pp. 194-205)</v>
          </cell>
        </row>
        <row r="72">
          <cell r="B72" t="str">
            <v>Handbook of Fixed Income Securities, Fabozzi, Frank J., 8th Edition, 2012 - Ch. 10: Agency Debt Securities (pp. 207-220)</v>
          </cell>
        </row>
        <row r="73">
          <cell r="B73" t="str">
            <v>Handbook of Fixed Income Securities, Fabozzi, Frank J., 8th Edition, 2012 - Ch. 11: Municipal Bonds (pp. 225-230 &amp; 234-246)</v>
          </cell>
        </row>
        <row r="74">
          <cell r="B74" t="str">
            <v>Handbook of Fixed Income Securities, Fabozzi, Frank J., 8th Edition, 2012 - Ch. 12: Corporate Bonds (pp. 259-287, excluding exhibits 12-1 &amp; 12-2)</v>
          </cell>
        </row>
        <row r="75">
          <cell r="B75" t="str">
            <v>Handbook of Fixed Income Securities, Fabozzi, Frank J., 8th Edition, 2012 - Ch. 16: Private Money Market Instruments (pp. 337-340 &amp; 345-351)</v>
          </cell>
        </row>
        <row r="76">
          <cell r="B76" t="str">
            <v>Handbook of Fixed Income Securities, Fabozzi, Frank J., 8th Edition, 2012 - Ch. 17: Floating-Rate Securities</v>
          </cell>
        </row>
        <row r="77">
          <cell r="B77" t="str">
            <v>Handbook of Fixed Income Securities, Fabozzi, Frank J., 8th Edition, 2012 - Ch. 24: An Overview of Mortgages and the Mortgage Market</v>
          </cell>
        </row>
        <row r="78">
          <cell r="B78" t="str">
            <v>Handbook of Fixed Income Securities, Fabozzi, Frank J., 8th Edition, 2012 - Ch. 25: Agency Mortgage-Backed Securities</v>
          </cell>
        </row>
        <row r="79">
          <cell r="B79" t="str">
            <v>Handbook of Fixed Income Securities, Fabozzi, Frank J., 8th Edition, 2012 - Ch. 26: Agency Collateralized Mortgage Obligations</v>
          </cell>
        </row>
        <row r="80">
          <cell r="B80" t="str">
            <v>Handbook of Fixed Income Securities, Fabozzi, Frank J., 8th Edition, 2012 - Ch. 62: Interest-Rate Swaps and Swaptions</v>
          </cell>
        </row>
        <row r="81">
          <cell r="B81" t="str">
            <v>Handbook of Fixed Income Securities, Fabozzi, Frank J., 8th Edition, 2012 - Ch. 66: Credit Derivatives (pp. 1541-1559)</v>
          </cell>
        </row>
        <row r="82">
          <cell r="B82" t="str">
            <v>LPM-161-19: High-Yield Bond Market Primer</v>
          </cell>
        </row>
        <row r="83">
          <cell r="B83" t="str">
            <v>LPM-162-19: Liquidity Risk Management: Best Risk Management Practices</v>
          </cell>
        </row>
        <row r="84">
          <cell r="B84" t="str">
            <v>LPM-163-19: Managing your Advisor: A Guide to Getting the Most Out of the Portfolio Management Process</v>
          </cell>
        </row>
        <row r="85">
          <cell r="B85" t="str">
            <v>LPM-164-19: Ch. 7 (sections 7.2-7.5 &amp; 7A) and Ch. 8 (sections 8.3-8.6) of Derivatives Markets, McDonald, 3rd Edition</v>
          </cell>
        </row>
        <row r="86">
          <cell r="B86" t="str">
            <v>LIBOR and SOFR, 2019</v>
          </cell>
        </row>
        <row r="87">
          <cell r="A87" t="str">
            <v>LO#1</v>
          </cell>
          <cell r="B87" t="str">
            <v>Retrieval</v>
          </cell>
        </row>
        <row r="88">
          <cell r="A88" t="str">
            <v>LO#2</v>
          </cell>
          <cell r="B88" t="str">
            <v>Comprehension</v>
          </cell>
        </row>
        <row r="89">
          <cell r="A89" t="str">
            <v>LO#3</v>
          </cell>
          <cell r="B89" t="str">
            <v>Analysis</v>
          </cell>
        </row>
        <row r="90">
          <cell r="A90" t="str">
            <v>LO#4</v>
          </cell>
          <cell r="B90" t="str">
            <v>Knowledge Utilization</v>
          </cell>
        </row>
        <row r="91">
          <cell r="A91" t="str">
            <v>LO#5</v>
          </cell>
        </row>
      </sheetData>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xec Instructions"/>
      <sheetName val="Summary"/>
      <sheetName val="Coverage"/>
      <sheetName val="BG-2-2020"/>
      <sheetName val="BG-2-2020 calc"/>
      <sheetName val="BL-2-2021"/>
      <sheetName val="CB-2-2019"/>
      <sheetName val="FF-2-2019"/>
      <sheetName val="JL-1-2020"/>
      <sheetName val="JS-1-2020"/>
      <sheetName val="JS-1-2020 Calc"/>
      <sheetName val="JS-1-20201"/>
      <sheetName val="JS-1-2020 Calc1"/>
      <sheetName val="JW-1-2021"/>
      <sheetName val="JW-1-2021 Calc (b)(i)"/>
      <sheetName val="JW-1-2021 Calc (b)(ii)"/>
      <sheetName val="JW-1-2021 Table"/>
      <sheetName val="JW-2-2021"/>
      <sheetName val="JW-2-2021calc(b)(i)"/>
      <sheetName val="JeW-1-2021"/>
      <sheetName val="JeW-2-2021"/>
      <sheetName val="KG-1-2021"/>
      <sheetName val="KG-2-2021"/>
      <sheetName val="MC-1-2021"/>
      <sheetName val="MC-1-2021 Calc"/>
      <sheetName val="MD-1-2021_old"/>
      <sheetName val="MD-1-2021"/>
      <sheetName val="MD-1-2021 Calc"/>
      <sheetName val="MG-1-2019"/>
      <sheetName val="RF-1-2021"/>
      <sheetName val="RHa-1-2019"/>
      <sheetName val="RHa-1-2019 Calc"/>
      <sheetName val="SC-1-2021"/>
      <sheetName val="SM-1-2021"/>
      <sheetName val="SM-1-2021 Calc"/>
      <sheetName val="WD-1-2021"/>
      <sheetName val="WD-1-2021 Calc"/>
      <sheetName val="&lt;- Rubrics"/>
      <sheetName val="Rubric Template"/>
      <sheetName val="syllabus list"/>
      <sheetName val="LO"/>
      <sheetName val="BANKED---&gt;"/>
      <sheetName val="BL-1-2021"/>
      <sheetName val="CKB-1-2021"/>
      <sheetName val="KW-1-2019"/>
    </sheetNames>
    <sheetDataSet>
      <sheetData sheetId="0">
        <row r="2">
          <cell r="E2">
            <v>2021</v>
          </cell>
        </row>
      </sheetData>
      <sheetData sheetId="1"/>
      <sheetData sheetId="2"/>
      <sheetData sheetId="3"/>
      <sheetData sheetId="4"/>
      <sheetData sheetId="5">
        <row r="13">
          <cell r="K13">
            <v>7.0000000000000007E-2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9">
          <cell r="C9" t="e">
            <v>#N/A</v>
          </cell>
        </row>
      </sheetData>
      <sheetData sheetId="40">
        <row r="4">
          <cell r="B4" t="str">
            <v>LPM-107-07: Experience Assumptions for Individual Life Insurance and Annuities</v>
          </cell>
        </row>
      </sheetData>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A4C8E-6894-40CA-ABE5-2E8378290213}">
  <sheetPr>
    <tabColor rgb="FF0070C0"/>
    <pageSetUpPr autoPageBreaks="0"/>
  </sheetPr>
  <dimension ref="A6:K21"/>
  <sheetViews>
    <sheetView showGridLines="0" tabSelected="1" zoomScale="115" zoomScaleNormal="115" workbookViewId="0"/>
  </sheetViews>
  <sheetFormatPr defaultRowHeight="14.4"/>
  <cols>
    <col min="1" max="16384" width="8.88671875" style="2313"/>
  </cols>
  <sheetData>
    <row r="6" spans="1:10" ht="33.6">
      <c r="A6" s="2312" t="s">
        <v>2053</v>
      </c>
      <c r="B6" s="2312"/>
      <c r="C6" s="2312"/>
      <c r="D6" s="2312"/>
      <c r="E6" s="2312"/>
      <c r="F6" s="2312"/>
      <c r="G6" s="2312"/>
      <c r="H6" s="2312"/>
      <c r="I6" s="2312"/>
      <c r="J6" s="2312"/>
    </row>
    <row r="7" spans="1:10" ht="6" customHeight="1">
      <c r="A7" s="2314"/>
      <c r="B7" s="2314"/>
      <c r="C7" s="2314"/>
      <c r="D7" s="2314"/>
      <c r="E7" s="2314"/>
      <c r="F7" s="2314"/>
      <c r="G7" s="2314"/>
      <c r="H7" s="2314"/>
      <c r="I7" s="2314"/>
      <c r="J7" s="2314"/>
    </row>
    <row r="8" spans="1:10" ht="21">
      <c r="A8" s="2315" t="s">
        <v>2063</v>
      </c>
      <c r="B8" s="2315"/>
      <c r="C8" s="2315"/>
      <c r="D8" s="2315"/>
      <c r="E8" s="2315"/>
      <c r="F8" s="2315"/>
      <c r="G8" s="2315"/>
      <c r="H8" s="2315"/>
      <c r="I8" s="2315"/>
      <c r="J8" s="2315"/>
    </row>
    <row r="10" spans="1:10" ht="75" customHeight="1">
      <c r="A10" s="2316" t="s">
        <v>2054</v>
      </c>
      <c r="B10" s="2317" t="s">
        <v>2055</v>
      </c>
      <c r="C10" s="2317"/>
      <c r="D10" s="2317"/>
      <c r="E10" s="2317"/>
      <c r="F10" s="2317"/>
      <c r="G10" s="2317"/>
      <c r="H10" s="2317"/>
      <c r="I10" s="2317"/>
      <c r="J10" s="2317"/>
    </row>
    <row r="11" spans="1:10">
      <c r="B11" s="2318"/>
      <c r="C11" s="2318"/>
      <c r="D11" s="2318"/>
      <c r="E11" s="2318"/>
      <c r="F11" s="2318"/>
      <c r="G11" s="2318"/>
      <c r="H11" s="2318"/>
      <c r="I11" s="2318"/>
      <c r="J11" s="2318"/>
    </row>
    <row r="12" spans="1:10" ht="45" customHeight="1">
      <c r="A12" s="2316" t="s">
        <v>2054</v>
      </c>
      <c r="B12" s="2317" t="s">
        <v>2056</v>
      </c>
      <c r="C12" s="2317"/>
      <c r="D12" s="2317"/>
      <c r="E12" s="2317"/>
      <c r="F12" s="2317"/>
      <c r="G12" s="2317"/>
      <c r="H12" s="2317"/>
      <c r="I12" s="2317"/>
      <c r="J12" s="2317"/>
    </row>
    <row r="13" spans="1:10">
      <c r="B13" s="2318"/>
      <c r="C13" s="2318"/>
      <c r="D13" s="2318"/>
      <c r="E13" s="2318"/>
      <c r="F13" s="2318"/>
      <c r="G13" s="2318"/>
      <c r="H13" s="2318"/>
      <c r="I13" s="2318"/>
      <c r="J13" s="2318"/>
    </row>
    <row r="14" spans="1:10" ht="45.6" customHeight="1">
      <c r="A14" s="2316" t="s">
        <v>2054</v>
      </c>
      <c r="B14" s="2317" t="s">
        <v>2057</v>
      </c>
      <c r="C14" s="2317"/>
      <c r="D14" s="2317"/>
      <c r="E14" s="2317"/>
      <c r="F14" s="2317"/>
      <c r="G14" s="2317"/>
      <c r="H14" s="2317"/>
      <c r="I14" s="2317"/>
      <c r="J14" s="2317"/>
    </row>
    <row r="15" spans="1:10">
      <c r="B15" s="2318"/>
      <c r="C15" s="2318"/>
      <c r="D15" s="2318"/>
      <c r="E15" s="2318"/>
      <c r="F15" s="2318"/>
      <c r="G15" s="2318"/>
      <c r="H15" s="2318"/>
      <c r="I15" s="2318"/>
      <c r="J15" s="2318"/>
    </row>
    <row r="16" spans="1:10" ht="72.599999999999994" customHeight="1">
      <c r="A16" s="2316" t="s">
        <v>2054</v>
      </c>
      <c r="B16" s="2317" t="s">
        <v>2058</v>
      </c>
      <c r="C16" s="2317"/>
      <c r="D16" s="2317"/>
      <c r="E16" s="2317"/>
      <c r="F16" s="2317"/>
      <c r="G16" s="2317"/>
      <c r="H16" s="2317"/>
      <c r="I16" s="2317"/>
      <c r="J16" s="2317"/>
    </row>
    <row r="17" spans="1:11">
      <c r="B17" s="2318"/>
      <c r="C17" s="2318"/>
      <c r="D17" s="2318"/>
      <c r="E17" s="2318"/>
      <c r="F17" s="2318"/>
      <c r="G17" s="2318"/>
      <c r="H17" s="2318"/>
      <c r="I17" s="2318"/>
      <c r="J17" s="2318"/>
      <c r="K17" s="2319"/>
    </row>
    <row r="18" spans="1:11" ht="44.4" customHeight="1">
      <c r="A18" s="2316" t="s">
        <v>2054</v>
      </c>
      <c r="B18" s="2317" t="s">
        <v>2059</v>
      </c>
      <c r="C18" s="2317"/>
      <c r="D18" s="2317"/>
      <c r="E18" s="2317"/>
      <c r="F18" s="2317"/>
      <c r="G18" s="2317"/>
      <c r="H18" s="2317"/>
      <c r="I18" s="2317"/>
      <c r="J18" s="2317"/>
    </row>
    <row r="21" spans="1:11">
      <c r="B21" s="2320" t="s">
        <v>2060</v>
      </c>
      <c r="C21" s="2320"/>
      <c r="D21" s="2321" t="s">
        <v>2061</v>
      </c>
      <c r="E21" s="2321"/>
      <c r="F21" s="2321"/>
      <c r="G21" s="2321"/>
      <c r="H21" s="2322" t="s">
        <v>2062</v>
      </c>
      <c r="I21" s="2322"/>
      <c r="J21" s="2322"/>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65176-C6D9-4662-B63B-50E92E971673}">
  <dimension ref="A1:S1048568"/>
  <sheetViews>
    <sheetView workbookViewId="0">
      <selection activeCell="N44" sqref="N44"/>
    </sheetView>
  </sheetViews>
  <sheetFormatPr defaultColWidth="8.88671875" defaultRowHeight="15.6"/>
  <cols>
    <col min="1" max="1" width="3.5546875" style="2" customWidth="1"/>
    <col min="2" max="2" width="11.109375" style="2" customWidth="1"/>
    <col min="3" max="3" width="11.33203125" style="2" customWidth="1"/>
    <col min="4" max="4" width="18.5546875" style="2" customWidth="1"/>
    <col min="5" max="5" width="18.6640625" style="2" customWidth="1"/>
    <col min="6" max="6" width="19.33203125" style="2" customWidth="1"/>
    <col min="7" max="8" width="12.88671875" style="2" customWidth="1"/>
    <col min="9" max="9" width="8.88671875" style="2"/>
    <col min="10" max="10" width="2.5546875" style="2" customWidth="1"/>
    <col min="11" max="11" width="18.5546875" style="61" customWidth="1"/>
    <col min="12" max="12" width="18.109375" style="61" customWidth="1"/>
    <col min="13" max="14" width="17.88671875" style="61" customWidth="1"/>
    <col min="15" max="15" width="14.33203125" style="61" bestFit="1" customWidth="1"/>
    <col min="16" max="16384" width="8.88671875" style="61"/>
  </cols>
  <sheetData>
    <row r="1" spans="1:14" s="3" customFormat="1">
      <c r="A1" s="1" t="s">
        <v>152</v>
      </c>
      <c r="B1" s="1"/>
      <c r="C1" s="2"/>
      <c r="D1" s="2"/>
      <c r="E1" s="2"/>
      <c r="F1" s="2"/>
      <c r="G1" s="2"/>
      <c r="H1" s="2"/>
      <c r="I1" s="2"/>
      <c r="J1" s="2"/>
      <c r="K1" s="3" t="s">
        <v>152</v>
      </c>
    </row>
    <row r="2" spans="1:14" s="3" customFormat="1">
      <c r="A2" s="1" t="s">
        <v>151</v>
      </c>
      <c r="B2" s="1"/>
      <c r="C2" s="2"/>
      <c r="D2" s="2"/>
      <c r="E2" s="2"/>
      <c r="F2" s="2"/>
      <c r="G2" s="2"/>
      <c r="H2" s="2"/>
      <c r="I2" s="2"/>
      <c r="J2" s="2"/>
      <c r="K2" s="3" t="s">
        <v>151</v>
      </c>
    </row>
    <row r="3" spans="1:14" s="3" customFormat="1" ht="18.45" customHeight="1">
      <c r="A3" s="4"/>
      <c r="B3" s="2"/>
      <c r="C3" s="2"/>
      <c r="D3" s="2"/>
      <c r="E3" s="2"/>
      <c r="F3" s="2"/>
      <c r="G3" s="2"/>
      <c r="H3" s="2"/>
      <c r="I3" s="2"/>
      <c r="J3" s="2"/>
    </row>
    <row r="4" spans="1:14" s="3" customFormat="1" ht="18.45" customHeight="1">
      <c r="A4" s="1"/>
      <c r="B4" s="2"/>
      <c r="C4" s="2"/>
      <c r="D4" s="2"/>
      <c r="E4" s="2"/>
      <c r="F4" s="2"/>
      <c r="G4" s="2"/>
      <c r="H4" s="2"/>
      <c r="I4" s="2"/>
      <c r="J4" s="2"/>
      <c r="K4" s="3" t="s">
        <v>2</v>
      </c>
    </row>
    <row r="5" spans="1:14">
      <c r="A5" s="1"/>
      <c r="B5" s="5" t="s">
        <v>3</v>
      </c>
      <c r="C5" s="2" t="s">
        <v>150</v>
      </c>
      <c r="K5" s="61" t="s">
        <v>149</v>
      </c>
    </row>
    <row r="6" spans="1:14">
      <c r="A6" s="1"/>
      <c r="B6" s="5"/>
      <c r="C6" s="2" t="s">
        <v>148</v>
      </c>
    </row>
    <row r="7" spans="1:14">
      <c r="K7" s="61" t="s">
        <v>147</v>
      </c>
    </row>
    <row r="8" spans="1:14">
      <c r="C8" s="32" t="s">
        <v>146</v>
      </c>
      <c r="K8" s="61" t="s">
        <v>145</v>
      </c>
    </row>
    <row r="9" spans="1:14">
      <c r="C9" s="1759"/>
      <c r="D9" s="1760"/>
      <c r="E9" s="89" t="s">
        <v>96</v>
      </c>
      <c r="F9" s="89" t="s">
        <v>66</v>
      </c>
    </row>
    <row r="10" spans="1:14" ht="15.6" customHeight="1">
      <c r="C10" s="1745" t="s">
        <v>144</v>
      </c>
      <c r="D10" s="1746"/>
      <c r="E10" s="88">
        <v>25628</v>
      </c>
      <c r="F10" s="88">
        <v>27454</v>
      </c>
      <c r="G10" s="84"/>
      <c r="K10" s="1761" t="s">
        <v>103</v>
      </c>
      <c r="L10" s="1762" t="s">
        <v>123</v>
      </c>
      <c r="M10" s="1762" t="s">
        <v>122</v>
      </c>
      <c r="N10" s="1762" t="s">
        <v>121</v>
      </c>
    </row>
    <row r="11" spans="1:14">
      <c r="C11" s="1745" t="s">
        <v>143</v>
      </c>
      <c r="D11" s="1746"/>
      <c r="E11" s="87">
        <v>44621</v>
      </c>
      <c r="F11" s="87">
        <v>44621</v>
      </c>
      <c r="G11" s="86"/>
      <c r="K11" s="1761"/>
      <c r="L11" s="1762"/>
      <c r="M11" s="1762"/>
      <c r="N11" s="1762"/>
    </row>
    <row r="12" spans="1:14">
      <c r="C12" s="1745" t="s">
        <v>142</v>
      </c>
      <c r="D12" s="1746"/>
      <c r="E12" s="76">
        <v>12</v>
      </c>
      <c r="F12" s="76">
        <v>5</v>
      </c>
      <c r="G12" s="86"/>
      <c r="K12" s="1761"/>
      <c r="L12" s="1762"/>
      <c r="M12" s="1762"/>
      <c r="N12" s="1762"/>
    </row>
    <row r="13" spans="1:14" ht="15.75" customHeight="1">
      <c r="C13" s="1757" t="s">
        <v>141</v>
      </c>
      <c r="D13" s="1758"/>
      <c r="E13" s="75">
        <v>13</v>
      </c>
      <c r="F13" s="75">
        <v>5</v>
      </c>
      <c r="G13" s="84"/>
      <c r="K13" s="81">
        <v>44614</v>
      </c>
      <c r="L13" s="80">
        <f>(1+D30/2)^2-1</f>
        <v>1.8181902500000069E-2</v>
      </c>
      <c r="M13" s="80">
        <f>(1+E30/2)^2-1</f>
        <v>2.2424322500000038E-2</v>
      </c>
      <c r="N13" s="80">
        <f>(1+F30/2)^2-1</f>
        <v>5.6078399999999196E-3</v>
      </c>
    </row>
    <row r="14" spans="1:14">
      <c r="C14" s="1757" t="s">
        <v>140</v>
      </c>
      <c r="D14" s="1758"/>
      <c r="E14" s="85">
        <v>25000</v>
      </c>
      <c r="F14" s="85">
        <v>15000</v>
      </c>
      <c r="G14" s="84"/>
    </row>
    <row r="15" spans="1:14">
      <c r="K15" s="1761" t="s">
        <v>103</v>
      </c>
      <c r="L15" s="1762" t="s">
        <v>115</v>
      </c>
      <c r="M15" s="1762" t="s">
        <v>114</v>
      </c>
      <c r="N15" s="1762" t="s">
        <v>113</v>
      </c>
    </row>
    <row r="16" spans="1:14">
      <c r="C16" s="32" t="s">
        <v>139</v>
      </c>
      <c r="K16" s="1761"/>
      <c r="L16" s="1762"/>
      <c r="M16" s="1762"/>
      <c r="N16" s="1762"/>
    </row>
    <row r="17" spans="3:14">
      <c r="C17" s="1745" t="s">
        <v>138</v>
      </c>
      <c r="D17" s="1746"/>
      <c r="E17" s="1745" t="s">
        <v>137</v>
      </c>
      <c r="F17" s="1746"/>
      <c r="K17" s="1761"/>
      <c r="L17" s="1762"/>
      <c r="M17" s="1762"/>
      <c r="N17" s="1762"/>
    </row>
    <row r="18" spans="3:14">
      <c r="C18" s="1745" t="s">
        <v>136</v>
      </c>
      <c r="D18" s="1746"/>
      <c r="E18" s="1745" t="s">
        <v>135</v>
      </c>
      <c r="F18" s="1746"/>
      <c r="K18" s="81">
        <v>44614</v>
      </c>
      <c r="L18" s="80">
        <f>(1+D37/2)^2-1</f>
        <v>2.5510655624999989E-2</v>
      </c>
      <c r="M18" s="80">
        <f>(1+E37/2)^2-1</f>
        <v>3.4400873025000056E-2</v>
      </c>
      <c r="N18" s="80">
        <f>(1+F37/2)^2-1</f>
        <v>1.928206402499999E-2</v>
      </c>
    </row>
    <row r="19" spans="3:14">
      <c r="C19" s="1735" t="s">
        <v>134</v>
      </c>
      <c r="D19" s="1736"/>
      <c r="E19" s="1735" t="s">
        <v>133</v>
      </c>
      <c r="F19" s="1736"/>
    </row>
    <row r="20" spans="3:14">
      <c r="C20" s="1737"/>
      <c r="D20" s="1738"/>
      <c r="E20" s="1737"/>
      <c r="F20" s="1738"/>
      <c r="K20" s="1761" t="s">
        <v>103</v>
      </c>
      <c r="L20" s="1762" t="s">
        <v>102</v>
      </c>
      <c r="M20" s="1762" t="s">
        <v>101</v>
      </c>
      <c r="N20" s="1762" t="s">
        <v>100</v>
      </c>
    </row>
    <row r="21" spans="3:14">
      <c r="C21" s="1745" t="s">
        <v>132</v>
      </c>
      <c r="D21" s="1746"/>
      <c r="E21" s="1745" t="s">
        <v>131</v>
      </c>
      <c r="F21" s="1746"/>
      <c r="K21" s="1761"/>
      <c r="L21" s="1762"/>
      <c r="M21" s="1762"/>
      <c r="N21" s="1762"/>
    </row>
    <row r="22" spans="3:14">
      <c r="C22" s="1745" t="s">
        <v>130</v>
      </c>
      <c r="D22" s="1746"/>
      <c r="E22" s="1745" t="s">
        <v>129</v>
      </c>
      <c r="F22" s="1746"/>
      <c r="K22" s="1761"/>
      <c r="L22" s="1762"/>
      <c r="M22" s="1762"/>
      <c r="N22" s="1762"/>
    </row>
    <row r="23" spans="3:14">
      <c r="C23" s="1745" t="s">
        <v>128</v>
      </c>
      <c r="D23" s="1746"/>
      <c r="E23" s="1745" t="s">
        <v>127</v>
      </c>
      <c r="F23" s="1746"/>
      <c r="K23" s="81">
        <v>44614</v>
      </c>
      <c r="L23" s="80">
        <f>(1+D44/2)^2-1</f>
        <v>3.2245840024999861E-2</v>
      </c>
      <c r="M23" s="80">
        <f>(1+E44/2)^2-1</f>
        <v>4.0716224024999859E-2</v>
      </c>
      <c r="N23" s="80">
        <f>(1+F44/2)^2-1</f>
        <v>2.2484992399999904E-2</v>
      </c>
    </row>
    <row r="25" spans="3:14">
      <c r="C25" s="2" t="s">
        <v>126</v>
      </c>
      <c r="K25" s="79" t="s">
        <v>125</v>
      </c>
    </row>
    <row r="26" spans="3:14">
      <c r="K26" s="63" t="s">
        <v>124</v>
      </c>
      <c r="L26" s="62">
        <f>L18-N18</f>
        <v>6.2285915999999997E-3</v>
      </c>
    </row>
    <row r="27" spans="3:14">
      <c r="C27" s="1755" t="s">
        <v>103</v>
      </c>
      <c r="D27" s="1754" t="s">
        <v>123</v>
      </c>
      <c r="E27" s="1754" t="s">
        <v>122</v>
      </c>
      <c r="F27" s="1754" t="s">
        <v>121</v>
      </c>
      <c r="K27" s="63" t="s">
        <v>120</v>
      </c>
      <c r="L27" s="62">
        <f>M18-N18</f>
        <v>1.5118809000000066E-2</v>
      </c>
    </row>
    <row r="28" spans="3:14">
      <c r="C28" s="1755"/>
      <c r="D28" s="1754"/>
      <c r="E28" s="1754"/>
      <c r="F28" s="1754"/>
      <c r="K28" s="63" t="s">
        <v>119</v>
      </c>
      <c r="L28" s="62">
        <f>L23-N23</f>
        <v>9.7608476249999576E-3</v>
      </c>
    </row>
    <row r="29" spans="3:14">
      <c r="C29" s="1755"/>
      <c r="D29" s="1754"/>
      <c r="E29" s="1754"/>
      <c r="F29" s="1754"/>
      <c r="K29" s="63" t="s">
        <v>118</v>
      </c>
      <c r="L29" s="62">
        <f>M23-N23</f>
        <v>1.8231231624999955E-2</v>
      </c>
    </row>
    <row r="30" spans="3:14">
      <c r="C30" s="74">
        <v>44614</v>
      </c>
      <c r="D30" s="73">
        <v>1.8100000000000002E-2</v>
      </c>
      <c r="E30" s="73">
        <v>2.23E-2</v>
      </c>
      <c r="F30" s="73">
        <v>5.5999999999999999E-3</v>
      </c>
      <c r="K30" s="63"/>
    </row>
    <row r="31" spans="3:14">
      <c r="C31" s="74">
        <v>44642</v>
      </c>
      <c r="D31" s="73">
        <v>2.41E-2</v>
      </c>
      <c r="E31" s="73">
        <v>2.41E-2</v>
      </c>
      <c r="F31" s="73">
        <v>5.7999999999999996E-3</v>
      </c>
      <c r="K31" s="63" t="s">
        <v>117</v>
      </c>
      <c r="L31" s="78">
        <f>ROUND(L26*2/3+L27/3,4)</f>
        <v>9.1999999999999998E-3</v>
      </c>
    </row>
    <row r="32" spans="3:14">
      <c r="C32" s="74">
        <v>44673</v>
      </c>
      <c r="D32" s="73">
        <v>2.64E-2</v>
      </c>
      <c r="E32" s="73">
        <v>2.7900000000000001E-2</v>
      </c>
      <c r="F32" s="73">
        <v>9.1000000000000004E-3</v>
      </c>
      <c r="K32" s="63" t="s">
        <v>116</v>
      </c>
      <c r="L32" s="78">
        <f>ROUND(L28*2/3+L29/3,4)</f>
        <v>1.26E-2</v>
      </c>
    </row>
    <row r="33" spans="3:19">
      <c r="C33" s="19"/>
      <c r="D33" s="19"/>
      <c r="E33" s="19"/>
      <c r="F33" s="19"/>
      <c r="G33" s="19"/>
      <c r="H33" s="19"/>
      <c r="K33" s="63"/>
    </row>
    <row r="34" spans="3:19">
      <c r="C34" s="1755" t="s">
        <v>103</v>
      </c>
      <c r="D34" s="1754" t="s">
        <v>115</v>
      </c>
      <c r="E34" s="1754" t="s">
        <v>114</v>
      </c>
      <c r="F34" s="1754" t="s">
        <v>113</v>
      </c>
      <c r="G34" s="19"/>
      <c r="H34" s="19"/>
      <c r="K34" s="63" t="s">
        <v>112</v>
      </c>
      <c r="L34" s="78">
        <f>(1+N13)*((1+L13)/(1+M13))-1</f>
        <v>1.4351978604416615E-3</v>
      </c>
    </row>
    <row r="35" spans="3:19">
      <c r="C35" s="1755"/>
      <c r="D35" s="1754"/>
      <c r="E35" s="1754"/>
      <c r="F35" s="1754"/>
      <c r="G35" s="19"/>
      <c r="H35" s="19"/>
    </row>
    <row r="36" spans="3:19">
      <c r="C36" s="1755"/>
      <c r="D36" s="1754"/>
      <c r="E36" s="1754"/>
      <c r="F36" s="1754"/>
      <c r="G36" s="19"/>
      <c r="H36" s="19"/>
    </row>
    <row r="37" spans="3:19">
      <c r="C37" s="74">
        <v>44614</v>
      </c>
      <c r="D37" s="73">
        <v>2.5350000000000001E-2</v>
      </c>
      <c r="E37" s="73">
        <v>3.4110000000000001E-2</v>
      </c>
      <c r="F37" s="73">
        <v>1.9189999999999999E-2</v>
      </c>
      <c r="G37" s="19"/>
      <c r="H37" s="19"/>
      <c r="K37" s="63"/>
      <c r="L37" s="1763" t="s">
        <v>111</v>
      </c>
      <c r="M37" s="1763"/>
      <c r="N37" s="1763"/>
      <c r="O37" s="63" t="s">
        <v>110</v>
      </c>
    </row>
    <row r="38" spans="3:19">
      <c r="C38" s="74">
        <v>44642</v>
      </c>
      <c r="D38" s="73">
        <v>3.024E-2</v>
      </c>
      <c r="E38" s="73">
        <v>4.0490000000000005E-2</v>
      </c>
      <c r="F38" s="73">
        <v>2.4209999999999999E-2</v>
      </c>
      <c r="G38" s="19"/>
      <c r="H38" s="19"/>
      <c r="K38" s="63"/>
      <c r="L38" s="63" t="s">
        <v>109</v>
      </c>
      <c r="M38" s="63" t="s">
        <v>108</v>
      </c>
      <c r="N38" s="63" t="s">
        <v>106</v>
      </c>
      <c r="O38" s="61" t="s">
        <v>107</v>
      </c>
      <c r="P38" s="63" t="s">
        <v>106</v>
      </c>
    </row>
    <row r="39" spans="3:19">
      <c r="C39" s="74">
        <v>44673</v>
      </c>
      <c r="D39" s="73">
        <v>3.3479999999999996E-2</v>
      </c>
      <c r="E39" s="73">
        <v>4.4760000000000001E-2</v>
      </c>
      <c r="F39" s="73">
        <v>2.7549999999999998E-2</v>
      </c>
      <c r="G39" s="19"/>
      <c r="H39" s="19"/>
      <c r="K39" s="63" t="s">
        <v>105</v>
      </c>
      <c r="L39" s="77">
        <f>L13+L31</f>
        <v>2.7381902500000069E-2</v>
      </c>
      <c r="M39" s="77">
        <f>(1+L13)/(1+L34)-1</f>
        <v>1.6722704250197618E-2</v>
      </c>
      <c r="N39" s="78">
        <f>(1+L39)/(1+M39*0.5)-1</f>
        <v>1.8862831597835417E-2</v>
      </c>
      <c r="O39" s="77">
        <f>ROUND(L39,3)</f>
        <v>2.7E-2</v>
      </c>
      <c r="P39" s="77">
        <f>ROUND(N39,3)</f>
        <v>1.9E-2</v>
      </c>
    </row>
    <row r="40" spans="3:19">
      <c r="C40" s="19"/>
      <c r="D40" s="19"/>
      <c r="E40" s="19"/>
      <c r="F40" s="19"/>
      <c r="G40" s="19"/>
      <c r="H40" s="19"/>
      <c r="K40" s="63" t="s">
        <v>104</v>
      </c>
      <c r="L40" s="77">
        <f>M13+(M13-L13)*0.5+L32</f>
        <v>3.7145532500000022E-2</v>
      </c>
      <c r="M40" s="78">
        <f>(1+M13+(M13-L13)*0.5)/(1+N13+(N13-L34)*0.5)-1</f>
        <v>1.6722704250197395E-2</v>
      </c>
      <c r="N40" s="78">
        <f>(1+L40)/(1+M40*0.5)-1</f>
        <v>2.8545501386223693E-2</v>
      </c>
      <c r="O40" s="77">
        <f>ROUND(L40,3)</f>
        <v>3.6999999999999998E-2</v>
      </c>
      <c r="P40" s="77">
        <f>ROUND(N40,3)</f>
        <v>2.9000000000000001E-2</v>
      </c>
    </row>
    <row r="41" spans="3:19">
      <c r="C41" s="1755" t="s">
        <v>103</v>
      </c>
      <c r="D41" s="1754" t="s">
        <v>102</v>
      </c>
      <c r="E41" s="1754" t="s">
        <v>101</v>
      </c>
      <c r="F41" s="1754" t="s">
        <v>100</v>
      </c>
      <c r="G41" s="19"/>
      <c r="H41" s="19"/>
    </row>
    <row r="42" spans="3:19">
      <c r="C42" s="1755"/>
      <c r="D42" s="1754"/>
      <c r="E42" s="1754"/>
      <c r="F42" s="1754"/>
      <c r="G42" s="19"/>
      <c r="H42" s="19"/>
    </row>
    <row r="43" spans="3:19">
      <c r="C43" s="1755"/>
      <c r="D43" s="1754"/>
      <c r="E43" s="1754"/>
      <c r="F43" s="1754"/>
      <c r="G43" s="19"/>
      <c r="H43" s="19"/>
    </row>
    <row r="44" spans="3:19">
      <c r="C44" s="74">
        <v>44614</v>
      </c>
      <c r="D44" s="73">
        <v>3.1989999999999998E-2</v>
      </c>
      <c r="E44" s="73">
        <v>4.0309999999999999E-2</v>
      </c>
      <c r="F44" s="73">
        <v>2.2360000000000001E-2</v>
      </c>
      <c r="G44" s="19"/>
      <c r="H44" s="19"/>
    </row>
    <row r="45" spans="3:19">
      <c r="C45" s="74">
        <v>44642</v>
      </c>
      <c r="D45" s="73">
        <v>3.3530000000000004E-2</v>
      </c>
      <c r="E45" s="73">
        <v>4.2889999999999998E-2</v>
      </c>
      <c r="F45" s="73">
        <v>2.445E-2</v>
      </c>
      <c r="G45" s="19"/>
      <c r="H45" s="19"/>
      <c r="K45" s="61" t="s">
        <v>99</v>
      </c>
    </row>
    <row r="46" spans="3:19">
      <c r="C46" s="74">
        <v>44673</v>
      </c>
      <c r="D46" s="73">
        <v>3.7819999999999999E-2</v>
      </c>
      <c r="E46" s="73">
        <v>4.8320000000000002E-2</v>
      </c>
      <c r="F46" s="73">
        <v>2.8199999999999999E-2</v>
      </c>
      <c r="G46" s="19"/>
      <c r="H46" s="19"/>
    </row>
    <row r="47" spans="3:19">
      <c r="K47" s="63"/>
      <c r="L47" s="64"/>
      <c r="M47" s="1763" t="s">
        <v>98</v>
      </c>
      <c r="N47" s="1763"/>
      <c r="O47" s="1763"/>
      <c r="P47" s="1763" t="s">
        <v>67</v>
      </c>
      <c r="Q47" s="1763"/>
      <c r="R47" s="1763"/>
      <c r="S47" s="63"/>
    </row>
    <row r="48" spans="3:19">
      <c r="C48" s="2" t="s">
        <v>97</v>
      </c>
      <c r="K48" s="66" t="s">
        <v>96</v>
      </c>
      <c r="L48" s="63" t="s">
        <v>65</v>
      </c>
      <c r="M48" s="63" t="s">
        <v>64</v>
      </c>
      <c r="N48" s="63" t="s">
        <v>63</v>
      </c>
      <c r="O48" s="63" t="s">
        <v>95</v>
      </c>
      <c r="P48" s="63" t="s">
        <v>64</v>
      </c>
      <c r="Q48" s="63" t="s">
        <v>63</v>
      </c>
      <c r="R48" s="63" t="s">
        <v>94</v>
      </c>
      <c r="S48" s="63"/>
    </row>
    <row r="49" spans="2:19">
      <c r="K49" s="63" t="s">
        <v>61</v>
      </c>
      <c r="L49" s="65">
        <v>20.9</v>
      </c>
      <c r="M49" s="63">
        <v>71</v>
      </c>
      <c r="N49" s="63">
        <f t="shared" ref="N49:N55" si="0">Q49</f>
        <v>0.79999999999999982</v>
      </c>
      <c r="O49" s="65">
        <f t="shared" ref="O49:O59" si="1">ROUND(N49*L49,1)</f>
        <v>16.7</v>
      </c>
      <c r="P49" s="63">
        <v>68</v>
      </c>
      <c r="Q49" s="63">
        <f t="shared" ref="Q49:Q58" si="2">Q50-0.02</f>
        <v>0.79999999999999982</v>
      </c>
      <c r="R49" s="65">
        <f t="shared" ref="R49:R59" si="3">ROUND(Q49*L49,1)</f>
        <v>16.7</v>
      </c>
      <c r="S49" s="63"/>
    </row>
    <row r="50" spans="2:19" ht="18.75" customHeight="1">
      <c r="C50" s="70" t="s">
        <v>93</v>
      </c>
      <c r="D50" s="69">
        <v>18.399999999999999</v>
      </c>
      <c r="E50" s="72" t="s">
        <v>92</v>
      </c>
      <c r="F50" s="69">
        <v>20.9</v>
      </c>
      <c r="K50" s="63" t="s">
        <v>60</v>
      </c>
      <c r="L50" s="65">
        <v>20</v>
      </c>
      <c r="M50" s="63">
        <f t="shared" ref="M50:M59" si="4">M49+2</f>
        <v>73</v>
      </c>
      <c r="N50" s="63">
        <f t="shared" si="0"/>
        <v>0.81999999999999984</v>
      </c>
      <c r="O50" s="65">
        <f t="shared" si="1"/>
        <v>16.399999999999999</v>
      </c>
      <c r="P50" s="63">
        <f t="shared" ref="P50:P59" si="5">P49+1</f>
        <v>69</v>
      </c>
      <c r="Q50" s="63">
        <f t="shared" si="2"/>
        <v>0.81999999999999984</v>
      </c>
      <c r="R50" s="65">
        <f t="shared" si="3"/>
        <v>16.399999999999999</v>
      </c>
      <c r="S50" s="63"/>
    </row>
    <row r="51" spans="2:19" ht="18.75" customHeight="1">
      <c r="C51" s="70" t="s">
        <v>91</v>
      </c>
      <c r="D51" s="69">
        <v>17.600000000000001</v>
      </c>
      <c r="E51" s="70" t="s">
        <v>90</v>
      </c>
      <c r="F51" s="71">
        <v>20</v>
      </c>
      <c r="K51" s="63" t="s">
        <v>57</v>
      </c>
      <c r="L51" s="65">
        <v>19.2</v>
      </c>
      <c r="M51" s="63">
        <f t="shared" si="4"/>
        <v>75</v>
      </c>
      <c r="N51" s="63">
        <f t="shared" si="0"/>
        <v>0.83999999999999986</v>
      </c>
      <c r="O51" s="65">
        <f t="shared" si="1"/>
        <v>16.100000000000001</v>
      </c>
      <c r="P51" s="63">
        <f t="shared" si="5"/>
        <v>70</v>
      </c>
      <c r="Q51" s="63">
        <f t="shared" si="2"/>
        <v>0.83999999999999986</v>
      </c>
      <c r="R51" s="65">
        <f t="shared" si="3"/>
        <v>16.100000000000001</v>
      </c>
      <c r="S51" s="63"/>
    </row>
    <row r="52" spans="2:19" ht="18.75" customHeight="1">
      <c r="C52" s="70" t="s">
        <v>89</v>
      </c>
      <c r="D52" s="69">
        <v>16.8</v>
      </c>
      <c r="E52" s="70" t="s">
        <v>88</v>
      </c>
      <c r="F52" s="69">
        <v>19.2</v>
      </c>
      <c r="K52" s="63" t="s">
        <v>55</v>
      </c>
      <c r="L52" s="65">
        <v>18.3</v>
      </c>
      <c r="M52" s="63">
        <f t="shared" si="4"/>
        <v>77</v>
      </c>
      <c r="N52" s="63">
        <f t="shared" si="0"/>
        <v>0.85999999999999988</v>
      </c>
      <c r="O52" s="65">
        <f t="shared" si="1"/>
        <v>15.7</v>
      </c>
      <c r="P52" s="63">
        <f t="shared" si="5"/>
        <v>71</v>
      </c>
      <c r="Q52" s="63">
        <f t="shared" si="2"/>
        <v>0.85999999999999988</v>
      </c>
      <c r="R52" s="65">
        <f t="shared" si="3"/>
        <v>15.7</v>
      </c>
      <c r="S52" s="63"/>
    </row>
    <row r="53" spans="2:19" ht="18.75" customHeight="1">
      <c r="C53" s="70" t="s">
        <v>87</v>
      </c>
      <c r="D53" s="71">
        <v>16</v>
      </c>
      <c r="E53" s="70" t="s">
        <v>86</v>
      </c>
      <c r="F53" s="69">
        <v>18.3</v>
      </c>
      <c r="K53" s="63" t="s">
        <v>53</v>
      </c>
      <c r="L53" s="65">
        <v>17.5</v>
      </c>
      <c r="M53" s="63">
        <f t="shared" si="4"/>
        <v>79</v>
      </c>
      <c r="N53" s="63">
        <f t="shared" si="0"/>
        <v>0.87999999999999989</v>
      </c>
      <c r="O53" s="65">
        <f t="shared" si="1"/>
        <v>15.4</v>
      </c>
      <c r="P53" s="63">
        <f t="shared" si="5"/>
        <v>72</v>
      </c>
      <c r="Q53" s="63">
        <f t="shared" si="2"/>
        <v>0.87999999999999989</v>
      </c>
      <c r="R53" s="65">
        <f t="shared" si="3"/>
        <v>15.4</v>
      </c>
      <c r="S53" s="63"/>
    </row>
    <row r="54" spans="2:19" ht="18.75" customHeight="1">
      <c r="C54" s="70" t="s">
        <v>85</v>
      </c>
      <c r="D54" s="69">
        <v>15.3</v>
      </c>
      <c r="E54" s="70" t="s">
        <v>84</v>
      </c>
      <c r="F54" s="69">
        <v>17.5</v>
      </c>
      <c r="K54" s="63" t="s">
        <v>51</v>
      </c>
      <c r="L54" s="65">
        <v>16.7</v>
      </c>
      <c r="M54" s="63">
        <f t="shared" si="4"/>
        <v>81</v>
      </c>
      <c r="N54" s="63">
        <f t="shared" si="0"/>
        <v>0.89999999999999991</v>
      </c>
      <c r="O54" s="65">
        <f t="shared" si="1"/>
        <v>15</v>
      </c>
      <c r="P54" s="63">
        <f t="shared" si="5"/>
        <v>73</v>
      </c>
      <c r="Q54" s="63">
        <f t="shared" si="2"/>
        <v>0.89999999999999991</v>
      </c>
      <c r="R54" s="65">
        <f t="shared" si="3"/>
        <v>15</v>
      </c>
      <c r="S54" s="63"/>
    </row>
    <row r="55" spans="2:19" ht="18.75" customHeight="1">
      <c r="C55" s="70" t="s">
        <v>83</v>
      </c>
      <c r="D55" s="69">
        <v>14.6</v>
      </c>
      <c r="E55" s="70" t="s">
        <v>82</v>
      </c>
      <c r="F55" s="69">
        <v>16.7</v>
      </c>
      <c r="K55" s="63" t="s">
        <v>50</v>
      </c>
      <c r="L55" s="65">
        <v>15.9</v>
      </c>
      <c r="M55" s="63">
        <f t="shared" si="4"/>
        <v>83</v>
      </c>
      <c r="N55" s="63">
        <f t="shared" si="0"/>
        <v>0.91999999999999993</v>
      </c>
      <c r="O55" s="65">
        <f t="shared" si="1"/>
        <v>14.6</v>
      </c>
      <c r="P55" s="63">
        <f t="shared" si="5"/>
        <v>74</v>
      </c>
      <c r="Q55" s="63">
        <f t="shared" si="2"/>
        <v>0.91999999999999993</v>
      </c>
      <c r="R55" s="65">
        <f t="shared" si="3"/>
        <v>14.6</v>
      </c>
      <c r="S55" s="63"/>
    </row>
    <row r="56" spans="2:19" ht="18.75" customHeight="1">
      <c r="C56" s="70" t="s">
        <v>81</v>
      </c>
      <c r="D56" s="69">
        <v>13.9</v>
      </c>
      <c r="E56" s="70" t="s">
        <v>80</v>
      </c>
      <c r="F56" s="69">
        <v>15.9</v>
      </c>
      <c r="K56" s="63" t="s">
        <v>49</v>
      </c>
      <c r="L56" s="65">
        <v>15.1</v>
      </c>
      <c r="M56" s="63">
        <f t="shared" si="4"/>
        <v>85</v>
      </c>
      <c r="N56" s="63">
        <v>1</v>
      </c>
      <c r="O56" s="65">
        <f t="shared" si="1"/>
        <v>15.1</v>
      </c>
      <c r="P56" s="63">
        <f t="shared" si="5"/>
        <v>75</v>
      </c>
      <c r="Q56" s="63">
        <f t="shared" si="2"/>
        <v>0.94</v>
      </c>
      <c r="R56" s="65">
        <f t="shared" si="3"/>
        <v>14.2</v>
      </c>
      <c r="S56" s="63"/>
    </row>
    <row r="57" spans="2:19" ht="18.75" customHeight="1">
      <c r="C57" s="70" t="s">
        <v>79</v>
      </c>
      <c r="D57" s="69">
        <v>13.2</v>
      </c>
      <c r="E57" s="70" t="s">
        <v>78</v>
      </c>
      <c r="F57" s="69">
        <v>15.1</v>
      </c>
      <c r="K57" s="63" t="s">
        <v>48</v>
      </c>
      <c r="L57" s="65">
        <v>14.4</v>
      </c>
      <c r="M57" s="63">
        <f t="shared" si="4"/>
        <v>87</v>
      </c>
      <c r="N57" s="63">
        <v>1</v>
      </c>
      <c r="O57" s="65">
        <f t="shared" si="1"/>
        <v>14.4</v>
      </c>
      <c r="P57" s="63">
        <f t="shared" si="5"/>
        <v>76</v>
      </c>
      <c r="Q57" s="63">
        <f t="shared" si="2"/>
        <v>0.96</v>
      </c>
      <c r="R57" s="65">
        <f t="shared" si="3"/>
        <v>13.8</v>
      </c>
      <c r="S57" s="63"/>
    </row>
    <row r="58" spans="2:19" ht="18.75" customHeight="1">
      <c r="C58" s="70" t="s">
        <v>77</v>
      </c>
      <c r="D58" s="69">
        <v>12.5</v>
      </c>
      <c r="E58" s="70" t="s">
        <v>76</v>
      </c>
      <c r="F58" s="69">
        <v>14.4</v>
      </c>
      <c r="K58" s="63" t="s">
        <v>47</v>
      </c>
      <c r="L58" s="65">
        <v>13.6</v>
      </c>
      <c r="M58" s="63">
        <f t="shared" si="4"/>
        <v>89</v>
      </c>
      <c r="N58" s="63">
        <v>1</v>
      </c>
      <c r="O58" s="65">
        <f t="shared" si="1"/>
        <v>13.6</v>
      </c>
      <c r="P58" s="63">
        <f t="shared" si="5"/>
        <v>77</v>
      </c>
      <c r="Q58" s="63">
        <f t="shared" si="2"/>
        <v>0.98</v>
      </c>
      <c r="R58" s="65">
        <f t="shared" si="3"/>
        <v>13.3</v>
      </c>
      <c r="S58" s="63"/>
    </row>
    <row r="59" spans="2:19" ht="18.75" customHeight="1">
      <c r="C59" s="70" t="s">
        <v>75</v>
      </c>
      <c r="D59" s="69">
        <v>11.9</v>
      </c>
      <c r="E59" s="70" t="s">
        <v>74</v>
      </c>
      <c r="F59" s="69">
        <v>13.6</v>
      </c>
      <c r="K59" s="63" t="s">
        <v>46</v>
      </c>
      <c r="L59" s="65">
        <v>12.9</v>
      </c>
      <c r="M59" s="63">
        <f t="shared" si="4"/>
        <v>91</v>
      </c>
      <c r="N59" s="63">
        <v>1</v>
      </c>
      <c r="O59" s="65">
        <f t="shared" si="1"/>
        <v>12.9</v>
      </c>
      <c r="P59" s="63">
        <f t="shared" si="5"/>
        <v>78</v>
      </c>
      <c r="Q59" s="63">
        <v>1</v>
      </c>
      <c r="R59" s="65">
        <f t="shared" si="3"/>
        <v>12.9</v>
      </c>
      <c r="S59" s="63"/>
    </row>
    <row r="60" spans="2:19" ht="18.75" customHeight="1">
      <c r="C60" s="70" t="s">
        <v>73</v>
      </c>
      <c r="D60" s="69">
        <v>11.3</v>
      </c>
      <c r="E60" s="70" t="s">
        <v>72</v>
      </c>
      <c r="F60" s="69">
        <v>12.9</v>
      </c>
      <c r="K60" s="63"/>
      <c r="L60" s="63"/>
      <c r="M60" s="63"/>
      <c r="N60" s="63"/>
      <c r="O60" s="63"/>
      <c r="P60" s="63"/>
      <c r="Q60" s="63"/>
      <c r="R60" s="63"/>
      <c r="S60" s="63"/>
    </row>
    <row r="61" spans="2:19">
      <c r="K61" s="63"/>
      <c r="L61" s="63"/>
      <c r="M61" s="63"/>
      <c r="N61" s="63"/>
      <c r="O61" s="63"/>
      <c r="P61" s="63"/>
      <c r="Q61" s="63"/>
      <c r="R61" s="63"/>
      <c r="S61" s="63"/>
    </row>
    <row r="62" spans="2:19">
      <c r="B62" s="68"/>
      <c r="C62" s="68"/>
      <c r="D62" s="68"/>
      <c r="E62" s="68"/>
      <c r="F62" s="68"/>
      <c r="G62" s="68"/>
      <c r="H62" s="68"/>
      <c r="K62" s="63"/>
      <c r="L62" s="63"/>
      <c r="M62" s="63"/>
      <c r="N62" s="63"/>
      <c r="O62" s="63"/>
      <c r="P62" s="63"/>
      <c r="Q62" s="63"/>
      <c r="R62" s="63"/>
      <c r="S62" s="63"/>
    </row>
    <row r="63" spans="2:19">
      <c r="K63" s="63"/>
      <c r="L63" s="63" t="s">
        <v>45</v>
      </c>
      <c r="M63" s="63" t="s">
        <v>44</v>
      </c>
      <c r="N63" s="63"/>
      <c r="O63" s="63"/>
      <c r="P63" s="63"/>
      <c r="Q63" s="63"/>
      <c r="R63" s="63"/>
      <c r="S63" s="63"/>
    </row>
    <row r="64" spans="2:19">
      <c r="K64" s="63" t="s">
        <v>43</v>
      </c>
      <c r="L64" s="63">
        <v>55</v>
      </c>
      <c r="M64" s="63">
        <v>55</v>
      </c>
      <c r="N64" s="63"/>
      <c r="O64" s="63"/>
      <c r="P64" s="63"/>
      <c r="Q64" s="63"/>
      <c r="R64" s="63"/>
      <c r="S64" s="63"/>
    </row>
    <row r="65" spans="2:19">
      <c r="B65" s="2" t="s">
        <v>26</v>
      </c>
      <c r="C65" s="5" t="s">
        <v>71</v>
      </c>
      <c r="D65" s="2" t="s">
        <v>70</v>
      </c>
      <c r="K65" s="63" t="s">
        <v>42</v>
      </c>
      <c r="L65" s="63">
        <v>62</v>
      </c>
      <c r="M65" s="63">
        <v>65</v>
      </c>
      <c r="N65" s="63"/>
      <c r="O65" s="63"/>
      <c r="P65" s="63"/>
      <c r="Q65" s="63"/>
      <c r="R65" s="63"/>
      <c r="S65" s="63"/>
    </row>
    <row r="66" spans="2:19">
      <c r="C66" s="5"/>
      <c r="D66" s="42" t="s">
        <v>69</v>
      </c>
      <c r="K66" s="63" t="s">
        <v>41</v>
      </c>
      <c r="L66" s="64">
        <f>(O49*0.5+O56*0.5)*E14</f>
        <v>397499.99999999994</v>
      </c>
      <c r="M66" s="64">
        <f>(R49*0.5+R59*0.5)*E14</f>
        <v>370000</v>
      </c>
      <c r="N66" s="63"/>
      <c r="O66" s="63"/>
      <c r="P66" s="63"/>
      <c r="Q66" s="63"/>
      <c r="R66" s="63"/>
      <c r="S66" s="63"/>
    </row>
    <row r="67" spans="2:19">
      <c r="K67" s="63"/>
      <c r="L67" s="67"/>
      <c r="M67" s="63"/>
      <c r="N67" s="63"/>
      <c r="O67" s="63"/>
      <c r="P67" s="63"/>
      <c r="Q67" s="63"/>
      <c r="R67" s="63"/>
      <c r="S67" s="63"/>
    </row>
    <row r="68" spans="2:19">
      <c r="D68" s="1629" t="s">
        <v>29</v>
      </c>
      <c r="E68" s="1630"/>
      <c r="F68" s="1630"/>
      <c r="G68" s="1630"/>
      <c r="H68" s="1630"/>
      <c r="I68" s="1630"/>
      <c r="J68" s="1631"/>
      <c r="K68" s="63"/>
      <c r="L68" s="67"/>
      <c r="M68" s="1763" t="s">
        <v>68</v>
      </c>
      <c r="N68" s="1763"/>
      <c r="O68" s="1763"/>
      <c r="P68" s="1763" t="s">
        <v>67</v>
      </c>
      <c r="Q68" s="1763"/>
      <c r="R68" s="1763"/>
      <c r="S68" s="63"/>
    </row>
    <row r="69" spans="2:19">
      <c r="D69" s="1632"/>
      <c r="E69" s="1633"/>
      <c r="F69" s="1633"/>
      <c r="G69" s="1633"/>
      <c r="H69" s="1633"/>
      <c r="I69" s="1633"/>
      <c r="J69" s="1634"/>
      <c r="K69" s="66" t="s">
        <v>66</v>
      </c>
      <c r="L69" s="63" t="s">
        <v>65</v>
      </c>
      <c r="M69" s="63" t="s">
        <v>64</v>
      </c>
      <c r="N69" s="63" t="s">
        <v>63</v>
      </c>
      <c r="O69" s="63" t="s">
        <v>62</v>
      </c>
      <c r="P69" s="63" t="s">
        <v>64</v>
      </c>
      <c r="Q69" s="63" t="s">
        <v>63</v>
      </c>
      <c r="R69" s="63" t="s">
        <v>62</v>
      </c>
      <c r="S69" s="63"/>
    </row>
    <row r="70" spans="2:19">
      <c r="K70" s="63" t="s">
        <v>61</v>
      </c>
      <c r="L70" s="65">
        <v>18.399999999999999</v>
      </c>
      <c r="M70" s="63">
        <f>55+5</f>
        <v>60</v>
      </c>
      <c r="N70" s="63">
        <f t="shared" ref="N70:N79" si="6">Q70</f>
        <v>0.79999999999999982</v>
      </c>
      <c r="O70" s="65">
        <f t="shared" ref="O70:O80" si="7">ROUND(N70*L70,1)</f>
        <v>14.7</v>
      </c>
      <c r="P70" s="63">
        <f>M70</f>
        <v>60</v>
      </c>
      <c r="Q70" s="63">
        <f t="shared" ref="Q70:Q79" si="8">Q71-0.02</f>
        <v>0.79999999999999982</v>
      </c>
      <c r="R70" s="65">
        <f t="shared" ref="R70:R80" si="9">ROUND(Q70*L70,1)</f>
        <v>14.7</v>
      </c>
      <c r="S70" s="63"/>
    </row>
    <row r="71" spans="2:19">
      <c r="K71" s="63" t="s">
        <v>60</v>
      </c>
      <c r="L71" s="65">
        <v>17.600000000000001</v>
      </c>
      <c r="M71" s="63">
        <f t="shared" ref="M71:M80" si="10">M70+1</f>
        <v>61</v>
      </c>
      <c r="N71" s="63">
        <f t="shared" si="6"/>
        <v>0.81999999999999984</v>
      </c>
      <c r="O71" s="65">
        <f t="shared" si="7"/>
        <v>14.4</v>
      </c>
      <c r="P71" s="63">
        <f t="shared" ref="P71:P80" si="11">P70+1</f>
        <v>61</v>
      </c>
      <c r="Q71" s="63">
        <f t="shared" si="8"/>
        <v>0.81999999999999984</v>
      </c>
      <c r="R71" s="65">
        <f t="shared" si="9"/>
        <v>14.4</v>
      </c>
      <c r="S71" s="63"/>
    </row>
    <row r="72" spans="2:19">
      <c r="B72" s="2" t="s">
        <v>34</v>
      </c>
      <c r="C72" s="5" t="s">
        <v>59</v>
      </c>
      <c r="D72" s="2" t="s">
        <v>58</v>
      </c>
      <c r="K72" s="63" t="s">
        <v>57</v>
      </c>
      <c r="L72" s="65">
        <v>16.8</v>
      </c>
      <c r="M72" s="63">
        <f t="shared" si="10"/>
        <v>62</v>
      </c>
      <c r="N72" s="63">
        <f t="shared" si="6"/>
        <v>0.83999999999999986</v>
      </c>
      <c r="O72" s="65">
        <f t="shared" si="7"/>
        <v>14.1</v>
      </c>
      <c r="P72" s="63">
        <f t="shared" si="11"/>
        <v>62</v>
      </c>
      <c r="Q72" s="63">
        <f t="shared" si="8"/>
        <v>0.83999999999999986</v>
      </c>
      <c r="R72" s="65">
        <f t="shared" si="9"/>
        <v>14.1</v>
      </c>
      <c r="S72" s="63"/>
    </row>
    <row r="73" spans="2:19">
      <c r="D73" s="2" t="s">
        <v>56</v>
      </c>
      <c r="K73" s="63" t="s">
        <v>55</v>
      </c>
      <c r="L73" s="65">
        <v>16</v>
      </c>
      <c r="M73" s="63">
        <f t="shared" si="10"/>
        <v>63</v>
      </c>
      <c r="N73" s="63">
        <f t="shared" si="6"/>
        <v>0.85999999999999988</v>
      </c>
      <c r="O73" s="65">
        <f t="shared" si="7"/>
        <v>13.8</v>
      </c>
      <c r="P73" s="63">
        <f t="shared" si="11"/>
        <v>63</v>
      </c>
      <c r="Q73" s="63">
        <f t="shared" si="8"/>
        <v>0.85999999999999988</v>
      </c>
      <c r="R73" s="65">
        <f t="shared" si="9"/>
        <v>13.8</v>
      </c>
      <c r="S73" s="63"/>
    </row>
    <row r="74" spans="2:19">
      <c r="D74" s="2" t="s">
        <v>54</v>
      </c>
      <c r="K74" s="63" t="s">
        <v>53</v>
      </c>
      <c r="L74" s="65">
        <v>15.3</v>
      </c>
      <c r="M74" s="63">
        <f t="shared" si="10"/>
        <v>64</v>
      </c>
      <c r="N74" s="63">
        <f t="shared" si="6"/>
        <v>0.87999999999999989</v>
      </c>
      <c r="O74" s="65">
        <f t="shared" si="7"/>
        <v>13.5</v>
      </c>
      <c r="P74" s="63">
        <f t="shared" si="11"/>
        <v>64</v>
      </c>
      <c r="Q74" s="63">
        <f t="shared" si="8"/>
        <v>0.87999999999999989</v>
      </c>
      <c r="R74" s="65">
        <f t="shared" si="9"/>
        <v>13.5</v>
      </c>
      <c r="S74" s="63"/>
    </row>
    <row r="75" spans="2:19">
      <c r="D75" s="2" t="s">
        <v>52</v>
      </c>
      <c r="K75" s="63" t="s">
        <v>51</v>
      </c>
      <c r="L75" s="65">
        <v>14.6</v>
      </c>
      <c r="M75" s="63">
        <f t="shared" si="10"/>
        <v>65</v>
      </c>
      <c r="N75" s="63">
        <f t="shared" si="6"/>
        <v>0.89999999999999991</v>
      </c>
      <c r="O75" s="65">
        <f t="shared" si="7"/>
        <v>13.1</v>
      </c>
      <c r="P75" s="63">
        <f t="shared" si="11"/>
        <v>65</v>
      </c>
      <c r="Q75" s="63">
        <f t="shared" si="8"/>
        <v>0.89999999999999991</v>
      </c>
      <c r="R75" s="65">
        <f t="shared" si="9"/>
        <v>13.1</v>
      </c>
      <c r="S75" s="63"/>
    </row>
    <row r="76" spans="2:19">
      <c r="K76" s="63" t="s">
        <v>50</v>
      </c>
      <c r="L76" s="65">
        <v>13.9</v>
      </c>
      <c r="M76" s="63">
        <f t="shared" si="10"/>
        <v>66</v>
      </c>
      <c r="N76" s="63">
        <f t="shared" si="6"/>
        <v>0.91999999999999993</v>
      </c>
      <c r="O76" s="65">
        <f t="shared" si="7"/>
        <v>12.8</v>
      </c>
      <c r="P76" s="63">
        <f t="shared" si="11"/>
        <v>66</v>
      </c>
      <c r="Q76" s="63">
        <f t="shared" si="8"/>
        <v>0.91999999999999993</v>
      </c>
      <c r="R76" s="65">
        <f t="shared" si="9"/>
        <v>12.8</v>
      </c>
      <c r="S76" s="63"/>
    </row>
    <row r="77" spans="2:19">
      <c r="D77" s="1629" t="s">
        <v>29</v>
      </c>
      <c r="E77" s="1630"/>
      <c r="F77" s="1630"/>
      <c r="G77" s="1630"/>
      <c r="H77" s="1630"/>
      <c r="I77" s="1630"/>
      <c r="J77" s="1631"/>
      <c r="K77" s="63" t="s">
        <v>49</v>
      </c>
      <c r="L77" s="65">
        <v>13.2</v>
      </c>
      <c r="M77" s="63">
        <f t="shared" si="10"/>
        <v>67</v>
      </c>
      <c r="N77" s="63">
        <f t="shared" si="6"/>
        <v>0.94</v>
      </c>
      <c r="O77" s="65">
        <f t="shared" si="7"/>
        <v>12.4</v>
      </c>
      <c r="P77" s="63">
        <f t="shared" si="11"/>
        <v>67</v>
      </c>
      <c r="Q77" s="63">
        <f t="shared" si="8"/>
        <v>0.94</v>
      </c>
      <c r="R77" s="65">
        <f t="shared" si="9"/>
        <v>12.4</v>
      </c>
      <c r="S77" s="63"/>
    </row>
    <row r="78" spans="2:19">
      <c r="D78" s="1632"/>
      <c r="E78" s="1633"/>
      <c r="F78" s="1633"/>
      <c r="G78" s="1633"/>
      <c r="H78" s="1633"/>
      <c r="I78" s="1633"/>
      <c r="J78" s="1634"/>
      <c r="K78" s="63" t="s">
        <v>48</v>
      </c>
      <c r="L78" s="65">
        <v>12.5</v>
      </c>
      <c r="M78" s="63">
        <f t="shared" si="10"/>
        <v>68</v>
      </c>
      <c r="N78" s="63">
        <f t="shared" si="6"/>
        <v>0.96</v>
      </c>
      <c r="O78" s="65">
        <f t="shared" si="7"/>
        <v>12</v>
      </c>
      <c r="P78" s="63">
        <f t="shared" si="11"/>
        <v>68</v>
      </c>
      <c r="Q78" s="63">
        <f t="shared" si="8"/>
        <v>0.96</v>
      </c>
      <c r="R78" s="65">
        <f t="shared" si="9"/>
        <v>12</v>
      </c>
      <c r="S78" s="63"/>
    </row>
    <row r="79" spans="2:19">
      <c r="K79" s="63" t="s">
        <v>47</v>
      </c>
      <c r="L79" s="65">
        <v>11.9</v>
      </c>
      <c r="M79" s="63">
        <f t="shared" si="10"/>
        <v>69</v>
      </c>
      <c r="N79" s="63">
        <f t="shared" si="6"/>
        <v>0.98</v>
      </c>
      <c r="O79" s="65">
        <f t="shared" si="7"/>
        <v>11.7</v>
      </c>
      <c r="P79" s="63">
        <f t="shared" si="11"/>
        <v>69</v>
      </c>
      <c r="Q79" s="63">
        <f t="shared" si="8"/>
        <v>0.98</v>
      </c>
      <c r="R79" s="65">
        <f t="shared" si="9"/>
        <v>11.7</v>
      </c>
      <c r="S79" s="63"/>
    </row>
    <row r="80" spans="2:19">
      <c r="K80" s="63" t="s">
        <v>46</v>
      </c>
      <c r="L80" s="65">
        <v>11.3</v>
      </c>
      <c r="M80" s="63">
        <f t="shared" si="10"/>
        <v>70</v>
      </c>
      <c r="N80" s="63">
        <v>1</v>
      </c>
      <c r="O80" s="65">
        <f t="shared" si="7"/>
        <v>11.3</v>
      </c>
      <c r="P80" s="63">
        <f t="shared" si="11"/>
        <v>70</v>
      </c>
      <c r="Q80" s="63">
        <v>1</v>
      </c>
      <c r="R80" s="65">
        <f t="shared" si="9"/>
        <v>11.3</v>
      </c>
      <c r="S80" s="63"/>
    </row>
    <row r="81" spans="11:19">
      <c r="K81" s="63"/>
      <c r="L81" s="63"/>
      <c r="M81" s="63"/>
      <c r="N81" s="63"/>
      <c r="O81" s="63"/>
      <c r="P81" s="63"/>
      <c r="Q81" s="63"/>
      <c r="R81" s="63"/>
      <c r="S81" s="63"/>
    </row>
    <row r="82" spans="11:19">
      <c r="K82" s="63"/>
      <c r="L82" s="63" t="s">
        <v>45</v>
      </c>
      <c r="M82" s="63" t="s">
        <v>44</v>
      </c>
      <c r="N82" s="63"/>
      <c r="O82" s="63"/>
      <c r="P82" s="63"/>
      <c r="Q82" s="63"/>
      <c r="R82" s="63"/>
      <c r="S82" s="63"/>
    </row>
    <row r="83" spans="11:19">
      <c r="K83" s="63" t="s">
        <v>43</v>
      </c>
      <c r="L83" s="63">
        <v>55</v>
      </c>
      <c r="M83" s="63">
        <v>55</v>
      </c>
      <c r="N83" s="63"/>
      <c r="O83" s="63"/>
      <c r="P83" s="63"/>
      <c r="Q83" s="63"/>
      <c r="R83" s="63"/>
      <c r="S83" s="63"/>
    </row>
    <row r="84" spans="11:19">
      <c r="K84" s="63" t="s">
        <v>42</v>
      </c>
      <c r="L84" s="63">
        <v>65</v>
      </c>
      <c r="M84" s="63">
        <v>65</v>
      </c>
      <c r="N84" s="63"/>
      <c r="O84" s="63"/>
      <c r="P84" s="63"/>
      <c r="Q84" s="63"/>
      <c r="R84" s="63"/>
      <c r="S84" s="63"/>
    </row>
    <row r="85" spans="11:19">
      <c r="K85" s="63" t="s">
        <v>41</v>
      </c>
      <c r="L85" s="64">
        <f>(0.5*O70+0.5*O80)*F14</f>
        <v>195000</v>
      </c>
      <c r="M85" s="64">
        <f>L85</f>
        <v>195000</v>
      </c>
      <c r="N85" s="63"/>
      <c r="O85" s="63"/>
      <c r="P85" s="63"/>
      <c r="Q85" s="63"/>
      <c r="R85" s="63"/>
      <c r="S85" s="63"/>
    </row>
    <row r="1048568" spans="15:15">
      <c r="O1048568" s="62"/>
    </row>
  </sheetData>
  <mergeCells count="49">
    <mergeCell ref="P47:R47"/>
    <mergeCell ref="D68:J69"/>
    <mergeCell ref="M68:O68"/>
    <mergeCell ref="P68:R68"/>
    <mergeCell ref="D77:J78"/>
    <mergeCell ref="C41:C43"/>
    <mergeCell ref="D41:D43"/>
    <mergeCell ref="E41:E43"/>
    <mergeCell ref="F41:F43"/>
    <mergeCell ref="M47:O47"/>
    <mergeCell ref="C34:C36"/>
    <mergeCell ref="D34:D36"/>
    <mergeCell ref="E34:E36"/>
    <mergeCell ref="F34:F36"/>
    <mergeCell ref="L37:N37"/>
    <mergeCell ref="C23:D23"/>
    <mergeCell ref="E23:F23"/>
    <mergeCell ref="C27:C29"/>
    <mergeCell ref="D27:D29"/>
    <mergeCell ref="E27:E29"/>
    <mergeCell ref="F27:F29"/>
    <mergeCell ref="C19:D20"/>
    <mergeCell ref="E19:F20"/>
    <mergeCell ref="K20:K22"/>
    <mergeCell ref="N15:N17"/>
    <mergeCell ref="C17:D17"/>
    <mergeCell ref="E17:F17"/>
    <mergeCell ref="M20:M22"/>
    <mergeCell ref="N20:N22"/>
    <mergeCell ref="C21:D21"/>
    <mergeCell ref="E21:F21"/>
    <mergeCell ref="C22:D22"/>
    <mergeCell ref="E22:F22"/>
    <mergeCell ref="L20:L22"/>
    <mergeCell ref="N10:N12"/>
    <mergeCell ref="C11:D11"/>
    <mergeCell ref="C12:D12"/>
    <mergeCell ref="C18:D18"/>
    <mergeCell ref="E18:F18"/>
    <mergeCell ref="C9:D9"/>
    <mergeCell ref="C10:D10"/>
    <mergeCell ref="K10:K12"/>
    <mergeCell ref="L10:L12"/>
    <mergeCell ref="M10:M12"/>
    <mergeCell ref="C13:D13"/>
    <mergeCell ref="C14:D14"/>
    <mergeCell ref="K15:K17"/>
    <mergeCell ref="L15:L17"/>
    <mergeCell ref="M15:M1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37BEA-0705-418D-923B-CFC143AE4E7F}">
  <dimension ref="A1:V179"/>
  <sheetViews>
    <sheetView zoomScaleNormal="100" workbookViewId="0">
      <selection activeCell="O14" sqref="O14"/>
    </sheetView>
  </sheetViews>
  <sheetFormatPr defaultColWidth="9.109375" defaultRowHeight="14.4"/>
  <cols>
    <col min="1" max="1" width="3.109375" style="8" customWidth="1"/>
    <col min="2" max="2" width="11.44140625" style="8" customWidth="1"/>
    <col min="3" max="3" width="11.5546875" style="8" customWidth="1"/>
    <col min="4" max="4" width="17" style="8" customWidth="1"/>
    <col min="5" max="8" width="17.44140625" style="8" customWidth="1"/>
    <col min="9" max="10" width="9.109375" style="8"/>
    <col min="13" max="13" width="11.109375" bestFit="1" customWidth="1"/>
    <col min="16" max="18" width="15.88671875" customWidth="1"/>
    <col min="19" max="19" width="19.6640625" customWidth="1"/>
    <col min="20" max="20" width="15.88671875" customWidth="1"/>
  </cols>
  <sheetData>
    <row r="1" spans="1:14" ht="15.6">
      <c r="A1" s="329" t="s">
        <v>570</v>
      </c>
      <c r="B1" s="329"/>
      <c r="C1" s="329"/>
      <c r="D1" s="329"/>
      <c r="E1" s="329"/>
      <c r="F1" s="329"/>
      <c r="G1" s="329"/>
      <c r="H1" s="329"/>
      <c r="I1" s="329"/>
      <c r="J1" s="329"/>
      <c r="K1" s="352" t="str">
        <f>A1</f>
        <v>RETFRC Fall 2023</v>
      </c>
      <c r="L1" s="350"/>
    </row>
    <row r="2" spans="1:14" ht="15.6">
      <c r="A2" s="329" t="s">
        <v>569</v>
      </c>
      <c r="B2" s="329"/>
      <c r="C2" s="329"/>
      <c r="D2" s="329"/>
      <c r="E2" s="329"/>
      <c r="F2" s="329"/>
      <c r="G2" s="329"/>
      <c r="H2" s="329"/>
      <c r="I2" s="329"/>
      <c r="J2" s="329"/>
      <c r="K2" s="352" t="str">
        <f>A2</f>
        <v>Question 6</v>
      </c>
      <c r="L2" s="350"/>
    </row>
    <row r="3" spans="1:14" ht="17.399999999999999">
      <c r="A3" s="351"/>
      <c r="B3" s="316"/>
      <c r="C3" s="316"/>
      <c r="D3" s="316"/>
      <c r="E3" s="316"/>
      <c r="F3" s="316"/>
      <c r="G3" s="316"/>
      <c r="H3" s="316"/>
      <c r="I3" s="316"/>
      <c r="J3" s="316"/>
      <c r="K3" s="350"/>
      <c r="L3" s="350"/>
    </row>
    <row r="4" spans="1:14" ht="15.6">
      <c r="A4" s="316" t="s">
        <v>568</v>
      </c>
      <c r="B4" s="316"/>
      <c r="C4" s="316" t="s">
        <v>567</v>
      </c>
      <c r="D4" s="316"/>
      <c r="E4" s="316"/>
      <c r="F4" s="316"/>
      <c r="G4" s="316"/>
      <c r="H4" s="316"/>
      <c r="I4" s="316"/>
      <c r="J4" s="316"/>
      <c r="K4" s="350" t="s">
        <v>2</v>
      </c>
      <c r="L4" s="350"/>
    </row>
    <row r="5" spans="1:14" ht="15.6">
      <c r="A5" s="316"/>
      <c r="B5" s="316"/>
      <c r="C5" s="316"/>
      <c r="D5" s="316"/>
      <c r="E5" s="316"/>
      <c r="F5" s="316"/>
      <c r="G5" s="316"/>
      <c r="H5" s="316"/>
      <c r="I5" s="316"/>
      <c r="J5" s="316"/>
      <c r="L5" s="349"/>
    </row>
    <row r="6" spans="1:14" ht="15.6">
      <c r="A6" s="316"/>
      <c r="B6" s="316"/>
      <c r="C6" s="316" t="s">
        <v>566</v>
      </c>
      <c r="D6" s="316"/>
      <c r="E6" s="316"/>
      <c r="F6" s="316"/>
      <c r="G6" s="316"/>
      <c r="H6" s="316"/>
      <c r="I6" s="316"/>
      <c r="J6" s="316"/>
      <c r="L6" s="349"/>
    </row>
    <row r="7" spans="1:14" ht="15.6">
      <c r="A7" s="316"/>
      <c r="B7" s="316"/>
      <c r="C7" s="316"/>
      <c r="D7" s="316"/>
      <c r="E7" s="316"/>
      <c r="F7" s="316"/>
      <c r="G7" s="316"/>
      <c r="H7" s="316"/>
      <c r="I7" s="316"/>
      <c r="J7" s="316"/>
    </row>
    <row r="8" spans="1:14" ht="15.6">
      <c r="A8" s="316"/>
      <c r="B8" s="316"/>
      <c r="C8" s="329" t="s">
        <v>565</v>
      </c>
      <c r="D8" s="316"/>
      <c r="E8" s="316"/>
      <c r="F8" s="316"/>
      <c r="G8" s="316"/>
      <c r="H8" s="316"/>
      <c r="I8" s="316"/>
      <c r="J8" s="316"/>
      <c r="L8" s="314"/>
    </row>
    <row r="9" spans="1:14" ht="15.75" customHeight="1">
      <c r="A9" s="316"/>
      <c r="B9" s="316"/>
      <c r="C9" s="348"/>
      <c r="D9" s="347"/>
      <c r="E9" s="346"/>
      <c r="F9" s="345" t="s">
        <v>564</v>
      </c>
      <c r="G9" s="344"/>
      <c r="H9" s="343"/>
      <c r="I9" s="316"/>
      <c r="J9" s="316"/>
    </row>
    <row r="10" spans="1:14" ht="15.6">
      <c r="A10" s="316"/>
      <c r="B10" s="316"/>
      <c r="C10" s="342" t="s">
        <v>563</v>
      </c>
      <c r="D10" s="341" t="s">
        <v>562</v>
      </c>
      <c r="E10" s="340" t="s">
        <v>561</v>
      </c>
      <c r="F10" s="339">
        <v>2020</v>
      </c>
      <c r="G10" s="339">
        <v>2021</v>
      </c>
      <c r="H10" s="338">
        <v>2022</v>
      </c>
      <c r="I10" s="316"/>
      <c r="J10" s="316"/>
      <c r="L10" s="323"/>
    </row>
    <row r="11" spans="1:14" ht="15.6">
      <c r="A11" s="316"/>
      <c r="B11" s="316"/>
      <c r="C11" s="337" t="s">
        <v>560</v>
      </c>
      <c r="D11" s="336">
        <v>49</v>
      </c>
      <c r="E11" s="334">
        <v>5</v>
      </c>
      <c r="F11" s="333">
        <v>70000</v>
      </c>
      <c r="G11" s="333">
        <v>73000</v>
      </c>
      <c r="H11" s="332">
        <v>75000</v>
      </c>
      <c r="I11" s="316"/>
      <c r="J11" s="316"/>
    </row>
    <row r="12" spans="1:14" ht="15.6">
      <c r="A12" s="316"/>
      <c r="B12" s="316"/>
      <c r="C12" s="335" t="s">
        <v>559</v>
      </c>
      <c r="D12" s="334">
        <v>60</v>
      </c>
      <c r="E12" s="334">
        <v>30</v>
      </c>
      <c r="F12" s="333">
        <v>90000</v>
      </c>
      <c r="G12" s="333">
        <v>95000</v>
      </c>
      <c r="H12" s="332">
        <v>98000</v>
      </c>
      <c r="I12" s="316"/>
      <c r="J12" s="316"/>
      <c r="L12" s="314"/>
    </row>
    <row r="13" spans="1:14" ht="15.6">
      <c r="A13" s="316"/>
      <c r="B13" s="316"/>
      <c r="C13" s="316"/>
      <c r="D13" s="316"/>
      <c r="E13" s="316"/>
      <c r="F13" s="316"/>
      <c r="G13" s="316"/>
      <c r="H13" s="316"/>
      <c r="I13" s="316"/>
      <c r="J13" s="316"/>
    </row>
    <row r="14" spans="1:14" ht="15.6">
      <c r="A14" s="316"/>
      <c r="B14" s="316"/>
      <c r="C14" s="329" t="s">
        <v>558</v>
      </c>
      <c r="D14" s="316"/>
      <c r="E14" s="316"/>
      <c r="F14" s="316"/>
      <c r="G14" s="316"/>
      <c r="H14" s="316"/>
      <c r="I14" s="316"/>
      <c r="J14" s="316"/>
    </row>
    <row r="15" spans="1:14" ht="15.6">
      <c r="A15" s="316"/>
      <c r="B15" s="316"/>
      <c r="C15" s="1794" t="s">
        <v>189</v>
      </c>
      <c r="D15" s="1796"/>
      <c r="E15" s="1776" t="s">
        <v>557</v>
      </c>
      <c r="F15" s="1780"/>
      <c r="G15" s="1780"/>
      <c r="H15" s="1777"/>
      <c r="I15" s="316"/>
      <c r="J15" s="316"/>
    </row>
    <row r="16" spans="1:14" ht="15.6">
      <c r="A16" s="316"/>
      <c r="B16" s="316"/>
      <c r="C16" s="1797"/>
      <c r="D16" s="1798"/>
      <c r="E16" s="1778"/>
      <c r="F16" s="1781"/>
      <c r="G16" s="1781"/>
      <c r="H16" s="1779"/>
      <c r="I16" s="316"/>
      <c r="J16" s="316"/>
      <c r="N16" s="322"/>
    </row>
    <row r="17" spans="1:14" ht="15.6">
      <c r="A17" s="316"/>
      <c r="B17" s="316"/>
      <c r="C17" s="1789" t="s">
        <v>556</v>
      </c>
      <c r="D17" s="1790"/>
      <c r="E17" s="1776" t="s">
        <v>555</v>
      </c>
      <c r="F17" s="1780"/>
      <c r="G17" s="1780"/>
      <c r="H17" s="1777"/>
      <c r="I17" s="316"/>
      <c r="J17" s="316"/>
    </row>
    <row r="18" spans="1:14" ht="15.6">
      <c r="A18" s="316"/>
      <c r="B18" s="316"/>
      <c r="C18" s="1791"/>
      <c r="D18" s="1792"/>
      <c r="E18" s="1778"/>
      <c r="F18" s="1781"/>
      <c r="G18" s="1781"/>
      <c r="H18" s="1779"/>
      <c r="I18" s="316"/>
      <c r="J18" s="316"/>
    </row>
    <row r="19" spans="1:14" ht="15.6">
      <c r="A19" s="316"/>
      <c r="B19" s="316"/>
      <c r="C19" s="1776" t="s">
        <v>190</v>
      </c>
      <c r="D19" s="1777"/>
      <c r="E19" s="1776" t="s">
        <v>127</v>
      </c>
      <c r="F19" s="1780"/>
      <c r="G19" s="1780"/>
      <c r="H19" s="1777"/>
      <c r="I19" s="316"/>
      <c r="J19" s="316"/>
    </row>
    <row r="20" spans="1:14" ht="15.6">
      <c r="A20" s="316"/>
      <c r="B20" s="316"/>
      <c r="C20" s="1778"/>
      <c r="D20" s="1779"/>
      <c r="E20" s="1778"/>
      <c r="F20" s="1781"/>
      <c r="G20" s="1781"/>
      <c r="H20" s="1779"/>
      <c r="I20" s="316"/>
      <c r="J20" s="316"/>
      <c r="M20" s="331"/>
    </row>
    <row r="21" spans="1:14" ht="15.6">
      <c r="A21" s="316"/>
      <c r="B21" s="316"/>
      <c r="C21" s="1789" t="s">
        <v>554</v>
      </c>
      <c r="D21" s="1790"/>
      <c r="E21" s="1776" t="s">
        <v>135</v>
      </c>
      <c r="F21" s="1780"/>
      <c r="G21" s="1780"/>
      <c r="H21" s="1777"/>
      <c r="I21" s="316"/>
      <c r="J21" s="316"/>
    </row>
    <row r="22" spans="1:14" ht="15.6">
      <c r="A22" s="316"/>
      <c r="B22" s="316"/>
      <c r="C22" s="1791"/>
      <c r="D22" s="1792"/>
      <c r="E22" s="1778"/>
      <c r="F22" s="1781"/>
      <c r="G22" s="1781"/>
      <c r="H22" s="1779"/>
      <c r="I22" s="316"/>
      <c r="J22" s="316"/>
    </row>
    <row r="23" spans="1:14" ht="15.6">
      <c r="A23" s="316"/>
      <c r="B23" s="316"/>
      <c r="C23" s="1793" t="s">
        <v>553</v>
      </c>
      <c r="D23" s="1793"/>
      <c r="E23" s="1794" t="s">
        <v>552</v>
      </c>
      <c r="F23" s="1795"/>
      <c r="G23" s="1795"/>
      <c r="H23" s="1796"/>
      <c r="I23" s="316"/>
      <c r="J23" s="316"/>
      <c r="M23" s="330"/>
    </row>
    <row r="24" spans="1:14" ht="15.6">
      <c r="A24" s="316"/>
      <c r="B24" s="316"/>
      <c r="C24" s="1789" t="s">
        <v>184</v>
      </c>
      <c r="D24" s="1790"/>
      <c r="E24" s="1776" t="s">
        <v>551</v>
      </c>
      <c r="F24" s="1780"/>
      <c r="G24" s="1780"/>
      <c r="H24" s="1777"/>
      <c r="I24" s="316"/>
      <c r="J24" s="316"/>
    </row>
    <row r="25" spans="1:14" ht="35.25" customHeight="1">
      <c r="A25" s="316"/>
      <c r="B25" s="316"/>
      <c r="C25" s="1791"/>
      <c r="D25" s="1792"/>
      <c r="E25" s="1778"/>
      <c r="F25" s="1781"/>
      <c r="G25" s="1781"/>
      <c r="H25" s="1779"/>
      <c r="I25" s="316"/>
      <c r="J25" s="316"/>
    </row>
    <row r="26" spans="1:14" ht="15.6">
      <c r="A26" s="316"/>
      <c r="B26" s="316"/>
      <c r="C26" s="316"/>
      <c r="D26" s="316"/>
      <c r="E26" s="316"/>
      <c r="F26" s="316"/>
      <c r="G26" s="316"/>
      <c r="H26" s="316"/>
      <c r="I26" s="316"/>
      <c r="J26" s="316"/>
      <c r="M26" s="330"/>
    </row>
    <row r="27" spans="1:14" ht="15.6">
      <c r="A27" s="316"/>
      <c r="B27" s="316"/>
      <c r="C27" s="329" t="s">
        <v>550</v>
      </c>
      <c r="D27" s="316"/>
      <c r="E27" s="316"/>
      <c r="F27" s="316"/>
      <c r="G27" s="316"/>
      <c r="H27" s="316"/>
      <c r="I27" s="316"/>
      <c r="J27" s="316"/>
    </row>
    <row r="28" spans="1:14" ht="15.6">
      <c r="A28" s="316"/>
      <c r="B28" s="316"/>
      <c r="C28" s="1785" t="s">
        <v>549</v>
      </c>
      <c r="D28" s="1786"/>
      <c r="E28" s="1776" t="s">
        <v>548</v>
      </c>
      <c r="F28" s="1780"/>
      <c r="G28" s="1780"/>
      <c r="H28" s="1777"/>
      <c r="I28" s="316"/>
      <c r="J28" s="316"/>
      <c r="L28" s="314"/>
    </row>
    <row r="29" spans="1:14" ht="15.6">
      <c r="A29" s="316"/>
      <c r="B29" s="316"/>
      <c r="C29" s="1787"/>
      <c r="D29" s="1788"/>
      <c r="E29" s="1778"/>
      <c r="F29" s="1781"/>
      <c r="G29" s="1781"/>
      <c r="H29" s="1779"/>
      <c r="I29" s="316"/>
      <c r="J29" s="316"/>
    </row>
    <row r="30" spans="1:14" ht="15.6">
      <c r="A30" s="316"/>
      <c r="B30" s="316"/>
      <c r="C30" s="1776" t="s">
        <v>547</v>
      </c>
      <c r="D30" s="1777"/>
      <c r="E30" s="1776" t="s">
        <v>546</v>
      </c>
      <c r="F30" s="1780"/>
      <c r="G30" s="1780"/>
      <c r="H30" s="1777"/>
      <c r="I30" s="316"/>
      <c r="J30" s="316"/>
    </row>
    <row r="31" spans="1:14" ht="15.6">
      <c r="A31" s="316"/>
      <c r="B31" s="316"/>
      <c r="C31" s="1778"/>
      <c r="D31" s="1779"/>
      <c r="E31" s="1778"/>
      <c r="F31" s="1781"/>
      <c r="G31" s="1781"/>
      <c r="H31" s="1779"/>
      <c r="I31" s="316"/>
      <c r="J31" s="316"/>
    </row>
    <row r="32" spans="1:14" ht="15.6">
      <c r="A32" s="316"/>
      <c r="B32" s="316"/>
      <c r="C32" s="1776" t="s">
        <v>545</v>
      </c>
      <c r="D32" s="1777"/>
      <c r="E32" s="1776" t="s">
        <v>544</v>
      </c>
      <c r="F32" s="1780"/>
      <c r="G32" s="1780"/>
      <c r="H32" s="1777"/>
      <c r="I32" s="316"/>
      <c r="J32" s="316"/>
      <c r="N32" s="322"/>
    </row>
    <row r="33" spans="1:13" ht="15.6">
      <c r="A33" s="316"/>
      <c r="B33" s="316"/>
      <c r="C33" s="1778"/>
      <c r="D33" s="1779"/>
      <c r="E33" s="1778"/>
      <c r="F33" s="1781"/>
      <c r="G33" s="1781"/>
      <c r="H33" s="1779"/>
      <c r="I33" s="316"/>
      <c r="J33" s="316"/>
    </row>
    <row r="34" spans="1:13" ht="15.6">
      <c r="A34" s="316"/>
      <c r="B34" s="316"/>
      <c r="C34" s="1783" t="s">
        <v>537</v>
      </c>
      <c r="D34" s="1783"/>
      <c r="E34" s="1782" t="s">
        <v>461</v>
      </c>
      <c r="F34" s="1782"/>
      <c r="G34" s="1782"/>
      <c r="H34" s="1782"/>
      <c r="I34" s="316"/>
      <c r="J34" s="316"/>
    </row>
    <row r="35" spans="1:13" ht="15.6">
      <c r="A35" s="316"/>
      <c r="B35" s="316"/>
      <c r="C35" s="1783" t="s">
        <v>543</v>
      </c>
      <c r="D35" s="1783"/>
      <c r="E35" s="1784" t="s">
        <v>498</v>
      </c>
      <c r="F35" s="1784"/>
      <c r="G35" s="1784"/>
      <c r="H35" s="1784"/>
      <c r="I35" s="316"/>
      <c r="J35" s="316"/>
    </row>
    <row r="36" spans="1:13" ht="15.6">
      <c r="A36" s="316"/>
      <c r="B36" s="316"/>
      <c r="C36" s="316"/>
      <c r="D36" s="316"/>
      <c r="E36" s="316"/>
      <c r="F36" s="316"/>
      <c r="G36" s="316"/>
      <c r="H36" s="316"/>
      <c r="I36" s="316"/>
      <c r="J36" s="316"/>
      <c r="M36" s="331"/>
    </row>
    <row r="37" spans="1:13" ht="15.6">
      <c r="A37" s="316"/>
      <c r="B37" s="316"/>
      <c r="C37" s="329" t="s">
        <v>542</v>
      </c>
      <c r="D37" s="316"/>
      <c r="E37" s="316"/>
      <c r="F37" s="316"/>
      <c r="G37" s="316"/>
      <c r="H37" s="316"/>
      <c r="I37" s="316"/>
      <c r="J37" s="316"/>
    </row>
    <row r="38" spans="1:13" ht="15.6">
      <c r="A38" s="316"/>
      <c r="B38" s="316"/>
      <c r="C38" s="1785" t="s">
        <v>541</v>
      </c>
      <c r="D38" s="1786"/>
      <c r="E38" s="1776" t="s">
        <v>540</v>
      </c>
      <c r="F38" s="1780"/>
      <c r="G38" s="1780"/>
      <c r="H38" s="1777"/>
      <c r="I38" s="316"/>
      <c r="J38" s="316"/>
    </row>
    <row r="39" spans="1:13" ht="15.6">
      <c r="A39" s="316"/>
      <c r="B39" s="316"/>
      <c r="C39" s="1776" t="s">
        <v>539</v>
      </c>
      <c r="D39" s="1777"/>
      <c r="E39" s="1776" t="s">
        <v>538</v>
      </c>
      <c r="F39" s="1780"/>
      <c r="G39" s="1780"/>
      <c r="H39" s="1777"/>
      <c r="I39" s="316"/>
      <c r="J39" s="316"/>
      <c r="M39" s="330"/>
    </row>
    <row r="40" spans="1:13" ht="15.6">
      <c r="A40" s="316"/>
      <c r="B40" s="316"/>
      <c r="C40" s="1776" t="s">
        <v>537</v>
      </c>
      <c r="D40" s="1777"/>
      <c r="E40" s="1776" t="s">
        <v>127</v>
      </c>
      <c r="F40" s="1780"/>
      <c r="G40" s="1780"/>
      <c r="H40" s="1777"/>
      <c r="I40" s="316"/>
      <c r="J40" s="316"/>
    </row>
    <row r="41" spans="1:13" ht="15.6">
      <c r="A41" s="316"/>
      <c r="B41" s="316"/>
      <c r="C41" s="1783" t="s">
        <v>536</v>
      </c>
      <c r="D41" s="1783"/>
      <c r="E41" s="1782" t="s">
        <v>498</v>
      </c>
      <c r="F41" s="1782"/>
      <c r="G41" s="1782"/>
      <c r="H41" s="1782"/>
      <c r="I41" s="316"/>
      <c r="J41" s="316"/>
    </row>
    <row r="42" spans="1:13" ht="15.6">
      <c r="A42" s="316"/>
      <c r="B42" s="316"/>
      <c r="C42" s="1776" t="s">
        <v>535</v>
      </c>
      <c r="D42" s="1777"/>
      <c r="E42" s="1776" t="s">
        <v>498</v>
      </c>
      <c r="F42" s="1780"/>
      <c r="G42" s="1780"/>
      <c r="H42" s="1777"/>
      <c r="I42" s="316"/>
      <c r="J42" s="316"/>
      <c r="M42" s="324"/>
    </row>
    <row r="43" spans="1:13" ht="15.6">
      <c r="A43" s="316"/>
      <c r="B43" s="316"/>
      <c r="C43" s="1778"/>
      <c r="D43" s="1779"/>
      <c r="E43" s="1778"/>
      <c r="F43" s="1781"/>
      <c r="G43" s="1781"/>
      <c r="H43" s="1779"/>
      <c r="I43" s="316"/>
      <c r="J43" s="316"/>
    </row>
    <row r="44" spans="1:13" ht="15.6">
      <c r="A44" s="316"/>
      <c r="B44" s="316"/>
      <c r="C44" s="1782" t="s">
        <v>534</v>
      </c>
      <c r="D44" s="1782"/>
      <c r="E44" s="1782" t="s">
        <v>533</v>
      </c>
      <c r="F44" s="1782"/>
      <c r="G44" s="1782"/>
      <c r="H44" s="1782"/>
      <c r="I44" s="316"/>
      <c r="J44" s="316"/>
    </row>
    <row r="45" spans="1:13" ht="15.6">
      <c r="A45" s="316"/>
      <c r="B45" s="316"/>
      <c r="C45" s="316"/>
      <c r="D45" s="316"/>
      <c r="E45" s="316"/>
      <c r="F45" s="316"/>
      <c r="G45" s="316"/>
      <c r="H45" s="316"/>
      <c r="I45" s="316"/>
      <c r="J45" s="316"/>
    </row>
    <row r="46" spans="1:13" ht="15.6">
      <c r="A46" s="316"/>
      <c r="B46" s="316"/>
      <c r="C46" s="329" t="s">
        <v>532</v>
      </c>
      <c r="D46" s="316"/>
      <c r="E46" s="316"/>
      <c r="F46" s="316"/>
      <c r="G46" s="316"/>
      <c r="H46" s="316"/>
      <c r="I46" s="316"/>
      <c r="J46" s="316"/>
    </row>
    <row r="47" spans="1:13" ht="15.75" customHeight="1">
      <c r="A47" s="316"/>
      <c r="B47" s="316"/>
      <c r="C47" s="1772" t="s">
        <v>252</v>
      </c>
      <c r="D47" s="1772" t="s">
        <v>531</v>
      </c>
      <c r="E47" s="1772" t="s">
        <v>530</v>
      </c>
      <c r="F47" s="1772" t="s">
        <v>529</v>
      </c>
      <c r="G47" s="316"/>
      <c r="H47" s="316"/>
      <c r="I47" s="316"/>
      <c r="J47" s="316"/>
    </row>
    <row r="48" spans="1:13" ht="15.6">
      <c r="A48" s="316"/>
      <c r="B48" s="316"/>
      <c r="C48" s="1773"/>
      <c r="D48" s="1773"/>
      <c r="E48" s="1773"/>
      <c r="F48" s="1773"/>
      <c r="G48" s="316"/>
      <c r="H48" s="316"/>
      <c r="I48" s="316"/>
      <c r="J48" s="316"/>
    </row>
    <row r="49" spans="1:19" ht="15.6">
      <c r="A49" s="316"/>
      <c r="B49" s="316"/>
      <c r="C49" s="1774"/>
      <c r="D49" s="1774"/>
      <c r="E49" s="1774"/>
      <c r="F49" s="1774"/>
      <c r="G49" s="316"/>
      <c r="H49" s="316"/>
      <c r="I49" s="316"/>
      <c r="J49" s="316"/>
    </row>
    <row r="50" spans="1:19" ht="15.6">
      <c r="A50" s="316"/>
      <c r="B50" s="316"/>
      <c r="C50" s="320">
        <v>49</v>
      </c>
      <c r="D50" s="320">
        <v>6</v>
      </c>
      <c r="E50" s="320">
        <v>13.75</v>
      </c>
      <c r="F50" s="320">
        <v>11.49</v>
      </c>
      <c r="G50" s="316"/>
      <c r="H50" s="316"/>
      <c r="I50" s="316"/>
      <c r="J50" s="316"/>
      <c r="M50" s="328"/>
      <c r="N50" s="328"/>
      <c r="O50" s="328"/>
      <c r="P50" s="327"/>
      <c r="Q50" s="326"/>
      <c r="R50" s="325"/>
      <c r="S50" s="325"/>
    </row>
    <row r="51" spans="1:19" ht="15.6">
      <c r="A51" s="316"/>
      <c r="B51" s="316"/>
      <c r="C51" s="320">
        <v>49</v>
      </c>
      <c r="D51" s="320">
        <f t="shared" ref="D51:D60" si="0">1+D50</f>
        <v>7</v>
      </c>
      <c r="E51" s="320">
        <v>12.99</v>
      </c>
      <c r="F51" s="320">
        <v>10.77</v>
      </c>
      <c r="G51" s="316"/>
      <c r="H51" s="316"/>
      <c r="I51" s="316"/>
      <c r="J51" s="316"/>
      <c r="M51" s="328"/>
      <c r="N51" s="328"/>
      <c r="O51" s="328"/>
      <c r="P51" s="327"/>
      <c r="Q51" s="326"/>
      <c r="R51" s="325"/>
      <c r="S51" s="325"/>
    </row>
    <row r="52" spans="1:19" ht="15.6">
      <c r="A52" s="316"/>
      <c r="B52" s="316"/>
      <c r="C52" s="320">
        <v>49</v>
      </c>
      <c r="D52" s="320">
        <f t="shared" si="0"/>
        <v>8</v>
      </c>
      <c r="E52" s="320">
        <v>12.26</v>
      </c>
      <c r="F52" s="320">
        <v>10.09</v>
      </c>
      <c r="G52" s="316"/>
      <c r="H52" s="316"/>
      <c r="I52" s="316"/>
      <c r="J52" s="316"/>
      <c r="M52" s="328"/>
      <c r="N52" s="328"/>
      <c r="O52" s="328"/>
      <c r="P52" s="327"/>
      <c r="Q52" s="326"/>
      <c r="R52" s="325"/>
      <c r="S52" s="325"/>
    </row>
    <row r="53" spans="1:19" ht="15.6">
      <c r="A53" s="316"/>
      <c r="B53" s="316"/>
      <c r="C53" s="320">
        <v>49</v>
      </c>
      <c r="D53" s="320">
        <f t="shared" si="0"/>
        <v>9</v>
      </c>
      <c r="E53" s="320">
        <v>11.56</v>
      </c>
      <c r="F53" s="320">
        <v>9.44</v>
      </c>
      <c r="G53" s="316"/>
      <c r="H53" s="316"/>
      <c r="I53" s="316"/>
      <c r="J53" s="316"/>
      <c r="M53" s="328"/>
      <c r="N53" s="328"/>
      <c r="O53" s="328"/>
      <c r="P53" s="327"/>
      <c r="Q53" s="326"/>
      <c r="R53" s="325"/>
      <c r="S53" s="325"/>
    </row>
    <row r="54" spans="1:19" ht="15.6">
      <c r="A54" s="316"/>
      <c r="B54" s="316"/>
      <c r="C54" s="320">
        <v>49</v>
      </c>
      <c r="D54" s="320">
        <f t="shared" si="0"/>
        <v>10</v>
      </c>
      <c r="E54" s="320">
        <v>10.88</v>
      </c>
      <c r="F54" s="320">
        <v>8.83</v>
      </c>
      <c r="G54" s="316"/>
      <c r="H54" s="316"/>
      <c r="I54" s="316"/>
      <c r="J54" s="316"/>
      <c r="M54" s="328"/>
      <c r="N54" s="328"/>
      <c r="O54" s="328"/>
      <c r="P54" s="327"/>
      <c r="Q54" s="326"/>
      <c r="R54" s="325"/>
      <c r="S54" s="325"/>
    </row>
    <row r="55" spans="1:19" ht="15.6">
      <c r="A55" s="316"/>
      <c r="B55" s="316"/>
      <c r="C55" s="320">
        <v>49</v>
      </c>
      <c r="D55" s="320">
        <f t="shared" si="0"/>
        <v>11</v>
      </c>
      <c r="E55" s="320">
        <v>10.24</v>
      </c>
      <c r="F55" s="320">
        <v>8.25</v>
      </c>
      <c r="G55" s="316"/>
      <c r="H55" s="316"/>
      <c r="I55" s="316"/>
      <c r="J55" s="316"/>
      <c r="M55" s="328"/>
      <c r="N55" s="328"/>
      <c r="O55" s="328"/>
      <c r="P55" s="327"/>
      <c r="Q55" s="326"/>
      <c r="R55" s="325"/>
      <c r="S55" s="325"/>
    </row>
    <row r="56" spans="1:19" ht="15.6">
      <c r="A56" s="316"/>
      <c r="B56" s="316"/>
      <c r="C56" s="320">
        <v>49</v>
      </c>
      <c r="D56" s="320">
        <f t="shared" si="0"/>
        <v>12</v>
      </c>
      <c r="E56" s="320">
        <v>9.6300000000000008</v>
      </c>
      <c r="F56" s="320">
        <v>7.7</v>
      </c>
      <c r="G56" s="316"/>
      <c r="H56" s="316"/>
      <c r="I56" s="316"/>
      <c r="J56" s="316"/>
      <c r="M56" s="328"/>
      <c r="N56" s="328"/>
      <c r="O56" s="328"/>
      <c r="P56" s="327"/>
      <c r="Q56" s="326"/>
      <c r="R56" s="325"/>
      <c r="S56" s="325"/>
    </row>
    <row r="57" spans="1:19" ht="15.6">
      <c r="A57" s="316"/>
      <c r="B57" s="316"/>
      <c r="C57" s="320">
        <v>49</v>
      </c>
      <c r="D57" s="320">
        <f t="shared" si="0"/>
        <v>13</v>
      </c>
      <c r="E57" s="320">
        <v>9.0399999999999991</v>
      </c>
      <c r="F57" s="320">
        <v>7.18</v>
      </c>
      <c r="G57" s="316"/>
      <c r="H57" s="316"/>
      <c r="I57" s="316"/>
      <c r="J57" s="316"/>
      <c r="M57" s="328"/>
      <c r="N57" s="328"/>
      <c r="O57" s="328"/>
      <c r="P57" s="327"/>
      <c r="Q57" s="326"/>
      <c r="R57" s="325"/>
      <c r="S57" s="325"/>
    </row>
    <row r="58" spans="1:19" ht="15.6">
      <c r="A58" s="316"/>
      <c r="B58" s="316"/>
      <c r="C58" s="320">
        <v>49</v>
      </c>
      <c r="D58" s="320">
        <f t="shared" si="0"/>
        <v>14</v>
      </c>
      <c r="E58" s="320">
        <v>8.48</v>
      </c>
      <c r="F58" s="320">
        <v>6.69</v>
      </c>
      <c r="G58" s="316"/>
      <c r="H58" s="316"/>
      <c r="I58" s="316"/>
      <c r="J58" s="316"/>
    </row>
    <row r="59" spans="1:19" ht="15.6">
      <c r="A59" s="316"/>
      <c r="B59" s="316"/>
      <c r="C59" s="320">
        <v>49</v>
      </c>
      <c r="D59" s="320">
        <f t="shared" si="0"/>
        <v>15</v>
      </c>
      <c r="E59" s="320">
        <v>7.94</v>
      </c>
      <c r="F59" s="320">
        <v>6.22</v>
      </c>
      <c r="G59" s="316"/>
      <c r="H59" s="316"/>
      <c r="I59" s="316"/>
      <c r="J59" s="316"/>
    </row>
    <row r="60" spans="1:19" ht="15.6">
      <c r="A60" s="316"/>
      <c r="B60" s="316"/>
      <c r="C60" s="320">
        <v>49</v>
      </c>
      <c r="D60" s="320">
        <f t="shared" si="0"/>
        <v>16</v>
      </c>
      <c r="E60" s="320">
        <v>7.42</v>
      </c>
      <c r="F60" s="320">
        <v>5.78</v>
      </c>
      <c r="G60" s="316"/>
      <c r="H60" s="316"/>
      <c r="I60" s="316"/>
      <c r="J60" s="316"/>
      <c r="M60" s="324"/>
    </row>
    <row r="61" spans="1:19" ht="15.6">
      <c r="A61" s="316"/>
      <c r="B61" s="316"/>
      <c r="C61" s="316"/>
      <c r="D61" s="316"/>
      <c r="E61" s="316"/>
      <c r="F61" s="316"/>
      <c r="G61" s="316"/>
      <c r="H61" s="316"/>
      <c r="I61" s="316"/>
      <c r="J61" s="316"/>
    </row>
    <row r="62" spans="1:19" ht="15.75" customHeight="1">
      <c r="A62" s="316"/>
      <c r="B62" s="316"/>
      <c r="C62" s="1772" t="s">
        <v>252</v>
      </c>
      <c r="D62" s="1772" t="s">
        <v>531</v>
      </c>
      <c r="E62" s="1772" t="s">
        <v>530</v>
      </c>
      <c r="F62" s="1772" t="s">
        <v>529</v>
      </c>
      <c r="G62" s="316"/>
      <c r="H62" s="316"/>
      <c r="I62" s="316"/>
      <c r="J62" s="316"/>
    </row>
    <row r="63" spans="1:19" ht="15.6">
      <c r="A63" s="316"/>
      <c r="B63" s="316"/>
      <c r="C63" s="1773"/>
      <c r="D63" s="1773"/>
      <c r="E63" s="1773"/>
      <c r="F63" s="1773"/>
      <c r="G63" s="316"/>
      <c r="H63" s="316"/>
      <c r="I63" s="316"/>
      <c r="J63" s="316"/>
      <c r="M63" s="324"/>
    </row>
    <row r="64" spans="1:19" ht="15.6">
      <c r="A64" s="316"/>
      <c r="B64" s="316"/>
      <c r="C64" s="1774"/>
      <c r="D64" s="1774"/>
      <c r="E64" s="1774"/>
      <c r="F64" s="1774"/>
      <c r="G64" s="316"/>
      <c r="H64" s="316"/>
      <c r="I64" s="316"/>
      <c r="J64" s="316"/>
    </row>
    <row r="65" spans="1:22" ht="15.6">
      <c r="A65" s="316"/>
      <c r="B65" s="316"/>
      <c r="C65" s="320">
        <v>50</v>
      </c>
      <c r="D65" s="320">
        <v>5</v>
      </c>
      <c r="E65" s="320">
        <v>14.32</v>
      </c>
      <c r="F65" s="320">
        <v>12.07</v>
      </c>
      <c r="G65" s="316"/>
      <c r="H65" s="316"/>
      <c r="I65" s="316"/>
      <c r="J65" s="316"/>
      <c r="L65" s="323"/>
    </row>
    <row r="66" spans="1:22" ht="15.6">
      <c r="A66" s="316"/>
      <c r="B66" s="316"/>
      <c r="C66" s="320">
        <v>50</v>
      </c>
      <c r="D66" s="320">
        <f t="shared" ref="D66:D75" si="1">1+D65</f>
        <v>6</v>
      </c>
      <c r="E66" s="320">
        <v>13.52</v>
      </c>
      <c r="F66" s="320">
        <v>11.32</v>
      </c>
      <c r="G66" s="316"/>
      <c r="H66" s="316"/>
      <c r="I66" s="316"/>
      <c r="J66" s="316"/>
    </row>
    <row r="67" spans="1:22" ht="15.6">
      <c r="A67" s="316"/>
      <c r="B67" s="316"/>
      <c r="C67" s="320">
        <v>50</v>
      </c>
      <c r="D67" s="320">
        <f t="shared" si="1"/>
        <v>7</v>
      </c>
      <c r="E67" s="320">
        <v>12.76</v>
      </c>
      <c r="F67" s="320">
        <v>10.6</v>
      </c>
      <c r="G67" s="316"/>
      <c r="H67" s="316"/>
      <c r="I67" s="316"/>
      <c r="J67" s="316"/>
      <c r="L67" s="314"/>
    </row>
    <row r="68" spans="1:22" ht="15.6">
      <c r="A68" s="316"/>
      <c r="B68" s="316"/>
      <c r="C68" s="320">
        <v>50</v>
      </c>
      <c r="D68" s="320">
        <f t="shared" si="1"/>
        <v>8</v>
      </c>
      <c r="E68" s="320">
        <v>12.03</v>
      </c>
      <c r="F68" s="320">
        <v>9.92</v>
      </c>
      <c r="G68" s="316"/>
      <c r="H68" s="316"/>
      <c r="I68" s="316"/>
      <c r="J68" s="316"/>
    </row>
    <row r="69" spans="1:22" ht="15.6">
      <c r="A69" s="316"/>
      <c r="B69" s="316"/>
      <c r="C69" s="320">
        <v>50</v>
      </c>
      <c r="D69" s="320">
        <f t="shared" si="1"/>
        <v>9</v>
      </c>
      <c r="E69" s="320">
        <v>11.33</v>
      </c>
      <c r="F69" s="320">
        <v>9.23</v>
      </c>
      <c r="G69" s="316"/>
      <c r="H69" s="316"/>
      <c r="I69" s="316"/>
      <c r="J69" s="316"/>
    </row>
    <row r="70" spans="1:22" ht="15.6">
      <c r="A70" s="316"/>
      <c r="B70" s="316"/>
      <c r="C70" s="320">
        <v>50</v>
      </c>
      <c r="D70" s="320">
        <f t="shared" si="1"/>
        <v>10</v>
      </c>
      <c r="E70" s="320">
        <v>10.66</v>
      </c>
      <c r="F70" s="320">
        <v>8.67</v>
      </c>
      <c r="G70" s="316"/>
      <c r="H70" s="316"/>
      <c r="I70" s="316"/>
      <c r="J70" s="316"/>
    </row>
    <row r="71" spans="1:22" ht="15.6">
      <c r="A71" s="316"/>
      <c r="B71" s="316"/>
      <c r="C71" s="320">
        <v>50</v>
      </c>
      <c r="D71" s="320">
        <f t="shared" si="1"/>
        <v>11</v>
      </c>
      <c r="E71" s="320">
        <v>10.02</v>
      </c>
      <c r="F71" s="320">
        <v>8.09</v>
      </c>
      <c r="G71" s="316"/>
      <c r="H71" s="316"/>
      <c r="I71" s="316"/>
      <c r="J71" s="316"/>
      <c r="N71" s="322"/>
    </row>
    <row r="72" spans="1:22" ht="15.6">
      <c r="A72" s="316"/>
      <c r="B72" s="316"/>
      <c r="C72" s="320">
        <v>50</v>
      </c>
      <c r="D72" s="320">
        <f t="shared" si="1"/>
        <v>12</v>
      </c>
      <c r="E72" s="320">
        <v>9.41</v>
      </c>
      <c r="F72" s="320">
        <v>7.54</v>
      </c>
      <c r="G72" s="316"/>
      <c r="H72" s="316"/>
      <c r="I72" s="316"/>
      <c r="J72" s="316"/>
    </row>
    <row r="73" spans="1:22" ht="15.6">
      <c r="A73" s="316"/>
      <c r="B73" s="316"/>
      <c r="C73" s="320">
        <v>50</v>
      </c>
      <c r="D73" s="320">
        <f t="shared" si="1"/>
        <v>13</v>
      </c>
      <c r="E73" s="320">
        <v>8.82</v>
      </c>
      <c r="F73" s="320">
        <v>7.02</v>
      </c>
      <c r="G73" s="316"/>
      <c r="H73" s="316"/>
      <c r="I73" s="316"/>
      <c r="J73" s="316"/>
    </row>
    <row r="74" spans="1:22" ht="15.6">
      <c r="A74" s="316"/>
      <c r="B74" s="316"/>
      <c r="C74" s="320">
        <v>50</v>
      </c>
      <c r="D74" s="320">
        <f t="shared" si="1"/>
        <v>14</v>
      </c>
      <c r="E74" s="320">
        <v>8.26</v>
      </c>
      <c r="F74" s="320">
        <v>6.53</v>
      </c>
      <c r="G74" s="316"/>
      <c r="H74" s="316"/>
      <c r="I74" s="316"/>
      <c r="J74" s="316"/>
      <c r="L74" s="314"/>
      <c r="M74" s="314"/>
      <c r="N74" s="314"/>
      <c r="O74" s="314"/>
      <c r="P74" s="314"/>
      <c r="Q74" s="314"/>
      <c r="R74" s="314"/>
      <c r="S74" s="314"/>
      <c r="T74" s="314"/>
      <c r="U74" s="314"/>
      <c r="V74" s="314"/>
    </row>
    <row r="75" spans="1:22" ht="15.6">
      <c r="A75" s="316"/>
      <c r="B75" s="316"/>
      <c r="C75" s="320">
        <v>50</v>
      </c>
      <c r="D75" s="320">
        <f t="shared" si="1"/>
        <v>15</v>
      </c>
      <c r="E75" s="320">
        <v>7.72</v>
      </c>
      <c r="F75" s="320">
        <v>6.06</v>
      </c>
      <c r="G75" s="316"/>
      <c r="H75" s="316"/>
      <c r="I75" s="316"/>
      <c r="J75" s="316"/>
      <c r="L75" s="314"/>
      <c r="M75" s="314"/>
      <c r="N75" s="314"/>
      <c r="O75" s="314"/>
      <c r="P75" s="314"/>
      <c r="Q75" s="314"/>
      <c r="R75" s="314"/>
      <c r="S75" s="314"/>
      <c r="T75" s="314"/>
      <c r="U75" s="314"/>
      <c r="V75" s="314"/>
    </row>
    <row r="76" spans="1:22" ht="15.6">
      <c r="A76" s="316"/>
      <c r="B76" s="316"/>
      <c r="C76" s="316"/>
      <c r="D76" s="316"/>
      <c r="E76" s="316"/>
      <c r="F76" s="316"/>
      <c r="G76" s="316"/>
      <c r="H76" s="316"/>
      <c r="I76" s="316"/>
      <c r="J76" s="316"/>
      <c r="L76" s="314"/>
      <c r="M76" s="314"/>
      <c r="N76" s="314"/>
      <c r="O76" s="314"/>
      <c r="P76" s="314"/>
      <c r="Q76" s="314"/>
      <c r="R76" s="314"/>
      <c r="S76" s="314"/>
      <c r="T76" s="314"/>
      <c r="U76" s="314"/>
      <c r="V76" s="314"/>
    </row>
    <row r="77" spans="1:22" ht="15.75" customHeight="1">
      <c r="A77" s="316"/>
      <c r="B77" s="316"/>
      <c r="C77" s="1772" t="s">
        <v>252</v>
      </c>
      <c r="D77" s="1772" t="s">
        <v>531</v>
      </c>
      <c r="E77" s="1772" t="s">
        <v>530</v>
      </c>
      <c r="F77" s="1772" t="s">
        <v>529</v>
      </c>
      <c r="G77" s="316"/>
      <c r="H77" s="316"/>
      <c r="I77" s="316"/>
      <c r="J77" s="316"/>
      <c r="L77" s="314"/>
      <c r="M77" s="314"/>
      <c r="N77" s="314"/>
      <c r="O77" s="314"/>
      <c r="P77" s="314"/>
      <c r="Q77" s="314"/>
      <c r="R77" s="314"/>
      <c r="S77" s="314"/>
      <c r="T77" s="314"/>
      <c r="U77" s="314"/>
      <c r="V77" s="314"/>
    </row>
    <row r="78" spans="1:22" ht="15.6">
      <c r="A78" s="316"/>
      <c r="B78" s="316"/>
      <c r="C78" s="1773"/>
      <c r="D78" s="1773"/>
      <c r="E78" s="1773"/>
      <c r="F78" s="1773"/>
      <c r="G78" s="316"/>
      <c r="H78" s="316"/>
      <c r="I78" s="316"/>
      <c r="J78" s="316"/>
      <c r="L78" s="314"/>
      <c r="M78" s="314"/>
      <c r="N78" s="314"/>
      <c r="O78" s="314"/>
      <c r="P78" s="314"/>
      <c r="Q78" s="314"/>
      <c r="R78" s="314"/>
      <c r="S78" s="314"/>
      <c r="T78" s="314"/>
      <c r="U78" s="314"/>
      <c r="V78" s="314"/>
    </row>
    <row r="79" spans="1:22" ht="15.6">
      <c r="A79" s="316"/>
      <c r="B79" s="316"/>
      <c r="C79" s="1774"/>
      <c r="D79" s="1774"/>
      <c r="E79" s="1774"/>
      <c r="F79" s="1774"/>
      <c r="G79" s="316"/>
      <c r="H79" s="316"/>
      <c r="I79" s="316"/>
      <c r="J79" s="316"/>
      <c r="L79" s="314"/>
      <c r="M79" s="314"/>
      <c r="N79" s="314"/>
      <c r="O79" s="314"/>
      <c r="P79" s="314"/>
      <c r="Q79" s="314"/>
      <c r="R79" s="314"/>
      <c r="S79" s="314"/>
      <c r="T79" s="314"/>
      <c r="U79" s="314"/>
      <c r="V79" s="314"/>
    </row>
    <row r="80" spans="1:22" ht="15.6">
      <c r="A80" s="316"/>
      <c r="B80" s="316"/>
      <c r="C80" s="320">
        <v>60</v>
      </c>
      <c r="D80" s="320">
        <v>0</v>
      </c>
      <c r="E80" s="320">
        <v>16.12</v>
      </c>
      <c r="F80" s="320">
        <v>14.39</v>
      </c>
      <c r="G80" s="316"/>
      <c r="H80" s="316"/>
      <c r="I80" s="316"/>
      <c r="J80" s="316"/>
      <c r="L80" s="314"/>
      <c r="M80" s="314"/>
      <c r="N80" s="314"/>
      <c r="O80" s="314"/>
      <c r="P80" s="314"/>
      <c r="Q80" s="314"/>
      <c r="R80" s="314"/>
      <c r="S80" s="314"/>
      <c r="T80" s="314"/>
      <c r="U80" s="314"/>
      <c r="V80" s="314"/>
    </row>
    <row r="81" spans="1:22" ht="15.6">
      <c r="A81" s="316"/>
      <c r="B81" s="316"/>
      <c r="C81" s="320">
        <v>60</v>
      </c>
      <c r="D81" s="320">
        <v>1</v>
      </c>
      <c r="E81" s="320">
        <v>15.14</v>
      </c>
      <c r="F81" s="320">
        <v>13.42</v>
      </c>
      <c r="G81" s="316"/>
      <c r="H81" s="316"/>
      <c r="I81" s="316"/>
      <c r="J81" s="316"/>
      <c r="L81" s="314"/>
      <c r="M81" s="314"/>
      <c r="N81" s="314"/>
      <c r="O81" s="314"/>
      <c r="P81" s="314"/>
      <c r="Q81" s="314"/>
      <c r="R81" s="314"/>
      <c r="S81" s="314"/>
      <c r="T81" s="314"/>
      <c r="U81" s="314"/>
      <c r="V81" s="314"/>
    </row>
    <row r="82" spans="1:22" ht="15.6">
      <c r="A82" s="316"/>
      <c r="B82" s="316"/>
      <c r="C82" s="320">
        <v>60</v>
      </c>
      <c r="D82" s="320">
        <v>2</v>
      </c>
      <c r="E82" s="321">
        <v>14.2</v>
      </c>
      <c r="F82" s="320">
        <v>12.49</v>
      </c>
      <c r="G82" s="316"/>
      <c r="H82" s="316"/>
      <c r="I82" s="316"/>
      <c r="J82" s="316"/>
      <c r="L82" s="314"/>
      <c r="M82" s="314"/>
      <c r="N82" s="314"/>
      <c r="O82" s="314"/>
      <c r="P82" s="314"/>
      <c r="Q82" s="314"/>
      <c r="R82" s="314"/>
      <c r="S82" s="314"/>
      <c r="T82" s="314"/>
      <c r="U82" s="314"/>
      <c r="V82" s="314"/>
    </row>
    <row r="83" spans="1:22" ht="15.6">
      <c r="A83" s="316"/>
      <c r="B83" s="316"/>
      <c r="C83" s="320">
        <v>60</v>
      </c>
      <c r="D83" s="320">
        <v>3</v>
      </c>
      <c r="E83" s="321">
        <v>13.3</v>
      </c>
      <c r="F83" s="320">
        <v>11.62</v>
      </c>
      <c r="G83" s="316"/>
      <c r="H83" s="316"/>
      <c r="I83" s="316"/>
      <c r="J83" s="316"/>
      <c r="L83" s="314"/>
      <c r="M83" s="314"/>
      <c r="N83" s="314"/>
      <c r="O83" s="314"/>
      <c r="P83" s="314"/>
      <c r="Q83" s="314"/>
      <c r="R83" s="314"/>
      <c r="S83" s="314"/>
      <c r="T83" s="314"/>
      <c r="U83" s="314"/>
      <c r="V83" s="314"/>
    </row>
    <row r="84" spans="1:22" ht="15.6">
      <c r="A84" s="316"/>
      <c r="B84" s="316"/>
      <c r="C84" s="320">
        <v>60</v>
      </c>
      <c r="D84" s="320">
        <v>4</v>
      </c>
      <c r="E84" s="320">
        <v>12.45</v>
      </c>
      <c r="F84" s="320">
        <v>10.79</v>
      </c>
      <c r="G84" s="316"/>
      <c r="H84" s="316"/>
      <c r="I84" s="316"/>
      <c r="J84" s="316"/>
      <c r="L84" s="314"/>
      <c r="M84" s="314"/>
      <c r="N84" s="314"/>
      <c r="O84" s="314"/>
      <c r="P84" s="314"/>
      <c r="Q84" s="314"/>
      <c r="R84" s="314"/>
      <c r="S84" s="314"/>
      <c r="T84" s="314"/>
      <c r="U84" s="314"/>
      <c r="V84" s="314"/>
    </row>
    <row r="85" spans="1:22" ht="15.6">
      <c r="A85" s="316"/>
      <c r="B85" s="316"/>
      <c r="C85" s="320">
        <v>60</v>
      </c>
      <c r="D85" s="320">
        <v>5</v>
      </c>
      <c r="E85" s="320">
        <v>11.63</v>
      </c>
      <c r="F85" s="320">
        <v>10.01</v>
      </c>
      <c r="G85" s="316"/>
      <c r="H85" s="316"/>
      <c r="I85" s="316"/>
      <c r="J85" s="316"/>
      <c r="L85" s="314"/>
      <c r="M85" s="314"/>
      <c r="N85" s="314"/>
      <c r="O85" s="314"/>
      <c r="P85" s="314"/>
      <c r="Q85" s="314"/>
      <c r="R85" s="314"/>
      <c r="S85" s="314"/>
      <c r="T85" s="314"/>
      <c r="U85" s="314"/>
      <c r="V85" s="314"/>
    </row>
    <row r="86" spans="1:22" ht="15.6">
      <c r="A86" s="316"/>
      <c r="B86" s="316"/>
      <c r="C86" s="316"/>
      <c r="D86" s="316"/>
      <c r="E86" s="316"/>
      <c r="F86" s="316"/>
      <c r="G86" s="316"/>
      <c r="H86" s="316"/>
      <c r="I86" s="316"/>
      <c r="J86" s="316"/>
      <c r="L86" s="314"/>
      <c r="M86" s="314"/>
      <c r="N86" s="314"/>
      <c r="O86" s="314"/>
      <c r="P86" s="314"/>
      <c r="Q86" s="314"/>
      <c r="R86" s="314"/>
      <c r="S86" s="314"/>
      <c r="T86" s="314"/>
      <c r="U86" s="314"/>
      <c r="V86" s="314"/>
    </row>
    <row r="87" spans="1:22" ht="15.75" customHeight="1">
      <c r="A87" s="316"/>
      <c r="B87" s="316"/>
      <c r="C87" s="1772" t="s">
        <v>252</v>
      </c>
      <c r="D87" s="1772" t="s">
        <v>531</v>
      </c>
      <c r="E87" s="1772" t="s">
        <v>530</v>
      </c>
      <c r="F87" s="1772" t="s">
        <v>529</v>
      </c>
      <c r="G87" s="316"/>
      <c r="H87" s="316"/>
      <c r="I87" s="316"/>
      <c r="J87" s="316"/>
      <c r="L87" s="314"/>
      <c r="M87" s="314"/>
      <c r="N87" s="314"/>
      <c r="O87" s="314"/>
      <c r="P87" s="314"/>
      <c r="Q87" s="314"/>
      <c r="R87" s="314"/>
      <c r="S87" s="314"/>
      <c r="T87" s="314"/>
      <c r="U87" s="314"/>
      <c r="V87" s="314"/>
    </row>
    <row r="88" spans="1:22" ht="15.75" customHeight="1">
      <c r="A88" s="316"/>
      <c r="B88" s="316"/>
      <c r="C88" s="1773"/>
      <c r="D88" s="1773"/>
      <c r="E88" s="1773"/>
      <c r="F88" s="1773"/>
      <c r="G88" s="316"/>
      <c r="H88" s="316"/>
      <c r="I88" s="316"/>
      <c r="J88" s="316"/>
      <c r="L88" s="314"/>
      <c r="M88" s="314"/>
      <c r="N88" s="314"/>
      <c r="O88" s="314"/>
      <c r="P88" s="314"/>
      <c r="Q88" s="314"/>
      <c r="R88" s="314"/>
      <c r="S88" s="314"/>
      <c r="T88" s="314"/>
      <c r="U88" s="314"/>
      <c r="V88" s="314"/>
    </row>
    <row r="89" spans="1:22" ht="15.6">
      <c r="A89" s="316"/>
      <c r="B89" s="316"/>
      <c r="C89" s="1774"/>
      <c r="D89" s="1774"/>
      <c r="E89" s="1774"/>
      <c r="F89" s="1774"/>
      <c r="G89" s="316"/>
      <c r="H89" s="316"/>
      <c r="I89" s="316"/>
      <c r="J89" s="316"/>
      <c r="L89" s="314"/>
      <c r="M89" s="314"/>
      <c r="N89" s="314"/>
      <c r="O89" s="314"/>
      <c r="P89" s="314"/>
      <c r="Q89" s="314"/>
      <c r="R89" s="314"/>
      <c r="S89" s="314"/>
      <c r="T89" s="314"/>
      <c r="U89" s="314"/>
      <c r="V89" s="314"/>
    </row>
    <row r="90" spans="1:22" ht="15.6">
      <c r="A90" s="316"/>
      <c r="B90" s="316"/>
      <c r="C90" s="320">
        <v>61</v>
      </c>
      <c r="D90" s="320">
        <v>0</v>
      </c>
      <c r="E90" s="321">
        <v>15.8</v>
      </c>
      <c r="F90" s="320">
        <v>14.14</v>
      </c>
      <c r="G90" s="316"/>
      <c r="H90" s="316"/>
      <c r="I90" s="316"/>
      <c r="J90" s="316"/>
      <c r="L90" s="314"/>
      <c r="M90" s="314"/>
      <c r="N90" s="314"/>
      <c r="O90" s="314"/>
      <c r="P90" s="314"/>
      <c r="Q90" s="314"/>
      <c r="R90" s="314"/>
      <c r="S90" s="314"/>
      <c r="T90" s="314"/>
      <c r="U90" s="314"/>
      <c r="V90" s="314"/>
    </row>
    <row r="91" spans="1:22" ht="15.6">
      <c r="A91" s="316"/>
      <c r="B91" s="316"/>
      <c r="C91" s="320">
        <v>61</v>
      </c>
      <c r="D91" s="320">
        <v>1</v>
      </c>
      <c r="E91" s="320">
        <v>14.82</v>
      </c>
      <c r="F91" s="320">
        <v>13.17</v>
      </c>
      <c r="G91" s="316"/>
      <c r="H91" s="316"/>
      <c r="I91" s="316"/>
      <c r="J91" s="316"/>
      <c r="L91" s="314"/>
      <c r="M91" s="314"/>
      <c r="N91" s="314"/>
      <c r="O91" s="314"/>
      <c r="P91" s="314"/>
      <c r="Q91" s="314"/>
      <c r="R91" s="314"/>
      <c r="S91" s="314"/>
      <c r="T91" s="314"/>
      <c r="U91" s="314"/>
      <c r="V91" s="314"/>
    </row>
    <row r="92" spans="1:22" ht="15.6">
      <c r="A92" s="316"/>
      <c r="B92" s="316"/>
      <c r="C92" s="320">
        <v>61</v>
      </c>
      <c r="D92" s="320">
        <v>2</v>
      </c>
      <c r="E92" s="320">
        <v>13.89</v>
      </c>
      <c r="F92" s="320">
        <v>12.24</v>
      </c>
      <c r="G92" s="316"/>
      <c r="H92" s="316"/>
      <c r="I92" s="316"/>
      <c r="J92" s="316"/>
      <c r="L92" s="314"/>
      <c r="M92" s="314"/>
      <c r="N92" s="314"/>
      <c r="O92" s="314"/>
      <c r="P92" s="314"/>
      <c r="Q92" s="314"/>
      <c r="R92" s="314"/>
      <c r="S92" s="314"/>
      <c r="T92" s="314"/>
      <c r="U92" s="314"/>
      <c r="V92" s="314"/>
    </row>
    <row r="93" spans="1:22" ht="15.6">
      <c r="A93" s="316"/>
      <c r="B93" s="316"/>
      <c r="C93" s="320">
        <v>61</v>
      </c>
      <c r="D93" s="320">
        <v>3</v>
      </c>
      <c r="E93" s="320">
        <v>12.99</v>
      </c>
      <c r="F93" s="320">
        <v>11.37</v>
      </c>
      <c r="G93" s="316"/>
      <c r="H93" s="316"/>
      <c r="I93" s="316"/>
      <c r="J93" s="316"/>
      <c r="L93" s="314"/>
      <c r="M93" s="314"/>
      <c r="N93" s="314"/>
      <c r="O93" s="314"/>
      <c r="P93" s="314"/>
      <c r="Q93" s="314"/>
      <c r="R93" s="314"/>
      <c r="S93" s="314"/>
      <c r="T93" s="314"/>
      <c r="U93" s="314"/>
      <c r="V93" s="314"/>
    </row>
    <row r="94" spans="1:22" ht="15.6">
      <c r="A94" s="316"/>
      <c r="B94" s="316"/>
      <c r="C94" s="320">
        <v>61</v>
      </c>
      <c r="D94" s="320">
        <v>4</v>
      </c>
      <c r="E94" s="320">
        <v>12.14</v>
      </c>
      <c r="F94" s="320">
        <v>10.54</v>
      </c>
      <c r="G94" s="316"/>
      <c r="H94" s="316"/>
      <c r="I94" s="316"/>
      <c r="J94" s="316"/>
      <c r="L94" s="314"/>
      <c r="M94" s="314"/>
      <c r="N94" s="314"/>
      <c r="O94" s="314"/>
      <c r="P94" s="314"/>
      <c r="Q94" s="314"/>
      <c r="R94" s="314"/>
      <c r="S94" s="314"/>
      <c r="T94" s="314"/>
      <c r="U94" s="314"/>
      <c r="V94" s="314"/>
    </row>
    <row r="95" spans="1:22" ht="15.6">
      <c r="A95" s="316"/>
      <c r="B95" s="316"/>
      <c r="C95" s="319"/>
      <c r="D95" s="319"/>
      <c r="E95" s="319"/>
      <c r="F95" s="319"/>
      <c r="G95" s="319"/>
      <c r="H95" s="319"/>
      <c r="I95" s="319"/>
      <c r="J95" s="316"/>
      <c r="L95" s="314"/>
      <c r="M95" s="314"/>
      <c r="N95" s="314"/>
      <c r="O95" s="314"/>
      <c r="P95" s="314"/>
      <c r="Q95" s="314"/>
      <c r="R95" s="314"/>
      <c r="S95" s="314"/>
      <c r="T95" s="314"/>
      <c r="U95" s="314"/>
      <c r="V95" s="314"/>
    </row>
    <row r="96" spans="1:22" ht="15.6">
      <c r="A96" s="316"/>
      <c r="B96" s="319" t="s">
        <v>26</v>
      </c>
      <c r="C96" s="318" t="s">
        <v>402</v>
      </c>
      <c r="D96" s="1775" t="s">
        <v>528</v>
      </c>
      <c r="E96" s="1775"/>
      <c r="F96" s="1775"/>
      <c r="G96" s="1775"/>
      <c r="H96" s="1775"/>
      <c r="I96" s="1775"/>
      <c r="J96" s="316"/>
      <c r="L96" s="314"/>
      <c r="M96" s="314"/>
      <c r="N96" s="314"/>
      <c r="O96" s="314"/>
      <c r="P96" s="314"/>
      <c r="Q96" s="314"/>
      <c r="R96" s="314"/>
      <c r="S96" s="314"/>
      <c r="T96" s="314"/>
      <c r="U96" s="314"/>
      <c r="V96" s="314"/>
    </row>
    <row r="97" spans="1:22" ht="15.6">
      <c r="A97" s="316"/>
      <c r="B97" s="316"/>
      <c r="C97" s="316"/>
      <c r="D97" s="316"/>
      <c r="E97" s="316"/>
      <c r="F97" s="316"/>
      <c r="G97" s="316"/>
      <c r="H97" s="316"/>
      <c r="I97" s="316"/>
      <c r="J97" s="316"/>
      <c r="L97" s="314"/>
      <c r="M97" s="314"/>
      <c r="N97" s="314"/>
      <c r="O97" s="314"/>
      <c r="P97" s="314"/>
      <c r="Q97" s="314"/>
      <c r="R97" s="314"/>
      <c r="S97" s="314"/>
      <c r="T97" s="314"/>
      <c r="U97" s="314"/>
      <c r="V97" s="314"/>
    </row>
    <row r="98" spans="1:22" ht="15.6">
      <c r="A98" s="316"/>
      <c r="B98" s="316"/>
      <c r="C98" s="1764" t="s">
        <v>29</v>
      </c>
      <c r="D98" s="1765"/>
      <c r="E98" s="1765"/>
      <c r="F98" s="1765"/>
      <c r="G98" s="1765"/>
      <c r="H98" s="1765"/>
      <c r="I98" s="1766"/>
      <c r="J98" s="316"/>
      <c r="L98" s="314"/>
      <c r="M98" s="314"/>
      <c r="N98" s="314"/>
      <c r="O98" s="314"/>
      <c r="P98" s="314"/>
      <c r="Q98" s="314"/>
      <c r="R98" s="314"/>
      <c r="S98" s="314"/>
      <c r="T98" s="314"/>
      <c r="U98" s="314"/>
      <c r="V98" s="314"/>
    </row>
    <row r="99" spans="1:22" ht="15.6">
      <c r="A99" s="316"/>
      <c r="B99" s="316"/>
      <c r="C99" s="1767"/>
      <c r="D99" s="1768"/>
      <c r="E99" s="1768"/>
      <c r="F99" s="1768"/>
      <c r="G99" s="1768"/>
      <c r="H99" s="1768"/>
      <c r="I99" s="1769"/>
      <c r="J99" s="316"/>
      <c r="L99" s="314"/>
      <c r="M99" s="314"/>
      <c r="N99" s="314"/>
      <c r="O99" s="314"/>
      <c r="P99" s="314"/>
      <c r="Q99" s="314"/>
      <c r="R99" s="314"/>
      <c r="S99" s="314"/>
      <c r="T99" s="314"/>
      <c r="U99" s="314"/>
      <c r="V99" s="314"/>
    </row>
    <row r="100" spans="1:22" ht="15.6">
      <c r="A100" s="316"/>
      <c r="B100" s="316"/>
      <c r="C100" s="316"/>
      <c r="D100" s="316"/>
      <c r="E100" s="316"/>
      <c r="F100" s="316"/>
      <c r="G100" s="316"/>
      <c r="H100" s="316"/>
      <c r="I100" s="316"/>
      <c r="J100" s="316"/>
      <c r="L100" s="314"/>
      <c r="M100" s="314"/>
      <c r="N100" s="314"/>
      <c r="O100" s="314"/>
      <c r="P100" s="314"/>
      <c r="Q100" s="314"/>
      <c r="R100" s="314"/>
      <c r="S100" s="314"/>
      <c r="T100" s="314"/>
      <c r="U100" s="314"/>
      <c r="V100" s="314"/>
    </row>
    <row r="101" spans="1:22" ht="15.75" customHeight="1">
      <c r="A101" s="316"/>
      <c r="B101" s="319" t="s">
        <v>34</v>
      </c>
      <c r="C101" s="318" t="s">
        <v>71</v>
      </c>
      <c r="D101" s="1775" t="s">
        <v>527</v>
      </c>
      <c r="E101" s="1775"/>
      <c r="F101" s="1775"/>
      <c r="G101" s="1775"/>
      <c r="H101" s="1775"/>
      <c r="I101" s="1775"/>
      <c r="J101" s="316"/>
      <c r="L101" s="314"/>
      <c r="M101" s="314"/>
      <c r="N101" s="314"/>
      <c r="O101" s="314"/>
      <c r="P101" s="314"/>
      <c r="Q101" s="314"/>
      <c r="R101" s="314"/>
      <c r="S101" s="314"/>
      <c r="T101" s="314"/>
      <c r="U101" s="314"/>
      <c r="V101" s="314"/>
    </row>
    <row r="102" spans="1:22" ht="15.75" customHeight="1">
      <c r="A102" s="316"/>
      <c r="B102" s="316"/>
      <c r="C102" s="317"/>
      <c r="D102" s="1770"/>
      <c r="E102" s="1770"/>
      <c r="F102" s="316"/>
      <c r="G102" s="316"/>
      <c r="H102" s="316"/>
      <c r="I102" s="316"/>
      <c r="J102" s="316"/>
      <c r="L102" s="314"/>
      <c r="M102" s="314"/>
      <c r="N102" s="314"/>
      <c r="O102" s="314"/>
      <c r="P102" s="314"/>
      <c r="Q102" s="314"/>
      <c r="R102" s="314"/>
      <c r="S102" s="314"/>
      <c r="T102" s="314"/>
      <c r="U102" s="314"/>
      <c r="V102" s="314"/>
    </row>
    <row r="103" spans="1:22" ht="15.75" customHeight="1">
      <c r="A103" s="316"/>
      <c r="B103" s="316"/>
      <c r="C103" s="1764" t="s">
        <v>526</v>
      </c>
      <c r="D103" s="1765"/>
      <c r="E103" s="1765"/>
      <c r="F103" s="1765"/>
      <c r="G103" s="1765"/>
      <c r="H103" s="1765"/>
      <c r="I103" s="1766"/>
      <c r="J103" s="316"/>
      <c r="L103" s="314"/>
      <c r="M103" s="314"/>
      <c r="N103" s="314"/>
      <c r="O103" s="314"/>
      <c r="P103" s="314"/>
      <c r="Q103" s="314"/>
      <c r="R103" s="314"/>
      <c r="S103" s="314"/>
      <c r="T103" s="314"/>
      <c r="U103" s="314"/>
      <c r="V103" s="314"/>
    </row>
    <row r="104" spans="1:22" ht="15.75" customHeight="1">
      <c r="A104" s="316"/>
      <c r="B104" s="316"/>
      <c r="C104" s="1767"/>
      <c r="D104" s="1768"/>
      <c r="E104" s="1768"/>
      <c r="F104" s="1768"/>
      <c r="G104" s="1768"/>
      <c r="H104" s="1768"/>
      <c r="I104" s="1769"/>
      <c r="J104" s="316"/>
      <c r="L104" s="314"/>
      <c r="M104" s="314"/>
      <c r="N104" s="314"/>
      <c r="O104" s="314"/>
      <c r="P104" s="314"/>
      <c r="Q104" s="314"/>
      <c r="R104" s="314"/>
      <c r="S104" s="314"/>
      <c r="T104" s="314"/>
      <c r="U104" s="314"/>
      <c r="V104" s="314"/>
    </row>
    <row r="105" spans="1:22" ht="15.75" customHeight="1">
      <c r="A105" s="316"/>
      <c r="B105" s="316"/>
      <c r="C105" s="317"/>
      <c r="D105" s="1770"/>
      <c r="E105" s="1770"/>
      <c r="F105" s="316"/>
      <c r="G105" s="316"/>
      <c r="H105" s="316"/>
      <c r="I105" s="316"/>
      <c r="J105" s="316"/>
      <c r="L105" s="314"/>
      <c r="M105" s="314"/>
      <c r="N105" s="314"/>
      <c r="O105" s="314"/>
      <c r="P105" s="314"/>
      <c r="Q105" s="314"/>
      <c r="R105" s="314"/>
      <c r="S105" s="314"/>
      <c r="T105" s="314"/>
      <c r="U105" s="314"/>
      <c r="V105" s="314"/>
    </row>
    <row r="106" spans="1:22" ht="15.6">
      <c r="A106" s="315"/>
      <c r="B106" s="315"/>
      <c r="C106" s="315"/>
      <c r="D106" s="1771"/>
      <c r="E106" s="1771"/>
      <c r="F106" s="315"/>
      <c r="G106" s="315"/>
      <c r="H106" s="315"/>
      <c r="I106" s="315"/>
      <c r="J106" s="315"/>
      <c r="L106" s="314"/>
      <c r="M106" s="314"/>
      <c r="N106" s="314"/>
      <c r="O106" s="314"/>
      <c r="P106" s="314"/>
      <c r="Q106" s="314"/>
      <c r="R106" s="314"/>
      <c r="S106" s="314"/>
      <c r="T106" s="314"/>
      <c r="U106" s="314"/>
      <c r="V106" s="314"/>
    </row>
    <row r="107" spans="1:22" ht="15.6">
      <c r="A107" s="315"/>
      <c r="B107" s="315"/>
      <c r="C107" s="315"/>
      <c r="D107" s="315"/>
      <c r="E107" s="315"/>
      <c r="F107" s="315"/>
      <c r="G107" s="315"/>
      <c r="H107" s="315"/>
      <c r="I107" s="315"/>
      <c r="J107" s="315"/>
      <c r="L107" s="314"/>
      <c r="M107" s="314"/>
      <c r="N107" s="314"/>
      <c r="O107" s="314"/>
      <c r="P107" s="314"/>
      <c r="Q107" s="314"/>
      <c r="R107" s="314"/>
      <c r="S107" s="314"/>
      <c r="T107" s="314"/>
      <c r="U107" s="314"/>
      <c r="V107" s="314"/>
    </row>
    <row r="108" spans="1:22" ht="15.6">
      <c r="A108" s="315"/>
      <c r="B108" s="315"/>
      <c r="C108" s="315"/>
      <c r="D108" s="315"/>
      <c r="E108" s="315"/>
      <c r="F108" s="315"/>
      <c r="G108" s="315"/>
      <c r="H108" s="315"/>
      <c r="I108" s="315"/>
      <c r="J108" s="315"/>
      <c r="L108" s="314"/>
      <c r="M108" s="314"/>
      <c r="N108" s="314"/>
      <c r="O108" s="314"/>
      <c r="P108" s="314"/>
      <c r="Q108" s="314"/>
      <c r="R108" s="314"/>
      <c r="S108" s="314"/>
      <c r="T108" s="314"/>
      <c r="U108" s="314"/>
      <c r="V108" s="314"/>
    </row>
    <row r="109" spans="1:22" ht="15.6">
      <c r="A109" s="315"/>
      <c r="B109" s="315"/>
      <c r="C109" s="315"/>
      <c r="D109" s="315"/>
      <c r="E109" s="315"/>
      <c r="F109" s="315"/>
      <c r="G109" s="315"/>
      <c r="H109" s="315"/>
      <c r="I109" s="315"/>
      <c r="J109" s="315"/>
      <c r="L109" s="314"/>
      <c r="M109" s="314"/>
      <c r="N109" s="314"/>
      <c r="O109" s="314"/>
      <c r="P109" s="314"/>
      <c r="Q109" s="314"/>
      <c r="R109" s="314"/>
      <c r="S109" s="314"/>
      <c r="T109" s="314"/>
      <c r="U109" s="314"/>
      <c r="V109" s="314"/>
    </row>
    <row r="110" spans="1:22" ht="15.6">
      <c r="A110" s="315"/>
      <c r="B110" s="315"/>
      <c r="C110" s="315"/>
      <c r="D110" s="315"/>
      <c r="E110" s="315"/>
      <c r="F110" s="315"/>
      <c r="G110" s="315"/>
      <c r="H110" s="315"/>
      <c r="I110" s="315"/>
      <c r="J110" s="315"/>
      <c r="L110" s="314"/>
      <c r="M110" s="314"/>
      <c r="N110" s="314"/>
      <c r="O110" s="314"/>
      <c r="P110" s="314"/>
      <c r="Q110" s="314"/>
      <c r="R110" s="314"/>
      <c r="S110" s="314"/>
      <c r="T110" s="314"/>
      <c r="U110" s="314"/>
      <c r="V110" s="314"/>
    </row>
    <row r="111" spans="1:22" ht="15.75" customHeight="1">
      <c r="A111" s="315"/>
      <c r="B111" s="315"/>
      <c r="C111" s="315"/>
      <c r="D111" s="315"/>
      <c r="E111" s="315"/>
      <c r="F111" s="315"/>
      <c r="G111" s="315"/>
      <c r="H111" s="315"/>
      <c r="I111" s="315"/>
      <c r="J111" s="315"/>
      <c r="L111" s="314"/>
      <c r="M111" s="314"/>
      <c r="N111" s="314"/>
      <c r="O111" s="314"/>
      <c r="P111" s="314"/>
      <c r="Q111" s="314"/>
      <c r="R111" s="314"/>
      <c r="S111" s="314"/>
      <c r="T111" s="314"/>
      <c r="U111" s="314"/>
      <c r="V111" s="314"/>
    </row>
    <row r="112" spans="1:22" ht="15.6">
      <c r="A112" s="315"/>
      <c r="B112" s="315"/>
      <c r="C112" s="315"/>
      <c r="D112" s="315"/>
      <c r="E112" s="315"/>
      <c r="F112" s="315"/>
      <c r="G112" s="315"/>
      <c r="H112" s="315"/>
      <c r="I112" s="315"/>
      <c r="J112" s="315"/>
      <c r="L112" s="314"/>
      <c r="M112" s="314"/>
      <c r="N112" s="314"/>
      <c r="O112" s="314"/>
      <c r="P112" s="314"/>
      <c r="Q112" s="314"/>
      <c r="R112" s="314"/>
      <c r="S112" s="314"/>
      <c r="T112" s="314"/>
      <c r="U112" s="314"/>
      <c r="V112" s="314"/>
    </row>
    <row r="113" spans="1:22" ht="15.6">
      <c r="A113" s="315"/>
      <c r="B113" s="315"/>
      <c r="C113" s="315"/>
      <c r="D113" s="315"/>
      <c r="E113" s="315"/>
      <c r="F113" s="315"/>
      <c r="G113" s="315"/>
      <c r="H113" s="315"/>
      <c r="I113" s="315"/>
      <c r="J113" s="315"/>
      <c r="L113" s="314"/>
      <c r="M113" s="314"/>
      <c r="N113" s="314"/>
      <c r="O113" s="314"/>
      <c r="P113" s="314"/>
      <c r="Q113" s="314"/>
      <c r="R113" s="314"/>
      <c r="S113" s="314"/>
      <c r="T113" s="314"/>
      <c r="U113" s="314"/>
      <c r="V113" s="314"/>
    </row>
    <row r="114" spans="1:22" ht="15.6">
      <c r="A114" s="315"/>
      <c r="B114" s="315"/>
      <c r="C114" s="315"/>
      <c r="D114" s="315"/>
      <c r="E114" s="315"/>
      <c r="F114" s="315"/>
      <c r="G114" s="315"/>
      <c r="H114" s="315"/>
      <c r="I114" s="315"/>
      <c r="J114" s="315"/>
      <c r="L114" s="314"/>
      <c r="M114" s="314"/>
      <c r="N114" s="314"/>
      <c r="O114" s="314"/>
      <c r="P114" s="314"/>
      <c r="Q114" s="314"/>
      <c r="R114" s="314"/>
      <c r="S114" s="314"/>
      <c r="T114" s="314"/>
      <c r="U114" s="314"/>
      <c r="V114" s="314"/>
    </row>
    <row r="115" spans="1:22" ht="15.6">
      <c r="A115" s="315"/>
      <c r="B115" s="315"/>
      <c r="C115" s="315"/>
      <c r="D115" s="315"/>
      <c r="E115" s="315"/>
      <c r="F115" s="315"/>
      <c r="G115" s="315"/>
      <c r="H115" s="315"/>
      <c r="I115" s="315"/>
      <c r="J115" s="315"/>
      <c r="L115" s="314"/>
      <c r="M115" s="314"/>
      <c r="N115" s="314"/>
      <c r="O115" s="314"/>
      <c r="P115" s="314"/>
      <c r="Q115" s="314"/>
      <c r="R115" s="314"/>
      <c r="S115" s="314"/>
      <c r="T115" s="314"/>
      <c r="U115" s="314"/>
      <c r="V115" s="314"/>
    </row>
    <row r="116" spans="1:22" ht="15.6">
      <c r="A116" s="315"/>
      <c r="B116" s="315"/>
      <c r="C116" s="315"/>
      <c r="D116" s="315"/>
      <c r="E116" s="315"/>
      <c r="F116" s="315"/>
      <c r="G116" s="315"/>
      <c r="H116" s="315"/>
      <c r="I116" s="315"/>
      <c r="J116" s="315"/>
      <c r="L116" s="314"/>
      <c r="M116" s="314"/>
      <c r="N116" s="314"/>
      <c r="O116" s="314"/>
      <c r="P116" s="314"/>
      <c r="Q116" s="314"/>
      <c r="R116" s="314"/>
      <c r="S116" s="314"/>
      <c r="T116" s="314"/>
      <c r="U116" s="314"/>
      <c r="V116" s="314"/>
    </row>
    <row r="117" spans="1:22" ht="15.6">
      <c r="A117" s="315"/>
      <c r="B117" s="315"/>
      <c r="C117" s="315"/>
      <c r="D117" s="315"/>
      <c r="E117" s="315"/>
      <c r="F117" s="315"/>
      <c r="G117" s="315"/>
      <c r="H117" s="315"/>
      <c r="I117" s="315"/>
      <c r="J117" s="315"/>
      <c r="K117" s="314"/>
      <c r="L117" s="314"/>
      <c r="M117" s="314"/>
      <c r="N117" s="314"/>
      <c r="O117" s="314"/>
      <c r="P117" s="314"/>
      <c r="Q117" s="314"/>
      <c r="R117" s="314"/>
      <c r="S117" s="314"/>
      <c r="T117" s="314"/>
      <c r="U117" s="314"/>
      <c r="V117" s="314"/>
    </row>
    <row r="118" spans="1:22" ht="15.6">
      <c r="A118" s="315"/>
      <c r="B118" s="315"/>
      <c r="C118" s="315"/>
      <c r="D118" s="315"/>
      <c r="E118" s="315"/>
      <c r="F118" s="315"/>
      <c r="G118" s="315"/>
      <c r="H118" s="315"/>
      <c r="I118" s="315"/>
      <c r="J118" s="315"/>
      <c r="K118" s="314"/>
      <c r="L118" s="314"/>
      <c r="M118" s="314"/>
      <c r="N118" s="314"/>
      <c r="O118" s="314"/>
      <c r="P118" s="314"/>
      <c r="Q118" s="314"/>
      <c r="R118" s="314"/>
      <c r="S118" s="314"/>
      <c r="T118" s="314"/>
      <c r="U118" s="314"/>
      <c r="V118" s="314"/>
    </row>
    <row r="119" spans="1:22" ht="15.6">
      <c r="A119" s="315"/>
      <c r="B119" s="315"/>
      <c r="C119" s="315"/>
      <c r="D119" s="315"/>
      <c r="E119" s="315"/>
      <c r="F119" s="315"/>
      <c r="G119" s="315"/>
      <c r="H119" s="315"/>
      <c r="I119" s="315"/>
      <c r="J119" s="315"/>
      <c r="K119" s="314"/>
      <c r="L119" s="314"/>
      <c r="M119" s="314"/>
      <c r="N119" s="314"/>
      <c r="O119" s="314"/>
      <c r="P119" s="314"/>
      <c r="Q119" s="314"/>
      <c r="R119" s="314"/>
      <c r="S119" s="314"/>
      <c r="T119" s="314"/>
      <c r="U119" s="314"/>
      <c r="V119" s="314"/>
    </row>
    <row r="120" spans="1:22" ht="15.6">
      <c r="A120" s="315"/>
      <c r="B120" s="315"/>
      <c r="C120" s="315"/>
      <c r="D120" s="315"/>
      <c r="E120" s="315"/>
      <c r="F120" s="315"/>
      <c r="G120" s="315"/>
      <c r="H120" s="315"/>
      <c r="I120" s="315"/>
      <c r="J120" s="315"/>
      <c r="K120" s="314"/>
      <c r="L120" s="314"/>
      <c r="M120" s="314"/>
      <c r="N120" s="314"/>
      <c r="O120" s="314"/>
      <c r="P120" s="314"/>
      <c r="Q120" s="314"/>
      <c r="R120" s="314"/>
      <c r="S120" s="314"/>
      <c r="T120" s="314"/>
      <c r="U120" s="314"/>
      <c r="V120" s="314"/>
    </row>
    <row r="121" spans="1:22" ht="15.6">
      <c r="A121" s="315"/>
      <c r="B121" s="315"/>
      <c r="C121" s="315"/>
      <c r="D121" s="315"/>
      <c r="E121" s="315"/>
      <c r="F121" s="315"/>
      <c r="G121" s="315"/>
      <c r="H121" s="315"/>
      <c r="I121" s="315"/>
      <c r="J121" s="315"/>
      <c r="K121" s="314"/>
      <c r="L121" s="314"/>
      <c r="M121" s="314"/>
      <c r="N121" s="314"/>
      <c r="O121" s="314"/>
      <c r="P121" s="314"/>
      <c r="Q121" s="314"/>
      <c r="R121" s="314"/>
      <c r="S121" s="314"/>
      <c r="T121" s="314"/>
      <c r="U121" s="314"/>
      <c r="V121" s="314"/>
    </row>
    <row r="122" spans="1:22" ht="15.6">
      <c r="A122" s="315"/>
      <c r="B122" s="315"/>
      <c r="C122" s="315"/>
      <c r="D122" s="315"/>
      <c r="E122" s="315"/>
      <c r="F122" s="315"/>
      <c r="G122" s="315"/>
      <c r="H122" s="315"/>
      <c r="I122" s="315"/>
      <c r="J122" s="315"/>
      <c r="K122" s="314"/>
      <c r="L122" s="314"/>
      <c r="M122" s="314"/>
      <c r="N122" s="314"/>
      <c r="O122" s="314"/>
      <c r="P122" s="314"/>
      <c r="Q122" s="314"/>
      <c r="R122" s="314"/>
      <c r="S122" s="314"/>
      <c r="T122" s="314"/>
      <c r="U122" s="314"/>
      <c r="V122" s="314"/>
    </row>
    <row r="123" spans="1:22" ht="15.6">
      <c r="A123" s="315"/>
      <c r="B123" s="315"/>
      <c r="C123" s="315"/>
      <c r="D123" s="315"/>
      <c r="E123" s="315"/>
      <c r="F123" s="315"/>
      <c r="G123" s="315"/>
      <c r="H123" s="315"/>
      <c r="I123" s="315"/>
      <c r="J123" s="315"/>
      <c r="K123" s="314"/>
      <c r="L123" s="314"/>
      <c r="M123" s="314"/>
      <c r="N123" s="314"/>
      <c r="O123" s="314"/>
      <c r="P123" s="314"/>
      <c r="Q123" s="314"/>
      <c r="R123" s="314"/>
      <c r="S123" s="314"/>
      <c r="T123" s="314"/>
      <c r="U123" s="314"/>
      <c r="V123" s="314"/>
    </row>
    <row r="124" spans="1:22" ht="15.6">
      <c r="A124" s="315"/>
      <c r="B124" s="315"/>
      <c r="C124" s="315"/>
      <c r="D124" s="315"/>
      <c r="E124" s="315"/>
      <c r="F124" s="315"/>
      <c r="G124" s="315"/>
      <c r="H124" s="315"/>
      <c r="I124" s="315"/>
      <c r="J124" s="315"/>
      <c r="K124" s="314"/>
      <c r="L124" s="314"/>
      <c r="M124" s="314"/>
      <c r="N124" s="314"/>
      <c r="O124" s="314"/>
      <c r="P124" s="314"/>
      <c r="Q124" s="314"/>
      <c r="R124" s="314"/>
      <c r="S124" s="314"/>
      <c r="T124" s="314"/>
      <c r="U124" s="314"/>
      <c r="V124" s="314"/>
    </row>
    <row r="125" spans="1:22" ht="15.6">
      <c r="A125" s="315"/>
      <c r="B125" s="315"/>
      <c r="C125" s="315"/>
      <c r="D125" s="315"/>
      <c r="E125" s="315"/>
      <c r="F125" s="315"/>
      <c r="G125" s="315"/>
      <c r="H125" s="315"/>
      <c r="I125" s="315"/>
      <c r="J125" s="315"/>
      <c r="K125" s="314"/>
      <c r="L125" s="314"/>
      <c r="M125" s="314"/>
      <c r="N125" s="314"/>
      <c r="O125" s="314"/>
      <c r="P125" s="314"/>
      <c r="Q125" s="314"/>
      <c r="R125" s="314"/>
      <c r="S125" s="314"/>
      <c r="T125" s="314"/>
      <c r="U125" s="314"/>
      <c r="V125" s="314"/>
    </row>
    <row r="126" spans="1:22" ht="15.6">
      <c r="A126" s="315"/>
      <c r="B126" s="315"/>
      <c r="C126" s="315"/>
      <c r="D126" s="315"/>
      <c r="E126" s="315"/>
      <c r="F126" s="315"/>
      <c r="G126" s="315"/>
      <c r="H126" s="315"/>
      <c r="I126" s="315"/>
      <c r="J126" s="315"/>
      <c r="K126" s="314"/>
      <c r="L126" s="314"/>
      <c r="M126" s="314"/>
      <c r="N126" s="314"/>
      <c r="O126" s="314"/>
      <c r="P126" s="314"/>
      <c r="Q126" s="314"/>
      <c r="R126" s="314"/>
      <c r="S126" s="314"/>
      <c r="T126" s="314"/>
      <c r="U126" s="314"/>
      <c r="V126" s="314"/>
    </row>
    <row r="127" spans="1:22" ht="15.6">
      <c r="A127" s="315"/>
      <c r="B127" s="315"/>
      <c r="C127" s="315"/>
      <c r="D127" s="315"/>
      <c r="E127" s="315"/>
      <c r="F127" s="315"/>
      <c r="G127" s="315"/>
      <c r="H127" s="315"/>
      <c r="I127" s="315"/>
      <c r="J127" s="315"/>
      <c r="K127" s="314"/>
      <c r="L127" s="314"/>
      <c r="M127" s="314"/>
      <c r="N127" s="314"/>
      <c r="O127" s="314"/>
      <c r="P127" s="314"/>
      <c r="Q127" s="314"/>
      <c r="R127" s="314"/>
      <c r="S127" s="314"/>
      <c r="T127" s="314"/>
      <c r="U127" s="314"/>
      <c r="V127" s="314"/>
    </row>
    <row r="128" spans="1:22" ht="15.6">
      <c r="A128" s="315"/>
      <c r="B128" s="315"/>
      <c r="C128" s="315"/>
      <c r="D128" s="315"/>
      <c r="E128" s="315"/>
      <c r="F128" s="315"/>
      <c r="G128" s="315"/>
      <c r="H128" s="315"/>
      <c r="I128" s="315"/>
      <c r="J128" s="315"/>
      <c r="K128" s="314"/>
      <c r="L128" s="314"/>
      <c r="M128" s="314"/>
      <c r="N128" s="314"/>
      <c r="O128" s="314"/>
      <c r="P128" s="314"/>
      <c r="Q128" s="314"/>
      <c r="R128" s="314"/>
      <c r="S128" s="314"/>
      <c r="T128" s="314"/>
      <c r="U128" s="314"/>
      <c r="V128" s="314"/>
    </row>
    <row r="129" spans="1:22" ht="15.6">
      <c r="A129" s="315"/>
      <c r="B129" s="315"/>
      <c r="C129" s="315"/>
      <c r="D129" s="315"/>
      <c r="E129" s="315"/>
      <c r="F129" s="315"/>
      <c r="G129" s="315"/>
      <c r="H129" s="315"/>
      <c r="I129" s="315"/>
      <c r="J129" s="315"/>
      <c r="K129" s="314"/>
      <c r="L129" s="314"/>
      <c r="M129" s="314"/>
      <c r="N129" s="314"/>
      <c r="O129" s="314"/>
      <c r="P129" s="314"/>
      <c r="Q129" s="314"/>
      <c r="R129" s="314"/>
      <c r="S129" s="314"/>
      <c r="T129" s="314"/>
      <c r="U129" s="314"/>
      <c r="V129" s="314"/>
    </row>
    <row r="130" spans="1:22" ht="15.6">
      <c r="A130" s="315"/>
      <c r="B130" s="315"/>
      <c r="C130" s="315"/>
      <c r="D130" s="315"/>
      <c r="E130" s="315"/>
      <c r="F130" s="315"/>
      <c r="G130" s="315"/>
      <c r="H130" s="315"/>
      <c r="I130" s="315"/>
      <c r="J130" s="315"/>
      <c r="K130" s="314"/>
      <c r="L130" s="314"/>
      <c r="M130" s="314"/>
      <c r="N130" s="314"/>
      <c r="O130" s="314"/>
      <c r="P130" s="314"/>
      <c r="Q130" s="314"/>
      <c r="R130" s="314"/>
      <c r="S130" s="314"/>
      <c r="T130" s="314"/>
      <c r="U130" s="314"/>
      <c r="V130" s="314"/>
    </row>
    <row r="131" spans="1:22" ht="15.6">
      <c r="A131" s="315"/>
      <c r="B131" s="315"/>
      <c r="C131" s="315"/>
      <c r="D131" s="315"/>
      <c r="E131" s="315"/>
      <c r="F131" s="315"/>
      <c r="G131" s="315"/>
      <c r="H131" s="315"/>
      <c r="I131" s="315"/>
      <c r="J131" s="315"/>
      <c r="K131" s="314"/>
      <c r="L131" s="314"/>
      <c r="M131" s="314"/>
      <c r="N131" s="314"/>
      <c r="O131" s="314"/>
      <c r="P131" s="314"/>
      <c r="Q131" s="314"/>
      <c r="R131" s="314"/>
      <c r="S131" s="314"/>
      <c r="T131" s="314"/>
      <c r="U131" s="314"/>
      <c r="V131" s="314"/>
    </row>
    <row r="132" spans="1:22">
      <c r="K132" s="314"/>
      <c r="L132" s="314"/>
      <c r="M132" s="314"/>
      <c r="N132" s="314"/>
      <c r="O132" s="314"/>
      <c r="P132" s="314"/>
      <c r="Q132" s="314"/>
      <c r="R132" s="314"/>
      <c r="S132" s="314"/>
      <c r="T132" s="314"/>
      <c r="U132" s="314"/>
      <c r="V132" s="314"/>
    </row>
    <row r="133" spans="1:22">
      <c r="K133" s="314"/>
      <c r="L133" s="314"/>
      <c r="M133" s="314"/>
      <c r="N133" s="314"/>
      <c r="O133" s="314"/>
      <c r="P133" s="314"/>
      <c r="Q133" s="314"/>
      <c r="R133" s="314"/>
      <c r="S133" s="314"/>
      <c r="T133" s="314"/>
      <c r="U133" s="314"/>
      <c r="V133" s="314"/>
    </row>
    <row r="134" spans="1:22">
      <c r="K134" s="314"/>
      <c r="L134" s="314"/>
      <c r="M134" s="314"/>
      <c r="N134" s="314"/>
      <c r="O134" s="314"/>
      <c r="P134" s="314"/>
      <c r="Q134" s="314"/>
      <c r="R134" s="314"/>
      <c r="S134" s="314"/>
      <c r="T134" s="314"/>
      <c r="U134" s="314"/>
      <c r="V134" s="314"/>
    </row>
    <row r="135" spans="1:22">
      <c r="K135" s="314"/>
      <c r="L135" s="314"/>
      <c r="M135" s="314"/>
      <c r="N135" s="314"/>
      <c r="O135" s="314"/>
      <c r="P135" s="314"/>
      <c r="Q135" s="314"/>
      <c r="R135" s="314"/>
      <c r="S135" s="314"/>
      <c r="T135" s="314"/>
      <c r="U135" s="314"/>
      <c r="V135" s="314"/>
    </row>
    <row r="136" spans="1:22">
      <c r="K136" s="314"/>
      <c r="L136" s="314"/>
      <c r="M136" s="314"/>
      <c r="N136" s="314"/>
      <c r="O136" s="314"/>
      <c r="P136" s="314"/>
      <c r="Q136" s="314"/>
      <c r="R136" s="314"/>
      <c r="S136" s="314"/>
      <c r="T136" s="314"/>
      <c r="U136" s="314"/>
      <c r="V136" s="314"/>
    </row>
    <row r="137" spans="1:22">
      <c r="K137" s="314"/>
      <c r="L137" s="314"/>
      <c r="M137" s="314"/>
      <c r="N137" s="314"/>
      <c r="O137" s="314"/>
      <c r="P137" s="314"/>
      <c r="Q137" s="314"/>
      <c r="R137" s="314"/>
      <c r="S137" s="314"/>
      <c r="T137" s="314"/>
      <c r="U137" s="314"/>
      <c r="V137" s="314"/>
    </row>
    <row r="138" spans="1:22">
      <c r="K138" s="314"/>
      <c r="L138" s="314"/>
      <c r="M138" s="314"/>
      <c r="N138" s="314"/>
      <c r="O138" s="314"/>
      <c r="P138" s="314"/>
      <c r="Q138" s="314"/>
      <c r="R138" s="314"/>
      <c r="S138" s="314"/>
      <c r="T138" s="314"/>
      <c r="U138" s="314"/>
      <c r="V138" s="314"/>
    </row>
    <row r="139" spans="1:22">
      <c r="K139" s="314"/>
      <c r="L139" s="314"/>
      <c r="M139" s="314"/>
      <c r="N139" s="314"/>
      <c r="O139" s="314"/>
      <c r="P139" s="314"/>
      <c r="Q139" s="314"/>
      <c r="R139" s="314"/>
      <c r="S139" s="314"/>
      <c r="T139" s="314"/>
      <c r="U139" s="314"/>
      <c r="V139" s="314"/>
    </row>
    <row r="140" spans="1:22">
      <c r="K140" s="314"/>
      <c r="L140" s="314"/>
      <c r="M140" s="314"/>
      <c r="N140" s="314"/>
      <c r="O140" s="314"/>
      <c r="P140" s="314"/>
      <c r="Q140" s="314"/>
      <c r="R140" s="314"/>
      <c r="S140" s="314"/>
      <c r="T140" s="314"/>
      <c r="U140" s="314"/>
      <c r="V140" s="314"/>
    </row>
    <row r="141" spans="1:22">
      <c r="K141" s="314"/>
      <c r="L141" s="314"/>
      <c r="M141" s="314"/>
      <c r="N141" s="314"/>
      <c r="O141" s="314"/>
      <c r="P141" s="314"/>
      <c r="Q141" s="314"/>
      <c r="R141" s="314"/>
      <c r="S141" s="314"/>
      <c r="T141" s="314"/>
      <c r="U141" s="314"/>
      <c r="V141" s="314"/>
    </row>
    <row r="142" spans="1:22">
      <c r="K142" s="314"/>
      <c r="L142" s="314"/>
      <c r="M142" s="314"/>
      <c r="N142" s="314"/>
      <c r="O142" s="314"/>
      <c r="P142" s="314"/>
      <c r="Q142" s="314"/>
      <c r="R142" s="314"/>
      <c r="S142" s="314"/>
      <c r="T142" s="314"/>
      <c r="U142" s="314"/>
      <c r="V142" s="314"/>
    </row>
    <row r="143" spans="1:22">
      <c r="K143" s="314"/>
      <c r="L143" s="314"/>
      <c r="M143" s="314"/>
      <c r="N143" s="314"/>
      <c r="O143" s="314"/>
      <c r="P143" s="314"/>
      <c r="Q143" s="314"/>
      <c r="R143" s="314"/>
      <c r="S143" s="314"/>
      <c r="T143" s="314"/>
      <c r="U143" s="314"/>
      <c r="V143" s="314"/>
    </row>
    <row r="144" spans="1:22">
      <c r="K144" s="314"/>
      <c r="L144" s="314"/>
      <c r="M144" s="314"/>
      <c r="N144" s="314"/>
      <c r="O144" s="314"/>
      <c r="P144" s="314"/>
      <c r="Q144" s="314"/>
      <c r="R144" s="314"/>
      <c r="S144" s="314"/>
      <c r="T144" s="314"/>
      <c r="U144" s="314"/>
      <c r="V144" s="314"/>
    </row>
    <row r="145" spans="11:22">
      <c r="K145" s="314"/>
      <c r="L145" s="314"/>
      <c r="M145" s="314"/>
      <c r="N145" s="314"/>
      <c r="O145" s="314"/>
      <c r="P145" s="314"/>
      <c r="Q145" s="314"/>
      <c r="R145" s="314"/>
      <c r="S145" s="314"/>
      <c r="T145" s="314"/>
      <c r="U145" s="314"/>
      <c r="V145" s="314"/>
    </row>
    <row r="146" spans="11:22">
      <c r="K146" s="314"/>
      <c r="L146" s="314"/>
      <c r="M146" s="314"/>
      <c r="N146" s="314"/>
      <c r="O146" s="314"/>
      <c r="P146" s="314"/>
      <c r="Q146" s="314"/>
      <c r="R146" s="314"/>
      <c r="S146" s="314"/>
      <c r="T146" s="314"/>
      <c r="U146" s="314"/>
      <c r="V146" s="314"/>
    </row>
    <row r="147" spans="11:22">
      <c r="K147" s="314"/>
      <c r="L147" s="314"/>
      <c r="M147" s="314"/>
      <c r="N147" s="314"/>
      <c r="O147" s="314"/>
      <c r="P147" s="314"/>
      <c r="Q147" s="314"/>
      <c r="R147" s="314"/>
      <c r="S147" s="314"/>
      <c r="T147" s="314"/>
      <c r="U147" s="314"/>
      <c r="V147" s="314"/>
    </row>
    <row r="148" spans="11:22">
      <c r="K148" s="314"/>
      <c r="L148" s="314"/>
      <c r="M148" s="314"/>
      <c r="N148" s="314"/>
      <c r="O148" s="314"/>
      <c r="P148" s="314"/>
      <c r="Q148" s="314"/>
      <c r="R148" s="314"/>
      <c r="S148" s="314"/>
      <c r="T148" s="314"/>
      <c r="U148" s="314"/>
      <c r="V148" s="314"/>
    </row>
    <row r="149" spans="11:22">
      <c r="K149" s="314"/>
      <c r="L149" s="314"/>
      <c r="M149" s="314"/>
      <c r="N149" s="314"/>
      <c r="O149" s="314"/>
      <c r="P149" s="314"/>
      <c r="Q149" s="314"/>
      <c r="R149" s="314"/>
      <c r="S149" s="314"/>
      <c r="T149" s="314"/>
      <c r="U149" s="314"/>
      <c r="V149" s="314"/>
    </row>
    <row r="150" spans="11:22">
      <c r="K150" s="314"/>
      <c r="L150" s="314"/>
      <c r="M150" s="314"/>
      <c r="N150" s="314"/>
      <c r="O150" s="314"/>
      <c r="P150" s="314"/>
      <c r="Q150" s="314"/>
      <c r="R150" s="314"/>
      <c r="S150" s="314"/>
      <c r="T150" s="314"/>
      <c r="U150" s="314"/>
      <c r="V150" s="314"/>
    </row>
    <row r="151" spans="11:22">
      <c r="K151" s="314"/>
      <c r="L151" s="314"/>
      <c r="M151" s="314"/>
      <c r="N151" s="314"/>
      <c r="O151" s="314"/>
      <c r="P151" s="314"/>
      <c r="Q151" s="314"/>
      <c r="R151" s="314"/>
      <c r="S151" s="314"/>
      <c r="T151" s="314"/>
      <c r="U151" s="314"/>
      <c r="V151" s="314"/>
    </row>
    <row r="152" spans="11:22">
      <c r="K152" s="314"/>
      <c r="L152" s="314"/>
      <c r="M152" s="314"/>
      <c r="N152" s="314"/>
      <c r="O152" s="314"/>
      <c r="P152" s="314"/>
      <c r="Q152" s="314"/>
      <c r="R152" s="314"/>
      <c r="S152" s="314"/>
      <c r="T152" s="314"/>
      <c r="U152" s="314"/>
      <c r="V152" s="314"/>
    </row>
    <row r="153" spans="11:22">
      <c r="K153" s="314"/>
      <c r="L153" s="314"/>
      <c r="M153" s="314"/>
      <c r="N153" s="314"/>
      <c r="O153" s="314"/>
      <c r="P153" s="314"/>
      <c r="Q153" s="314"/>
      <c r="R153" s="314"/>
      <c r="S153" s="314"/>
      <c r="T153" s="314"/>
      <c r="U153" s="314"/>
      <c r="V153" s="314"/>
    </row>
    <row r="154" spans="11:22">
      <c r="K154" s="314"/>
      <c r="L154" s="314"/>
      <c r="M154" s="314"/>
      <c r="N154" s="314"/>
      <c r="O154" s="314"/>
      <c r="P154" s="314"/>
      <c r="Q154" s="314"/>
      <c r="R154" s="314"/>
      <c r="S154" s="314"/>
      <c r="T154" s="314"/>
      <c r="U154" s="314"/>
      <c r="V154" s="314"/>
    </row>
    <row r="155" spans="11:22">
      <c r="K155" s="314"/>
      <c r="L155" s="314"/>
      <c r="M155" s="314"/>
      <c r="N155" s="314"/>
      <c r="O155" s="314"/>
      <c r="P155" s="314"/>
      <c r="Q155" s="314"/>
      <c r="R155" s="314"/>
      <c r="S155" s="314"/>
      <c r="T155" s="314"/>
      <c r="U155" s="314"/>
      <c r="V155" s="314"/>
    </row>
    <row r="156" spans="11:22">
      <c r="K156" s="314"/>
      <c r="L156" s="314"/>
      <c r="M156" s="314"/>
      <c r="N156" s="314"/>
      <c r="O156" s="314"/>
      <c r="P156" s="314"/>
      <c r="Q156" s="314"/>
      <c r="R156" s="314"/>
      <c r="S156" s="314"/>
      <c r="T156" s="314"/>
      <c r="U156" s="314"/>
      <c r="V156" s="314"/>
    </row>
    <row r="157" spans="11:22">
      <c r="K157" s="314"/>
      <c r="L157" s="314"/>
      <c r="M157" s="314"/>
      <c r="N157" s="314"/>
      <c r="O157" s="314"/>
      <c r="P157" s="314"/>
      <c r="Q157" s="314"/>
      <c r="R157" s="314"/>
      <c r="S157" s="314"/>
      <c r="T157" s="314"/>
      <c r="U157" s="314"/>
      <c r="V157" s="314"/>
    </row>
    <row r="158" spans="11:22">
      <c r="K158" s="314"/>
      <c r="L158" s="314"/>
      <c r="M158" s="314"/>
      <c r="N158" s="314"/>
      <c r="O158" s="314"/>
      <c r="P158" s="314"/>
      <c r="Q158" s="314"/>
      <c r="R158" s="314"/>
      <c r="S158" s="314"/>
      <c r="T158" s="314"/>
      <c r="U158" s="314"/>
      <c r="V158" s="314"/>
    </row>
    <row r="159" spans="11:22">
      <c r="K159" s="314"/>
      <c r="L159" s="314"/>
      <c r="M159" s="314"/>
      <c r="N159" s="314"/>
      <c r="O159" s="314"/>
      <c r="P159" s="314"/>
      <c r="Q159" s="314"/>
      <c r="R159" s="314"/>
      <c r="S159" s="314"/>
      <c r="T159" s="314"/>
      <c r="U159" s="314"/>
      <c r="V159" s="314"/>
    </row>
    <row r="160" spans="11:22">
      <c r="K160" s="314"/>
      <c r="L160" s="314"/>
      <c r="M160" s="314"/>
      <c r="N160" s="314"/>
      <c r="O160" s="314"/>
      <c r="P160" s="314"/>
      <c r="Q160" s="314"/>
      <c r="R160" s="314"/>
      <c r="S160" s="314"/>
      <c r="T160" s="314"/>
      <c r="U160" s="314"/>
      <c r="V160" s="314"/>
    </row>
    <row r="161" spans="11:22">
      <c r="K161" s="314"/>
      <c r="L161" s="314"/>
      <c r="M161" s="314"/>
      <c r="N161" s="314"/>
      <c r="O161" s="314"/>
      <c r="P161" s="314"/>
      <c r="Q161" s="314"/>
      <c r="R161" s="314"/>
      <c r="S161" s="314"/>
      <c r="T161" s="314"/>
      <c r="U161" s="314"/>
      <c r="V161" s="314"/>
    </row>
    <row r="162" spans="11:22">
      <c r="K162" s="314"/>
      <c r="L162" s="314"/>
      <c r="M162" s="314"/>
      <c r="N162" s="314"/>
      <c r="O162" s="314"/>
      <c r="P162" s="314"/>
      <c r="Q162" s="314"/>
      <c r="R162" s="314"/>
      <c r="S162" s="314"/>
      <c r="T162" s="314"/>
      <c r="U162" s="314"/>
      <c r="V162" s="314"/>
    </row>
    <row r="163" spans="11:22">
      <c r="K163" s="314"/>
      <c r="L163" s="314"/>
      <c r="M163" s="314"/>
      <c r="N163" s="314"/>
      <c r="O163" s="314"/>
      <c r="P163" s="314"/>
      <c r="Q163" s="314"/>
      <c r="R163" s="314"/>
      <c r="S163" s="314"/>
      <c r="T163" s="314"/>
      <c r="U163" s="314"/>
      <c r="V163" s="314"/>
    </row>
    <row r="164" spans="11:22">
      <c r="K164" s="314"/>
      <c r="L164" s="314"/>
      <c r="M164" s="314"/>
      <c r="N164" s="314"/>
      <c r="O164" s="314"/>
      <c r="P164" s="314"/>
      <c r="Q164" s="314"/>
      <c r="R164" s="314"/>
      <c r="S164" s="314"/>
      <c r="T164" s="314"/>
      <c r="U164" s="314"/>
      <c r="V164" s="314"/>
    </row>
    <row r="165" spans="11:22">
      <c r="K165" s="314"/>
      <c r="L165" s="314"/>
      <c r="M165" s="314"/>
      <c r="N165" s="314"/>
      <c r="O165" s="314"/>
      <c r="P165" s="314"/>
      <c r="Q165" s="314"/>
      <c r="R165" s="314"/>
      <c r="S165" s="314"/>
      <c r="T165" s="314"/>
      <c r="U165" s="314"/>
      <c r="V165" s="314"/>
    </row>
    <row r="166" spans="11:22">
      <c r="K166" s="314"/>
      <c r="L166" s="314"/>
      <c r="M166" s="314"/>
      <c r="N166" s="314"/>
      <c r="O166" s="314"/>
      <c r="P166" s="314"/>
      <c r="Q166" s="314"/>
      <c r="R166" s="314"/>
      <c r="S166" s="314"/>
      <c r="T166" s="314"/>
      <c r="U166" s="314"/>
      <c r="V166" s="314"/>
    </row>
    <row r="167" spans="11:22">
      <c r="K167" s="314"/>
      <c r="L167" s="314"/>
      <c r="M167" s="314"/>
      <c r="N167" s="314"/>
      <c r="O167" s="314"/>
      <c r="P167" s="314"/>
      <c r="Q167" s="314"/>
      <c r="R167" s="314"/>
      <c r="S167" s="314"/>
      <c r="T167" s="314"/>
      <c r="U167" s="314"/>
      <c r="V167" s="314"/>
    </row>
    <row r="168" spans="11:22">
      <c r="K168" s="314"/>
      <c r="L168" s="314"/>
      <c r="M168" s="314"/>
      <c r="N168" s="314"/>
      <c r="O168" s="314"/>
      <c r="P168" s="314"/>
      <c r="Q168" s="314"/>
      <c r="R168" s="314"/>
      <c r="S168" s="314"/>
      <c r="T168" s="314"/>
      <c r="U168" s="314"/>
      <c r="V168" s="314"/>
    </row>
    <row r="169" spans="11:22">
      <c r="K169" s="314"/>
      <c r="L169" s="314"/>
      <c r="M169" s="314"/>
      <c r="N169" s="314"/>
      <c r="O169" s="314"/>
      <c r="P169" s="314"/>
      <c r="Q169" s="314"/>
      <c r="R169" s="314"/>
      <c r="S169" s="314"/>
      <c r="T169" s="314"/>
      <c r="U169" s="314"/>
      <c r="V169" s="314"/>
    </row>
    <row r="170" spans="11:22">
      <c r="K170" s="314"/>
      <c r="L170" s="314"/>
      <c r="M170" s="314"/>
      <c r="N170" s="314"/>
      <c r="O170" s="314"/>
      <c r="P170" s="314"/>
      <c r="Q170" s="314"/>
      <c r="R170" s="314"/>
      <c r="S170" s="314"/>
      <c r="T170" s="314"/>
      <c r="U170" s="314"/>
      <c r="V170" s="314"/>
    </row>
    <row r="171" spans="11:22">
      <c r="K171" s="314"/>
      <c r="L171" s="314"/>
      <c r="M171" s="314"/>
      <c r="N171" s="314"/>
      <c r="O171" s="314"/>
      <c r="P171" s="314"/>
      <c r="Q171" s="314"/>
      <c r="R171" s="314"/>
      <c r="S171" s="314"/>
      <c r="T171" s="314"/>
      <c r="U171" s="314"/>
      <c r="V171" s="314"/>
    </row>
    <row r="172" spans="11:22">
      <c r="K172" s="314"/>
      <c r="L172" s="314"/>
      <c r="M172" s="314"/>
      <c r="N172" s="314"/>
      <c r="O172" s="314"/>
      <c r="P172" s="314"/>
      <c r="Q172" s="314"/>
      <c r="R172" s="314"/>
      <c r="S172" s="314"/>
      <c r="T172" s="314"/>
      <c r="U172" s="314"/>
      <c r="V172" s="314"/>
    </row>
    <row r="173" spans="11:22">
      <c r="K173" s="314"/>
      <c r="L173" s="314"/>
      <c r="M173" s="314"/>
      <c r="N173" s="314"/>
      <c r="O173" s="314"/>
      <c r="P173" s="314"/>
      <c r="Q173" s="314"/>
      <c r="R173" s="314"/>
      <c r="S173" s="314"/>
      <c r="T173" s="314"/>
      <c r="U173" s="314"/>
      <c r="V173" s="314"/>
    </row>
    <row r="174" spans="11:22">
      <c r="K174" s="314"/>
      <c r="L174" s="314"/>
      <c r="M174" s="314"/>
      <c r="N174" s="314"/>
      <c r="O174" s="314"/>
      <c r="P174" s="314"/>
      <c r="Q174" s="314"/>
      <c r="R174" s="314"/>
      <c r="S174" s="314"/>
      <c r="T174" s="314"/>
      <c r="U174" s="314"/>
      <c r="V174" s="314"/>
    </row>
    <row r="175" spans="11:22">
      <c r="K175" s="314"/>
      <c r="L175" s="314"/>
      <c r="M175" s="314"/>
      <c r="N175" s="314"/>
      <c r="O175" s="314"/>
      <c r="P175" s="314"/>
      <c r="Q175" s="314"/>
      <c r="R175" s="314"/>
      <c r="S175" s="314"/>
      <c r="T175" s="314"/>
      <c r="U175" s="314"/>
      <c r="V175" s="314"/>
    </row>
    <row r="176" spans="11:22">
      <c r="K176" s="314"/>
      <c r="L176" s="314"/>
      <c r="M176" s="314"/>
      <c r="N176" s="314"/>
      <c r="O176" s="314"/>
      <c r="P176" s="314"/>
      <c r="Q176" s="314"/>
      <c r="R176" s="314"/>
      <c r="S176" s="314"/>
      <c r="T176" s="314"/>
      <c r="U176" s="314"/>
      <c r="V176" s="314"/>
    </row>
    <row r="177" spans="11:22">
      <c r="K177" s="314"/>
      <c r="L177" s="314"/>
      <c r="M177" s="314"/>
      <c r="N177" s="314"/>
      <c r="O177" s="314"/>
      <c r="P177" s="314"/>
      <c r="Q177" s="314"/>
      <c r="R177" s="314"/>
      <c r="S177" s="314"/>
      <c r="T177" s="314"/>
      <c r="U177" s="314"/>
      <c r="V177" s="314"/>
    </row>
    <row r="178" spans="11:22">
      <c r="K178" s="314"/>
      <c r="L178" s="314"/>
      <c r="M178" s="314"/>
      <c r="N178" s="314"/>
      <c r="O178" s="314"/>
      <c r="P178" s="314"/>
      <c r="Q178" s="314"/>
      <c r="R178" s="314"/>
      <c r="S178" s="314"/>
      <c r="T178" s="314"/>
      <c r="U178" s="314"/>
      <c r="V178" s="314"/>
    </row>
    <row r="179" spans="11:22">
      <c r="K179" s="314"/>
      <c r="L179" s="314"/>
      <c r="M179" s="314"/>
      <c r="N179" s="314"/>
      <c r="O179" s="314"/>
      <c r="P179" s="314"/>
      <c r="Q179" s="314"/>
      <c r="R179" s="314"/>
      <c r="S179" s="314"/>
      <c r="T179" s="314"/>
      <c r="U179" s="314"/>
      <c r="V179" s="314"/>
    </row>
  </sheetData>
  <mergeCells count="57">
    <mergeCell ref="C15:D16"/>
    <mergeCell ref="E15:H16"/>
    <mergeCell ref="C17:D18"/>
    <mergeCell ref="E17:H18"/>
    <mergeCell ref="C19:D20"/>
    <mergeCell ref="E19:H20"/>
    <mergeCell ref="C21:D22"/>
    <mergeCell ref="E21:H22"/>
    <mergeCell ref="C23:D23"/>
    <mergeCell ref="E23:H23"/>
    <mergeCell ref="C24:D25"/>
    <mergeCell ref="E24:H25"/>
    <mergeCell ref="C28:D29"/>
    <mergeCell ref="E28:H29"/>
    <mergeCell ref="C30:D31"/>
    <mergeCell ref="E30:H31"/>
    <mergeCell ref="C32:D33"/>
    <mergeCell ref="E32:H33"/>
    <mergeCell ref="C34:D34"/>
    <mergeCell ref="E34:H34"/>
    <mergeCell ref="C35:D35"/>
    <mergeCell ref="E35:H35"/>
    <mergeCell ref="C38:D38"/>
    <mergeCell ref="E38:H38"/>
    <mergeCell ref="C39:D39"/>
    <mergeCell ref="E39:H39"/>
    <mergeCell ref="C40:D40"/>
    <mergeCell ref="E40:H40"/>
    <mergeCell ref="C41:D41"/>
    <mergeCell ref="E41:H41"/>
    <mergeCell ref="C42:D43"/>
    <mergeCell ref="E42:H43"/>
    <mergeCell ref="C44:D44"/>
    <mergeCell ref="E44:H44"/>
    <mergeCell ref="C47:C49"/>
    <mergeCell ref="D47:D49"/>
    <mergeCell ref="E47:E49"/>
    <mergeCell ref="F47:F49"/>
    <mergeCell ref="C62:C64"/>
    <mergeCell ref="D62:D64"/>
    <mergeCell ref="E62:E64"/>
    <mergeCell ref="F62:F64"/>
    <mergeCell ref="C77:C79"/>
    <mergeCell ref="D77:D79"/>
    <mergeCell ref="E77:E79"/>
    <mergeCell ref="F77:F79"/>
    <mergeCell ref="C103:I104"/>
    <mergeCell ref="D105:E105"/>
    <mergeCell ref="D106:E106"/>
    <mergeCell ref="D87:D89"/>
    <mergeCell ref="E87:E89"/>
    <mergeCell ref="F87:F89"/>
    <mergeCell ref="D96:I96"/>
    <mergeCell ref="D101:I101"/>
    <mergeCell ref="D102:E102"/>
    <mergeCell ref="C98:I99"/>
    <mergeCell ref="C87:C89"/>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EC1-F507-421A-BD14-70474D5507F6}">
  <dimension ref="A1:W305"/>
  <sheetViews>
    <sheetView zoomScale="85" zoomScaleNormal="85" workbookViewId="0">
      <selection activeCell="O14" sqref="O14"/>
    </sheetView>
  </sheetViews>
  <sheetFormatPr defaultColWidth="8.88671875" defaultRowHeight="13.2" outlineLevelRow="1"/>
  <cols>
    <col min="1" max="1" width="6.88671875" style="354" customWidth="1"/>
    <col min="2" max="2" width="12.44140625" style="354" customWidth="1"/>
    <col min="3" max="3" width="57.44140625" style="354" customWidth="1"/>
    <col min="4" max="4" width="26.5546875" style="354" customWidth="1"/>
    <col min="5" max="5" width="19.88671875" style="354" customWidth="1"/>
    <col min="6" max="6" width="32.109375" style="354" customWidth="1"/>
    <col min="7" max="8" width="19.88671875" style="354" customWidth="1"/>
    <col min="9" max="10" width="20.44140625" style="354" customWidth="1"/>
    <col min="11" max="11" width="6" style="354" customWidth="1"/>
    <col min="12" max="25" width="8.44140625" style="353" customWidth="1"/>
    <col min="26" max="16384" width="8.88671875" style="353"/>
  </cols>
  <sheetData>
    <row r="1" spans="1:12" ht="15.6">
      <c r="A1" s="1" t="s">
        <v>0</v>
      </c>
      <c r="B1" s="1"/>
      <c r="L1" s="3" t="str">
        <f>A1</f>
        <v>RETFRC Spring 2024</v>
      </c>
    </row>
    <row r="2" spans="1:12" ht="15.6">
      <c r="A2" s="1" t="s">
        <v>273</v>
      </c>
      <c r="B2" s="1"/>
      <c r="L2" s="3" t="str">
        <f>A2</f>
        <v>Question 2</v>
      </c>
    </row>
    <row r="3" spans="1:12" ht="15.6">
      <c r="A3" s="1"/>
      <c r="B3" s="1"/>
      <c r="L3" s="3"/>
    </row>
    <row r="4" spans="1:12" ht="15.6">
      <c r="A4" s="474"/>
      <c r="B4" s="473" t="s">
        <v>675</v>
      </c>
      <c r="C4" s="1819" t="s">
        <v>674</v>
      </c>
      <c r="D4" s="1819"/>
      <c r="E4" s="1819"/>
      <c r="F4" s="1819"/>
      <c r="G4" s="1819"/>
      <c r="H4" s="472"/>
      <c r="I4" s="472"/>
      <c r="L4" s="3" t="s">
        <v>2</v>
      </c>
    </row>
    <row r="6" spans="1:12">
      <c r="C6" s="421" t="s">
        <v>522</v>
      </c>
    </row>
    <row r="7" spans="1:12">
      <c r="C7" s="421"/>
    </row>
    <row r="8" spans="1:12" ht="16.350000000000001" customHeight="1" outlineLevel="1">
      <c r="C8" s="435" t="s">
        <v>521</v>
      </c>
      <c r="D8" s="441" t="s">
        <v>673</v>
      </c>
      <c r="E8" s="467"/>
      <c r="F8" s="466"/>
    </row>
    <row r="9" spans="1:12" outlineLevel="1">
      <c r="C9" s="435" t="s">
        <v>605</v>
      </c>
      <c r="D9" s="441" t="s">
        <v>672</v>
      </c>
      <c r="E9" s="467"/>
      <c r="F9" s="466"/>
    </row>
    <row r="10" spans="1:12" outlineLevel="1">
      <c r="C10" s="435" t="s">
        <v>517</v>
      </c>
      <c r="D10" s="441" t="s">
        <v>127</v>
      </c>
      <c r="E10" s="467"/>
      <c r="F10" s="466"/>
    </row>
    <row r="11" spans="1:12" outlineLevel="1">
      <c r="C11" s="435" t="s">
        <v>671</v>
      </c>
      <c r="D11" s="441" t="s">
        <v>135</v>
      </c>
      <c r="E11" s="467"/>
      <c r="F11" s="466"/>
    </row>
    <row r="12" spans="1:12" outlineLevel="1">
      <c r="C12" s="435" t="s">
        <v>670</v>
      </c>
      <c r="D12" s="441" t="s">
        <v>669</v>
      </c>
      <c r="E12" s="467"/>
      <c r="F12" s="466"/>
    </row>
    <row r="13" spans="1:12" outlineLevel="1">
      <c r="C13" s="449" t="s">
        <v>260</v>
      </c>
      <c r="D13" s="441" t="s">
        <v>668</v>
      </c>
      <c r="E13" s="467"/>
      <c r="F13" s="466"/>
    </row>
    <row r="14" spans="1:12" outlineLevel="1">
      <c r="C14" s="443" t="s">
        <v>512</v>
      </c>
      <c r="D14" s="471" t="s">
        <v>511</v>
      </c>
      <c r="E14" s="470"/>
      <c r="F14" s="469"/>
    </row>
    <row r="15" spans="1:12" outlineLevel="1">
      <c r="C15" s="441" t="s">
        <v>667</v>
      </c>
      <c r="D15" s="441" t="s">
        <v>430</v>
      </c>
      <c r="E15" s="467"/>
      <c r="F15" s="466"/>
    </row>
    <row r="16" spans="1:12" outlineLevel="1">
      <c r="C16" s="435" t="s">
        <v>508</v>
      </c>
      <c r="D16" s="441" t="s">
        <v>666</v>
      </c>
      <c r="E16" s="467"/>
      <c r="F16" s="466"/>
    </row>
    <row r="17" spans="3:7" outlineLevel="1">
      <c r="C17" s="468" t="s">
        <v>507</v>
      </c>
      <c r="D17" s="441" t="s">
        <v>665</v>
      </c>
      <c r="E17" s="467"/>
      <c r="F17" s="466"/>
    </row>
    <row r="18" spans="3:7">
      <c r="C18" s="465"/>
      <c r="D18" s="465"/>
      <c r="E18" s="464"/>
      <c r="F18" s="464"/>
      <c r="G18" s="464"/>
    </row>
    <row r="19" spans="3:7">
      <c r="C19" s="354" t="s">
        <v>664</v>
      </c>
    </row>
    <row r="21" spans="3:7">
      <c r="C21" s="421" t="s">
        <v>663</v>
      </c>
    </row>
    <row r="22" spans="3:7">
      <c r="C22" s="354" t="s">
        <v>662</v>
      </c>
      <c r="E22" s="463">
        <v>1875870</v>
      </c>
    </row>
    <row r="23" spans="3:7">
      <c r="E23" s="462"/>
    </row>
    <row r="24" spans="3:7">
      <c r="E24" s="462"/>
    </row>
    <row r="25" spans="3:7">
      <c r="C25" s="421" t="s">
        <v>450</v>
      </c>
    </row>
    <row r="26" spans="3:7" ht="12.6" customHeight="1" outlineLevel="1">
      <c r="C26" s="421"/>
    </row>
    <row r="27" spans="3:7" outlineLevel="1">
      <c r="C27" s="424" t="s">
        <v>661</v>
      </c>
      <c r="D27" s="461" t="s">
        <v>560</v>
      </c>
      <c r="E27" s="461" t="s">
        <v>559</v>
      </c>
      <c r="F27" s="461" t="s">
        <v>660</v>
      </c>
      <c r="G27" s="461" t="s">
        <v>659</v>
      </c>
    </row>
    <row r="28" spans="3:7" outlineLevel="1">
      <c r="C28" s="424" t="s">
        <v>658</v>
      </c>
      <c r="D28" s="461" t="s">
        <v>386</v>
      </c>
      <c r="E28" s="461" t="s">
        <v>386</v>
      </c>
      <c r="F28" s="461" t="s">
        <v>657</v>
      </c>
      <c r="G28" s="461" t="s">
        <v>657</v>
      </c>
    </row>
    <row r="29" spans="3:7" outlineLevel="1">
      <c r="C29" s="427" t="s">
        <v>656</v>
      </c>
      <c r="D29" s="460">
        <v>49</v>
      </c>
      <c r="E29" s="460">
        <v>60</v>
      </c>
      <c r="F29" s="460">
        <v>66</v>
      </c>
      <c r="G29" s="460">
        <v>70</v>
      </c>
    </row>
    <row r="30" spans="3:7" outlineLevel="1">
      <c r="C30" s="427" t="s">
        <v>655</v>
      </c>
      <c r="D30" s="459">
        <v>63000</v>
      </c>
      <c r="E30" s="459">
        <v>96000</v>
      </c>
      <c r="F30" s="458" t="s">
        <v>435</v>
      </c>
      <c r="G30" s="458" t="s">
        <v>435</v>
      </c>
    </row>
    <row r="31" spans="3:7" outlineLevel="1">
      <c r="C31" s="427" t="s">
        <v>448</v>
      </c>
      <c r="D31" s="459">
        <v>65000</v>
      </c>
      <c r="E31" s="459">
        <v>97000</v>
      </c>
      <c r="F31" s="458" t="s">
        <v>435</v>
      </c>
      <c r="G31" s="458" t="s">
        <v>435</v>
      </c>
    </row>
    <row r="32" spans="3:7" outlineLevel="1">
      <c r="C32" s="427" t="s">
        <v>447</v>
      </c>
      <c r="D32" s="459">
        <v>67000</v>
      </c>
      <c r="E32" s="459">
        <v>105000</v>
      </c>
      <c r="F32" s="458" t="s">
        <v>435</v>
      </c>
      <c r="G32" s="458" t="s">
        <v>435</v>
      </c>
    </row>
    <row r="33" spans="1:23" outlineLevel="1">
      <c r="C33" s="427" t="s">
        <v>446</v>
      </c>
      <c r="D33" s="459">
        <v>70000</v>
      </c>
      <c r="E33" s="459">
        <v>110000</v>
      </c>
      <c r="F33" s="458" t="s">
        <v>435</v>
      </c>
      <c r="G33" s="458" t="s">
        <v>435</v>
      </c>
    </row>
    <row r="34" spans="1:23" outlineLevel="1">
      <c r="C34" s="427" t="s">
        <v>376</v>
      </c>
      <c r="D34" s="459">
        <v>75000</v>
      </c>
      <c r="E34" s="459">
        <v>120000</v>
      </c>
      <c r="F34" s="458" t="s">
        <v>435</v>
      </c>
      <c r="G34" s="458" t="s">
        <v>435</v>
      </c>
    </row>
    <row r="35" spans="1:23" outlineLevel="1">
      <c r="C35" s="427" t="s">
        <v>445</v>
      </c>
      <c r="D35" s="458">
        <v>15</v>
      </c>
      <c r="E35" s="458">
        <v>8</v>
      </c>
      <c r="F35" s="458" t="s">
        <v>435</v>
      </c>
      <c r="G35" s="458" t="s">
        <v>435</v>
      </c>
    </row>
    <row r="36" spans="1:23" outlineLevel="1">
      <c r="C36" s="427" t="s">
        <v>654</v>
      </c>
      <c r="D36" s="458" t="s">
        <v>435</v>
      </c>
      <c r="E36" s="458" t="s">
        <v>435</v>
      </c>
      <c r="F36" s="459">
        <v>42000</v>
      </c>
      <c r="G36" s="459">
        <v>36000</v>
      </c>
    </row>
    <row r="37" spans="1:23" outlineLevel="1">
      <c r="C37" s="427" t="s">
        <v>653</v>
      </c>
      <c r="D37" s="458" t="s">
        <v>435</v>
      </c>
      <c r="E37" s="458" t="s">
        <v>435</v>
      </c>
      <c r="F37" s="459">
        <v>60</v>
      </c>
      <c r="G37" s="459">
        <v>65</v>
      </c>
    </row>
    <row r="38" spans="1:23" ht="26.4" outlineLevel="1">
      <c r="C38" s="427" t="s">
        <v>432</v>
      </c>
      <c r="D38" s="458" t="s">
        <v>435</v>
      </c>
      <c r="E38" s="458" t="s">
        <v>435</v>
      </c>
      <c r="F38" s="457" t="s">
        <v>652</v>
      </c>
      <c r="G38" s="457" t="s">
        <v>652</v>
      </c>
    </row>
    <row r="40" spans="1:23">
      <c r="C40" s="360"/>
    </row>
    <row r="41" spans="1:23">
      <c r="C41" s="421" t="s">
        <v>651</v>
      </c>
    </row>
    <row r="42" spans="1:23" ht="14.4">
      <c r="C42" s="370"/>
      <c r="I42" s="386"/>
      <c r="J42" s="454"/>
      <c r="K42" s="453"/>
      <c r="L42" s="8"/>
      <c r="M42" s="8"/>
      <c r="N42" s="8"/>
      <c r="O42" s="8"/>
      <c r="P42" s="8"/>
      <c r="Q42" s="8"/>
      <c r="R42" s="8"/>
      <c r="S42" s="8"/>
      <c r="T42" s="8"/>
      <c r="U42" s="8"/>
      <c r="V42" s="8"/>
      <c r="W42" s="8"/>
    </row>
    <row r="43" spans="1:23" ht="14.4" outlineLevel="1">
      <c r="A43" s="370"/>
      <c r="B43" s="370"/>
      <c r="C43" s="360" t="s">
        <v>503</v>
      </c>
      <c r="I43" s="386"/>
      <c r="J43" s="454"/>
      <c r="K43" s="453"/>
      <c r="L43" s="8"/>
      <c r="M43" s="8"/>
      <c r="N43" s="8"/>
      <c r="O43" s="8"/>
      <c r="P43" s="8"/>
      <c r="Q43" s="8"/>
      <c r="R43" s="8"/>
      <c r="S43" s="8"/>
      <c r="T43" s="8"/>
      <c r="U43" s="8"/>
      <c r="V43" s="8"/>
      <c r="W43" s="8"/>
    </row>
    <row r="44" spans="1:23" ht="14.4" outlineLevel="1">
      <c r="A44" s="370"/>
      <c r="B44" s="370"/>
      <c r="C44" s="370"/>
      <c r="I44" s="386"/>
      <c r="J44" s="454"/>
      <c r="K44" s="453"/>
      <c r="L44" s="8"/>
      <c r="M44" s="8"/>
      <c r="N44" s="8"/>
      <c r="O44" s="8"/>
      <c r="P44" s="8"/>
      <c r="Q44" s="8"/>
      <c r="R44" s="8"/>
      <c r="S44" s="8"/>
      <c r="T44" s="8"/>
      <c r="U44" s="8"/>
      <c r="V44" s="8"/>
      <c r="W44" s="8"/>
    </row>
    <row r="45" spans="1:23" ht="14.4" outlineLevel="1">
      <c r="C45" s="440" t="s">
        <v>373</v>
      </c>
      <c r="D45" s="456">
        <v>0.05</v>
      </c>
      <c r="E45" s="438" t="s">
        <v>370</v>
      </c>
      <c r="I45" s="386"/>
      <c r="J45" s="454"/>
      <c r="K45" s="453"/>
      <c r="L45" s="8"/>
      <c r="M45" s="8"/>
      <c r="N45" s="8"/>
      <c r="O45" s="8"/>
      <c r="P45" s="8"/>
      <c r="Q45" s="8"/>
      <c r="R45" s="8"/>
      <c r="S45" s="8"/>
      <c r="T45" s="8"/>
      <c r="U45" s="8"/>
      <c r="V45" s="8"/>
      <c r="W45" s="8"/>
    </row>
    <row r="46" spans="1:23" ht="14.4" outlineLevel="1">
      <c r="C46" s="440" t="s">
        <v>650</v>
      </c>
      <c r="D46" s="456">
        <v>0.02</v>
      </c>
      <c r="E46" s="438" t="s">
        <v>370</v>
      </c>
      <c r="I46" s="386"/>
      <c r="J46" s="454"/>
      <c r="K46" s="453"/>
      <c r="L46" s="8"/>
      <c r="M46" s="8"/>
      <c r="N46" s="8"/>
      <c r="O46" s="8"/>
      <c r="P46" s="8"/>
      <c r="Q46" s="8"/>
      <c r="R46" s="8"/>
      <c r="S46" s="8"/>
      <c r="T46" s="8"/>
      <c r="U46" s="8"/>
      <c r="V46" s="8"/>
      <c r="W46" s="8"/>
    </row>
    <row r="47" spans="1:23" ht="14.4" outlineLevel="1">
      <c r="C47" s="440" t="s">
        <v>501</v>
      </c>
      <c r="D47" s="456">
        <v>0.04</v>
      </c>
      <c r="E47" s="438" t="s">
        <v>370</v>
      </c>
      <c r="I47" s="386"/>
      <c r="J47" s="454"/>
      <c r="K47" s="453"/>
      <c r="L47" s="8"/>
      <c r="M47" s="8"/>
      <c r="N47" s="8"/>
      <c r="O47" s="8"/>
      <c r="P47" s="8"/>
      <c r="Q47" s="8"/>
      <c r="R47" s="8"/>
      <c r="S47" s="8"/>
      <c r="T47" s="8"/>
      <c r="U47" s="8"/>
      <c r="V47" s="8"/>
      <c r="W47" s="8"/>
    </row>
    <row r="48" spans="1:23" ht="14.4" outlineLevel="1">
      <c r="C48" s="440" t="s">
        <v>499</v>
      </c>
      <c r="D48" s="455" t="s">
        <v>498</v>
      </c>
      <c r="E48" s="438"/>
      <c r="I48" s="386"/>
      <c r="J48" s="454"/>
      <c r="K48" s="453"/>
      <c r="L48" s="8"/>
      <c r="M48" s="8"/>
      <c r="N48" s="8"/>
      <c r="O48" s="8"/>
      <c r="P48" s="8"/>
      <c r="Q48" s="8"/>
      <c r="R48" s="8"/>
      <c r="S48" s="8"/>
      <c r="T48" s="8"/>
      <c r="U48" s="8"/>
      <c r="V48" s="8"/>
      <c r="W48" s="8"/>
    </row>
    <row r="49" spans="3:6" outlineLevel="1">
      <c r="C49" s="440" t="s">
        <v>649</v>
      </c>
      <c r="D49" s="452" t="s">
        <v>648</v>
      </c>
      <c r="E49" s="438"/>
    </row>
    <row r="50" spans="3:6" outlineLevel="1">
      <c r="C50" s="449" t="s">
        <v>495</v>
      </c>
      <c r="D50" s="396" t="s">
        <v>252</v>
      </c>
      <c r="E50" s="399" t="s">
        <v>491</v>
      </c>
    </row>
    <row r="51" spans="3:6" outlineLevel="1">
      <c r="C51" s="446"/>
      <c r="D51" s="448" t="s">
        <v>647</v>
      </c>
      <c r="E51" s="451">
        <v>0.5</v>
      </c>
    </row>
    <row r="52" spans="3:6" outlineLevel="1">
      <c r="C52" s="446"/>
      <c r="D52" s="445" t="s">
        <v>646</v>
      </c>
      <c r="E52" s="450">
        <v>1</v>
      </c>
    </row>
    <row r="53" spans="3:6" outlineLevel="1">
      <c r="C53" s="449" t="s">
        <v>645</v>
      </c>
      <c r="D53" s="396" t="s">
        <v>252</v>
      </c>
      <c r="E53" s="399" t="s">
        <v>491</v>
      </c>
    </row>
    <row r="54" spans="3:6" outlineLevel="1">
      <c r="C54" s="446"/>
      <c r="D54" s="448" t="s">
        <v>644</v>
      </c>
      <c r="E54" s="447">
        <v>0.05</v>
      </c>
    </row>
    <row r="55" spans="3:6" outlineLevel="1">
      <c r="C55" s="446"/>
      <c r="D55" s="445" t="s">
        <v>489</v>
      </c>
      <c r="E55" s="444">
        <v>0</v>
      </c>
    </row>
    <row r="56" spans="3:6" outlineLevel="1">
      <c r="C56" s="443" t="s">
        <v>488</v>
      </c>
      <c r="D56" s="1820" t="s">
        <v>643</v>
      </c>
      <c r="E56" s="1821"/>
    </row>
    <row r="57" spans="3:6" outlineLevel="1">
      <c r="C57" s="442"/>
      <c r="D57" s="1822"/>
      <c r="E57" s="1823"/>
    </row>
    <row r="58" spans="3:6" outlineLevel="1">
      <c r="C58" s="441" t="s">
        <v>484</v>
      </c>
      <c r="D58" s="1824" t="s">
        <v>642</v>
      </c>
      <c r="E58" s="1825"/>
    </row>
    <row r="59" spans="3:6" outlineLevel="1">
      <c r="C59" s="440" t="s">
        <v>500</v>
      </c>
      <c r="D59" s="439">
        <v>10000</v>
      </c>
      <c r="E59" s="438"/>
    </row>
    <row r="60" spans="3:6" outlineLevel="1">
      <c r="E60" s="437"/>
    </row>
    <row r="61" spans="3:6" outlineLevel="1">
      <c r="C61" s="436" t="s">
        <v>482</v>
      </c>
      <c r="F61" s="428"/>
    </row>
    <row r="62" spans="3:6" outlineLevel="1">
      <c r="C62" s="430"/>
      <c r="F62" s="428"/>
    </row>
    <row r="63" spans="3:6" outlineLevel="1">
      <c r="C63" s="435" t="s">
        <v>641</v>
      </c>
      <c r="D63" s="431">
        <v>0.05</v>
      </c>
    </row>
    <row r="64" spans="3:6" ht="13.35" customHeight="1" outlineLevel="1">
      <c r="C64" s="434" t="s">
        <v>640</v>
      </c>
      <c r="D64" s="433">
        <v>0.04</v>
      </c>
    </row>
    <row r="65" spans="3:7" outlineLevel="1">
      <c r="C65" s="432" t="s">
        <v>371</v>
      </c>
      <c r="D65" s="431">
        <v>6.5000000000000002E-2</v>
      </c>
    </row>
    <row r="66" spans="3:7" outlineLevel="1">
      <c r="C66" s="430"/>
      <c r="E66" s="429"/>
      <c r="F66" s="428"/>
    </row>
    <row r="67" spans="3:7" outlineLevel="1">
      <c r="C67" s="421" t="s">
        <v>639</v>
      </c>
      <c r="E67" s="429"/>
      <c r="F67" s="428"/>
    </row>
    <row r="68" spans="3:7" outlineLevel="1">
      <c r="E68" s="429"/>
      <c r="F68" s="428"/>
    </row>
    <row r="69" spans="3:7" outlineLevel="1">
      <c r="C69" s="1826" t="s">
        <v>478</v>
      </c>
      <c r="D69" s="1826"/>
      <c r="E69" s="1808" t="s">
        <v>477</v>
      </c>
      <c r="F69" s="1809"/>
    </row>
    <row r="70" spans="3:7" outlineLevel="1">
      <c r="C70" s="1810" t="s">
        <v>476</v>
      </c>
      <c r="D70" s="1811"/>
      <c r="E70" s="1811"/>
      <c r="F70" s="1812"/>
    </row>
    <row r="71" spans="3:7" outlineLevel="1">
      <c r="C71" s="1813" t="s">
        <v>475</v>
      </c>
      <c r="D71" s="1813"/>
      <c r="E71" s="1808" t="s">
        <v>474</v>
      </c>
      <c r="F71" s="1809"/>
    </row>
    <row r="72" spans="3:7" outlineLevel="1">
      <c r="C72" s="1813" t="s">
        <v>473</v>
      </c>
      <c r="D72" s="1813"/>
      <c r="E72" s="1808" t="s">
        <v>472</v>
      </c>
      <c r="F72" s="1809"/>
    </row>
    <row r="73" spans="3:7" outlineLevel="1">
      <c r="C73" s="1810" t="s">
        <v>471</v>
      </c>
      <c r="D73" s="1811"/>
      <c r="E73" s="1811"/>
      <c r="F73" s="1812"/>
    </row>
    <row r="74" spans="3:7" outlineLevel="1">
      <c r="C74" s="1813" t="s">
        <v>470</v>
      </c>
      <c r="D74" s="1813"/>
      <c r="E74" s="1808" t="s">
        <v>638</v>
      </c>
      <c r="F74" s="1809"/>
      <c r="G74" s="356"/>
    </row>
    <row r="75" spans="3:7" outlineLevel="1">
      <c r="C75" s="1813" t="s">
        <v>464</v>
      </c>
      <c r="D75" s="1813"/>
      <c r="E75" s="1808" t="s">
        <v>637</v>
      </c>
      <c r="F75" s="1809"/>
      <c r="G75" s="426"/>
    </row>
    <row r="76" spans="3:7" outlineLevel="1">
      <c r="C76" s="1810" t="s">
        <v>466</v>
      </c>
      <c r="D76" s="1811"/>
      <c r="E76" s="1811"/>
      <c r="F76" s="1812"/>
    </row>
    <row r="77" spans="3:7" outlineLevel="1">
      <c r="C77" s="1813" t="s">
        <v>465</v>
      </c>
      <c r="D77" s="1813"/>
      <c r="E77" s="1808" t="s">
        <v>636</v>
      </c>
      <c r="F77" s="1809"/>
    </row>
    <row r="78" spans="3:7" outlineLevel="1">
      <c r="C78" s="1813" t="s">
        <v>464</v>
      </c>
      <c r="D78" s="1813"/>
      <c r="E78" s="1808" t="s">
        <v>635</v>
      </c>
      <c r="F78" s="1809"/>
      <c r="G78" s="426"/>
    </row>
    <row r="79" spans="3:7" outlineLevel="1">
      <c r="C79" s="1813" t="s">
        <v>634</v>
      </c>
      <c r="D79" s="1813"/>
      <c r="E79" s="1814">
        <v>200000</v>
      </c>
      <c r="F79" s="1815"/>
    </row>
    <row r="80" spans="3:7" outlineLevel="1">
      <c r="C80" s="1816" t="s">
        <v>462</v>
      </c>
      <c r="D80" s="1816"/>
      <c r="E80" s="1817" t="s">
        <v>461</v>
      </c>
      <c r="F80" s="1818"/>
    </row>
    <row r="83" spans="1:9">
      <c r="A83" s="370"/>
      <c r="B83" s="370"/>
      <c r="C83" s="421" t="s">
        <v>633</v>
      </c>
    </row>
    <row r="84" spans="1:9">
      <c r="A84" s="370"/>
      <c r="B84" s="370"/>
      <c r="C84" s="421"/>
    </row>
    <row r="85" spans="1:9" ht="26.4" outlineLevel="1">
      <c r="C85" s="424" t="s">
        <v>459</v>
      </c>
      <c r="D85" s="425" t="s">
        <v>632</v>
      </c>
      <c r="E85" s="425" t="s">
        <v>631</v>
      </c>
    </row>
    <row r="86" spans="1:9" outlineLevel="1">
      <c r="C86" s="424" t="s">
        <v>630</v>
      </c>
      <c r="D86" s="423">
        <v>5000</v>
      </c>
      <c r="E86" s="422">
        <v>7</v>
      </c>
      <c r="G86" s="384"/>
    </row>
    <row r="87" spans="1:9" outlineLevel="1">
      <c r="C87" s="424" t="s">
        <v>617</v>
      </c>
      <c r="D87" s="423">
        <v>2500</v>
      </c>
      <c r="E87" s="422">
        <v>2</v>
      </c>
      <c r="G87" s="384"/>
    </row>
    <row r="89" spans="1:9">
      <c r="C89" s="421" t="s">
        <v>171</v>
      </c>
    </row>
    <row r="90" spans="1:9">
      <c r="A90" s="421"/>
      <c r="B90" s="421"/>
    </row>
    <row r="91" spans="1:9" outlineLevel="1">
      <c r="A91" s="421"/>
      <c r="B91" s="421"/>
      <c r="D91" s="1805" t="s">
        <v>629</v>
      </c>
      <c r="E91" s="1806"/>
      <c r="F91" s="1806"/>
      <c r="G91" s="1806"/>
      <c r="H91" s="1806"/>
      <c r="I91" s="1807"/>
    </row>
    <row r="92" spans="1:9" outlineLevel="1">
      <c r="A92" s="421"/>
      <c r="B92" s="421"/>
      <c r="D92" s="420" t="s">
        <v>421</v>
      </c>
      <c r="E92" s="419"/>
      <c r="F92" s="419"/>
      <c r="G92" s="419"/>
      <c r="H92" s="419"/>
      <c r="I92" s="418"/>
    </row>
    <row r="93" spans="1:9" outlineLevel="1">
      <c r="A93" s="421"/>
      <c r="B93" s="421"/>
      <c r="C93" s="396" t="s">
        <v>252</v>
      </c>
      <c r="D93" s="417">
        <v>1.7000000000000001E-2</v>
      </c>
      <c r="E93" s="416">
        <v>2.1999999999999999E-2</v>
      </c>
      <c r="F93" s="416">
        <v>0.03</v>
      </c>
      <c r="G93" s="416">
        <v>3.7999999999999999E-2</v>
      </c>
      <c r="H93" s="416">
        <v>4.1000000000000002E-2</v>
      </c>
      <c r="I93" s="415">
        <v>0.05</v>
      </c>
    </row>
    <row r="94" spans="1:9" outlineLevel="1">
      <c r="A94" s="421"/>
      <c r="B94" s="421"/>
      <c r="C94" s="410">
        <v>45</v>
      </c>
      <c r="D94" s="409">
        <v>29.364535265271972</v>
      </c>
      <c r="E94" s="385">
        <v>26.781986820290058</v>
      </c>
      <c r="F94" s="385">
        <v>23.330386896933494</v>
      </c>
      <c r="G94" s="385">
        <v>20.542477598891519</v>
      </c>
      <c r="H94" s="385">
        <v>19.63581048020772</v>
      </c>
      <c r="I94" s="408">
        <v>17.284066443782475</v>
      </c>
    </row>
    <row r="95" spans="1:9" outlineLevel="1">
      <c r="A95" s="421"/>
      <c r="B95" s="421"/>
      <c r="C95" s="410">
        <v>46</v>
      </c>
      <c r="D95" s="409">
        <v>28.871694569472933</v>
      </c>
      <c r="E95" s="385">
        <v>26.377371171323819</v>
      </c>
      <c r="F95" s="385">
        <v>23.032887248037966</v>
      </c>
      <c r="G95" s="385">
        <v>20.321473803160348</v>
      </c>
      <c r="H95" s="385">
        <v>19.437575432038059</v>
      </c>
      <c r="I95" s="408">
        <v>17.1396783962863</v>
      </c>
    </row>
    <row r="96" spans="1:9" outlineLevel="1">
      <c r="A96" s="421"/>
      <c r="B96" s="421"/>
      <c r="C96" s="410">
        <v>47</v>
      </c>
      <c r="D96" s="409">
        <v>28.373717265946578</v>
      </c>
      <c r="E96" s="385">
        <v>25.966817395373873</v>
      </c>
      <c r="F96" s="385">
        <v>22.72907254479054</v>
      </c>
      <c r="G96" s="385">
        <v>20.094410013804655</v>
      </c>
      <c r="H96" s="385">
        <v>19.233464733514758</v>
      </c>
      <c r="I96" s="408">
        <v>16.990103249555695</v>
      </c>
    </row>
    <row r="97" spans="1:9" outlineLevel="1">
      <c r="A97" s="421"/>
      <c r="B97" s="421"/>
      <c r="C97" s="410">
        <v>48</v>
      </c>
      <c r="D97" s="409">
        <v>27.87015779144388</v>
      </c>
      <c r="E97" s="385">
        <v>25.549875139168538</v>
      </c>
      <c r="F97" s="385">
        <v>22.41848321618286</v>
      </c>
      <c r="G97" s="385">
        <v>19.860824372696694</v>
      </c>
      <c r="H97" s="385">
        <v>19.023018158842167</v>
      </c>
      <c r="I97" s="408">
        <v>16.834893495193004</v>
      </c>
    </row>
    <row r="98" spans="1:9" outlineLevel="1">
      <c r="A98" s="421"/>
      <c r="B98" s="421"/>
      <c r="C98" s="410">
        <v>49</v>
      </c>
      <c r="D98" s="409">
        <v>27.360468910772411</v>
      </c>
      <c r="E98" s="385">
        <v>25.125995919421467</v>
      </c>
      <c r="F98" s="385">
        <v>22.100566112594031</v>
      </c>
      <c r="G98" s="385">
        <v>19.620165011987648</v>
      </c>
      <c r="H98" s="385">
        <v>18.80568664644343</v>
      </c>
      <c r="I98" s="408">
        <v>16.67351601214429</v>
      </c>
    </row>
    <row r="99" spans="1:9" outlineLevel="1">
      <c r="A99" s="421"/>
      <c r="B99" s="421"/>
      <c r="C99" s="410">
        <v>50</v>
      </c>
      <c r="D99" s="409">
        <v>26.844627631743879</v>
      </c>
      <c r="E99" s="385">
        <v>24.695108634174709</v>
      </c>
      <c r="F99" s="385">
        <v>21.775181595086554</v>
      </c>
      <c r="G99" s="385">
        <v>19.372240868256743</v>
      </c>
      <c r="H99" s="385">
        <v>18.581264594057448</v>
      </c>
      <c r="I99" s="408">
        <v>16.505735778057524</v>
      </c>
    </row>
    <row r="100" spans="1:9" outlineLevel="1">
      <c r="A100" s="421"/>
      <c r="B100" s="421"/>
      <c r="C100" s="410">
        <v>51</v>
      </c>
      <c r="D100" s="409">
        <v>26.322342838109563</v>
      </c>
      <c r="E100" s="385">
        <v>24.256893981089732</v>
      </c>
      <c r="F100" s="385">
        <v>21.441967920775511</v>
      </c>
      <c r="G100" s="385">
        <v>19.116659379186114</v>
      </c>
      <c r="H100" s="385">
        <v>18.349351530434397</v>
      </c>
      <c r="I100" s="408">
        <v>16.33114005435397</v>
      </c>
    </row>
    <row r="101" spans="1:9" outlineLevel="1">
      <c r="A101" s="421"/>
      <c r="B101" s="421"/>
      <c r="C101" s="410">
        <v>52</v>
      </c>
      <c r="D101" s="409">
        <v>25.793642759280303</v>
      </c>
      <c r="E101" s="385">
        <v>23.811324530236096</v>
      </c>
      <c r="F101" s="385">
        <v>21.100816919996888</v>
      </c>
      <c r="G101" s="385">
        <v>18.853249130241075</v>
      </c>
      <c r="H101" s="385">
        <v>18.109757293477639</v>
      </c>
      <c r="I101" s="408">
        <v>16.149497685680711</v>
      </c>
    </row>
    <row r="102" spans="1:9" outlineLevel="1">
      <c r="A102" s="421"/>
      <c r="B102" s="421"/>
      <c r="C102" s="410">
        <v>53</v>
      </c>
      <c r="D102" s="409">
        <v>25.25886894776799</v>
      </c>
      <c r="E102" s="385">
        <v>23.358662703354284</v>
      </c>
      <c r="F102" s="385">
        <v>20.751876830854947</v>
      </c>
      <c r="G102" s="385">
        <v>18.582066101991039</v>
      </c>
      <c r="H102" s="385">
        <v>17.862509270437055</v>
      </c>
      <c r="I102" s="408">
        <v>15.96076860298937</v>
      </c>
    </row>
    <row r="103" spans="1:9" outlineLevel="1">
      <c r="A103" s="421"/>
      <c r="B103" s="421"/>
      <c r="C103" s="410">
        <v>54</v>
      </c>
      <c r="D103" s="409">
        <v>24.718542448071592</v>
      </c>
      <c r="E103" s="385">
        <v>22.899340109915116</v>
      </c>
      <c r="F103" s="385">
        <v>20.395449218385622</v>
      </c>
      <c r="G103" s="385">
        <v>18.3033047324028</v>
      </c>
      <c r="H103" s="385">
        <v>17.607768038445073</v>
      </c>
      <c r="I103" s="408">
        <v>15.765031265787227</v>
      </c>
    </row>
    <row r="104" spans="1:9" outlineLevel="1">
      <c r="A104" s="421"/>
      <c r="B104" s="421"/>
      <c r="C104" s="410">
        <v>55</v>
      </c>
      <c r="D104" s="409">
        <v>24.17356647811339</v>
      </c>
      <c r="E104" s="385">
        <v>22.434147952462105</v>
      </c>
      <c r="F104" s="385">
        <v>20.032162188064984</v>
      </c>
      <c r="G104" s="385">
        <v>18.017456442883258</v>
      </c>
      <c r="H104" s="385">
        <v>17.345980930857955</v>
      </c>
      <c r="I104" s="408">
        <v>15.562622875667785</v>
      </c>
    </row>
    <row r="105" spans="1:9" outlineLevel="1">
      <c r="A105" s="421"/>
      <c r="B105" s="421"/>
      <c r="C105" s="410">
        <v>56</v>
      </c>
      <c r="D105" s="409">
        <v>23.624764449836331</v>
      </c>
      <c r="E105" s="385">
        <v>21.963811375519231</v>
      </c>
      <c r="F105" s="385">
        <v>19.662594558474193</v>
      </c>
      <c r="G105" s="385">
        <v>17.724975229631575</v>
      </c>
      <c r="H105" s="385">
        <v>17.077561344778527</v>
      </c>
      <c r="I105" s="408">
        <v>15.353854868554128</v>
      </c>
    </row>
    <row r="106" spans="1:9" outlineLevel="1">
      <c r="A106" s="421"/>
      <c r="B106" s="421"/>
      <c r="C106" s="410">
        <v>57</v>
      </c>
      <c r="D106" s="409">
        <v>23.073093178650634</v>
      </c>
      <c r="E106" s="385">
        <v>21.489187496165496</v>
      </c>
      <c r="F106" s="385">
        <v>19.287453114624139</v>
      </c>
      <c r="G106" s="385">
        <v>17.426437627352765</v>
      </c>
      <c r="H106" s="385">
        <v>16.803042964593278</v>
      </c>
      <c r="I106" s="408">
        <v>15.139151933435613</v>
      </c>
    </row>
    <row r="107" spans="1:9" outlineLevel="1">
      <c r="A107" s="421"/>
      <c r="B107" s="421"/>
      <c r="C107" s="410">
        <v>58</v>
      </c>
      <c r="D107" s="409">
        <v>22.518417038759807</v>
      </c>
      <c r="E107" s="385">
        <v>21.010121791708464</v>
      </c>
      <c r="F107" s="385">
        <v>18.906543664081809</v>
      </c>
      <c r="G107" s="385">
        <v>17.121611007438073</v>
      </c>
      <c r="H107" s="385">
        <v>16.52218069712989</v>
      </c>
      <c r="I107" s="408">
        <v>14.918240209714543</v>
      </c>
    </row>
    <row r="108" spans="1:9" outlineLevel="1">
      <c r="A108" s="421"/>
      <c r="B108" s="421"/>
      <c r="C108" s="410">
        <v>59</v>
      </c>
      <c r="D108" s="409">
        <v>21.960182301070173</v>
      </c>
      <c r="E108" s="385">
        <v>20.526066959264355</v>
      </c>
      <c r="F108" s="385">
        <v>18.519314108316902</v>
      </c>
      <c r="G108" s="385">
        <v>16.809933874908872</v>
      </c>
      <c r="H108" s="385">
        <v>16.234410218423481</v>
      </c>
      <c r="I108" s="408">
        <v>14.690552167552021</v>
      </c>
    </row>
    <row r="109" spans="1:9" outlineLevel="1">
      <c r="A109" s="421"/>
      <c r="B109" s="421"/>
      <c r="C109" s="410">
        <v>60</v>
      </c>
      <c r="D109" s="409">
        <v>21.397443905723811</v>
      </c>
      <c r="E109" s="385">
        <v>20.03610323705848</v>
      </c>
      <c r="F109" s="385">
        <v>18.124866264461854</v>
      </c>
      <c r="G109" s="385">
        <v>16.490520959927597</v>
      </c>
      <c r="H109" s="385">
        <v>15.93885090896006</v>
      </c>
      <c r="I109" s="408">
        <v>14.455224042583259</v>
      </c>
    </row>
    <row r="110" spans="1:9" outlineLevel="1">
      <c r="A110" s="421"/>
      <c r="B110" s="421"/>
      <c r="C110" s="410">
        <v>61</v>
      </c>
      <c r="D110" s="409">
        <v>20.828909218084185</v>
      </c>
      <c r="E110" s="385">
        <v>19.538974792267769</v>
      </c>
      <c r="F110" s="385">
        <v>17.721982273003821</v>
      </c>
      <c r="G110" s="385">
        <v>16.162181445512346</v>
      </c>
      <c r="H110" s="385">
        <v>15.634321396697604</v>
      </c>
      <c r="I110" s="408">
        <v>14.21110435724176</v>
      </c>
    </row>
    <row r="111" spans="1:9" outlineLevel="1">
      <c r="A111" s="421"/>
      <c r="B111" s="421"/>
      <c r="C111" s="410">
        <v>62</v>
      </c>
      <c r="D111" s="409">
        <v>20.253492346625027</v>
      </c>
      <c r="E111" s="385">
        <v>19.033607198228015</v>
      </c>
      <c r="F111" s="385">
        <v>17.309590212928146</v>
      </c>
      <c r="G111" s="385">
        <v>15.823840082711806</v>
      </c>
      <c r="H111" s="385">
        <v>15.319745614847244</v>
      </c>
      <c r="I111" s="408">
        <v>13.957119379423707</v>
      </c>
    </row>
    <row r="112" spans="1:9" outlineLevel="1">
      <c r="A112" s="421"/>
      <c r="B112" s="421"/>
      <c r="C112" s="410">
        <v>63</v>
      </c>
      <c r="D112" s="409">
        <v>19.670303656891125</v>
      </c>
      <c r="E112" s="385">
        <v>18.51909973287755</v>
      </c>
      <c r="F112" s="385">
        <v>16.886759693242809</v>
      </c>
      <c r="G112" s="385">
        <v>15.474534958693274</v>
      </c>
      <c r="H112" s="385">
        <v>14.994151157110824</v>
      </c>
      <c r="I112" s="408">
        <v>13.692272649016862</v>
      </c>
    </row>
    <row r="113" spans="1:9" outlineLevel="1">
      <c r="A113" s="421"/>
      <c r="B113" s="421"/>
      <c r="C113" s="410">
        <v>64</v>
      </c>
      <c r="D113" s="409">
        <v>19.079614319659594</v>
      </c>
      <c r="E113" s="385">
        <v>17.995638470496466</v>
      </c>
      <c r="F113" s="385">
        <v>16.453541149116447</v>
      </c>
      <c r="G113" s="385">
        <v>15.114192075727177</v>
      </c>
      <c r="H113" s="385">
        <v>14.65742164014638</v>
      </c>
      <c r="I113" s="408">
        <v>13.416336567835957</v>
      </c>
    </row>
    <row r="114" spans="1:9" outlineLevel="1">
      <c r="A114" s="421"/>
      <c r="B114" s="421"/>
      <c r="C114" s="410">
        <v>65</v>
      </c>
      <c r="D114" s="409">
        <v>18.481781835427832</v>
      </c>
      <c r="E114" s="385">
        <v>17.463492974786053</v>
      </c>
      <c r="F114" s="385">
        <v>16.010062356980765</v>
      </c>
      <c r="G114" s="385">
        <v>14.74280707493377</v>
      </c>
      <c r="H114" s="385">
        <v>14.309507142920319</v>
      </c>
      <c r="I114" s="408">
        <v>13.129139905515039</v>
      </c>
    </row>
    <row r="115" spans="1:9" outlineLevel="1">
      <c r="A115" s="421"/>
      <c r="B115" s="421"/>
      <c r="C115" s="410">
        <v>66</v>
      </c>
      <c r="D115" s="409">
        <v>17.877230840256168</v>
      </c>
      <c r="E115" s="385">
        <v>16.92299913797072</v>
      </c>
      <c r="F115" s="385">
        <v>15.556514096649394</v>
      </c>
      <c r="G115" s="385">
        <v>14.360433222609943</v>
      </c>
      <c r="H115" s="385">
        <v>13.9504129443909</v>
      </c>
      <c r="I115" s="408">
        <v>12.830558431202119</v>
      </c>
    </row>
    <row r="116" spans="1:9" outlineLevel="1">
      <c r="A116" s="421"/>
      <c r="B116" s="421"/>
      <c r="C116" s="410">
        <v>67</v>
      </c>
      <c r="D116" s="409">
        <v>17.267335166368497</v>
      </c>
      <c r="E116" s="385">
        <v>16.375397696389477</v>
      </c>
      <c r="F116" s="385">
        <v>15.093926067424368</v>
      </c>
      <c r="G116" s="385">
        <v>13.967902224455344</v>
      </c>
      <c r="H116" s="385">
        <v>13.580901365305456</v>
      </c>
      <c r="I116" s="408">
        <v>12.521164671050814</v>
      </c>
    </row>
    <row r="117" spans="1:9" outlineLevel="1">
      <c r="A117" s="421"/>
      <c r="B117" s="421"/>
      <c r="C117" s="410">
        <v>68</v>
      </c>
      <c r="D117" s="409">
        <v>16.652900734239655</v>
      </c>
      <c r="E117" s="385">
        <v>15.821401863237178</v>
      </c>
      <c r="F117" s="385">
        <v>14.622855651627868</v>
      </c>
      <c r="G117" s="385">
        <v>13.565618727929735</v>
      </c>
      <c r="H117" s="385">
        <v>13.201322439590781</v>
      </c>
      <c r="I117" s="408">
        <v>12.201157110476938</v>
      </c>
    </row>
    <row r="118" spans="1:9" outlineLevel="1">
      <c r="A118" s="421"/>
      <c r="B118" s="421"/>
      <c r="C118" s="410">
        <v>69</v>
      </c>
      <c r="D118" s="409">
        <v>16.034579725179839</v>
      </c>
      <c r="E118" s="385">
        <v>15.261585618024741</v>
      </c>
      <c r="F118" s="385">
        <v>14.143739724801888</v>
      </c>
      <c r="G118" s="385">
        <v>13.153880750010879</v>
      </c>
      <c r="H118" s="385">
        <v>12.811923695462886</v>
      </c>
      <c r="I118" s="408">
        <v>11.87064116295787</v>
      </c>
    </row>
    <row r="119" spans="1:9" outlineLevel="1">
      <c r="A119" s="421"/>
      <c r="B119" s="421"/>
      <c r="C119" s="410">
        <v>70</v>
      </c>
      <c r="D119" s="409">
        <v>15.413405645243213</v>
      </c>
      <c r="E119" s="385">
        <v>14.696892743136599</v>
      </c>
      <c r="F119" s="385">
        <v>13.657366275475866</v>
      </c>
      <c r="G119" s="385">
        <v>12.733318339778284</v>
      </c>
      <c r="H119" s="385">
        <v>12.413277459696335</v>
      </c>
      <c r="I119" s="408">
        <v>11.530025244130009</v>
      </c>
    </row>
    <row r="120" spans="1:9" outlineLevel="1">
      <c r="A120" s="421"/>
      <c r="B120" s="421"/>
      <c r="C120" s="405">
        <v>71</v>
      </c>
      <c r="D120" s="404">
        <v>14.79033101116876</v>
      </c>
      <c r="E120" s="403">
        <v>14.128199186702426</v>
      </c>
      <c r="F120" s="403">
        <v>13.164472432957739</v>
      </c>
      <c r="G120" s="403">
        <v>12.304523113232241</v>
      </c>
      <c r="H120" s="403">
        <v>12.005921247124158</v>
      </c>
      <c r="I120" s="402">
        <v>11.179690917753776</v>
      </c>
    </row>
    <row r="121" spans="1:9" outlineLevel="1">
      <c r="A121" s="421"/>
      <c r="B121" s="421"/>
      <c r="C121" s="386"/>
      <c r="D121" s="385"/>
      <c r="E121" s="385"/>
      <c r="F121" s="385"/>
      <c r="G121" s="385"/>
      <c r="H121" s="385"/>
      <c r="I121" s="385"/>
    </row>
    <row r="122" spans="1:9" outlineLevel="1">
      <c r="A122" s="421"/>
      <c r="B122" s="421"/>
    </row>
    <row r="123" spans="1:9" outlineLevel="1">
      <c r="D123" s="1805" t="s">
        <v>628</v>
      </c>
      <c r="E123" s="1806"/>
      <c r="F123" s="1806"/>
      <c r="G123" s="1806"/>
      <c r="H123" s="1806"/>
      <c r="I123" s="1807"/>
    </row>
    <row r="124" spans="1:9" outlineLevel="1">
      <c r="D124" s="420" t="s">
        <v>541</v>
      </c>
      <c r="E124" s="419"/>
      <c r="F124" s="419"/>
      <c r="G124" s="419"/>
      <c r="H124" s="419"/>
      <c r="I124" s="418"/>
    </row>
    <row r="125" spans="1:9" outlineLevel="1">
      <c r="C125" s="396" t="s">
        <v>252</v>
      </c>
      <c r="D125" s="417">
        <v>1.7000000000000001E-2</v>
      </c>
      <c r="E125" s="416">
        <v>2.1999999999999999E-2</v>
      </c>
      <c r="F125" s="416">
        <v>0.03</v>
      </c>
      <c r="G125" s="416">
        <v>3.7999999999999999E-2</v>
      </c>
      <c r="H125" s="416">
        <v>4.1000000000000002E-2</v>
      </c>
      <c r="I125" s="415">
        <v>0.05</v>
      </c>
    </row>
    <row r="126" spans="1:9" outlineLevel="1">
      <c r="A126" s="407"/>
      <c r="B126" s="407"/>
      <c r="C126" s="414">
        <v>45</v>
      </c>
      <c r="D126" s="412">
        <v>29.385474656227597</v>
      </c>
      <c r="E126" s="412">
        <v>26.802505919054351</v>
      </c>
      <c r="F126" s="412">
        <v>23.350216454590011</v>
      </c>
      <c r="G126" s="412">
        <v>20.561598757236027</v>
      </c>
      <c r="H126" s="412">
        <v>19.654661597289788</v>
      </c>
      <c r="I126" s="411">
        <v>17.302094563960353</v>
      </c>
    </row>
    <row r="127" spans="1:9" outlineLevel="1">
      <c r="A127" s="407"/>
      <c r="B127" s="407"/>
      <c r="C127" s="410">
        <v>46</v>
      </c>
      <c r="D127" s="385">
        <v>28.894292500802926</v>
      </c>
      <c r="E127" s="385">
        <v>26.399522038646786</v>
      </c>
      <c r="F127" s="385">
        <v>23.054307012154606</v>
      </c>
      <c r="G127" s="385">
        <v>20.342145109912359</v>
      </c>
      <c r="H127" s="385">
        <v>19.457962049538001</v>
      </c>
      <c r="I127" s="408">
        <v>17.159199250289724</v>
      </c>
    </row>
    <row r="128" spans="1:9" outlineLevel="1">
      <c r="A128" s="407"/>
      <c r="B128" s="407"/>
      <c r="C128" s="410">
        <v>47</v>
      </c>
      <c r="D128" s="385">
        <v>28.397934540424913</v>
      </c>
      <c r="E128" s="385">
        <v>25.990561308920434</v>
      </c>
      <c r="F128" s="385">
        <v>22.752044534373173</v>
      </c>
      <c r="G128" s="385">
        <v>20.116594207339972</v>
      </c>
      <c r="H128" s="385">
        <v>19.255349854082866</v>
      </c>
      <c r="I128" s="408">
        <v>17.011080615472515</v>
      </c>
    </row>
    <row r="129" spans="1:9" outlineLevel="1">
      <c r="A129" s="407"/>
      <c r="B129" s="407"/>
      <c r="C129" s="410">
        <v>48</v>
      </c>
      <c r="D129" s="385">
        <v>27.896000942849273</v>
      </c>
      <c r="E129" s="385">
        <v>25.575218275849178</v>
      </c>
      <c r="F129" s="385">
        <v>22.443013059981617</v>
      </c>
      <c r="G129" s="385">
        <v>19.884526560391457</v>
      </c>
      <c r="H129" s="385">
        <v>19.046406700953348</v>
      </c>
      <c r="I129" s="408">
        <v>16.85733174548686</v>
      </c>
    </row>
    <row r="130" spans="1:9" outlineLevel="1">
      <c r="A130" s="407"/>
      <c r="B130" s="407"/>
      <c r="C130" s="410">
        <v>49</v>
      </c>
      <c r="D130" s="385">
        <v>27.388042593693303</v>
      </c>
      <c r="E130" s="385">
        <v>25.15304105083684</v>
      </c>
      <c r="F130" s="385">
        <v>22.12675366527678</v>
      </c>
      <c r="G130" s="385">
        <v>19.645482244613866</v>
      </c>
      <c r="H130" s="385">
        <v>18.830674637449619</v>
      </c>
      <c r="I130" s="408">
        <v>16.697508192067218</v>
      </c>
    </row>
    <row r="131" spans="1:9" outlineLevel="1">
      <c r="A131" s="407"/>
      <c r="B131" s="407"/>
      <c r="C131" s="410">
        <v>50</v>
      </c>
      <c r="D131" s="385">
        <v>26.8740828314595</v>
      </c>
      <c r="E131" s="385">
        <v>24.724003842598723</v>
      </c>
      <c r="F131" s="385">
        <v>21.803170443692121</v>
      </c>
      <c r="G131" s="385">
        <v>19.399312413997322</v>
      </c>
      <c r="H131" s="385">
        <v>18.607989726320444</v>
      </c>
      <c r="I131" s="408">
        <v>16.531414990042283</v>
      </c>
    </row>
    <row r="132" spans="1:9" outlineLevel="1">
      <c r="A132" s="407"/>
      <c r="B132" s="407"/>
      <c r="C132" s="410">
        <v>51</v>
      </c>
      <c r="D132" s="385">
        <v>26.353964035564374</v>
      </c>
      <c r="E132" s="385">
        <v>24.287918708990436</v>
      </c>
      <c r="F132" s="385">
        <v>21.472029696361105</v>
      </c>
      <c r="G132" s="385">
        <v>19.145749352959378</v>
      </c>
      <c r="H132" s="385">
        <v>18.378075173626478</v>
      </c>
      <c r="I132" s="408">
        <v>16.358759662999887</v>
      </c>
    </row>
    <row r="133" spans="1:9" outlineLevel="1">
      <c r="A133" s="407"/>
      <c r="B133" s="407"/>
      <c r="C133" s="410">
        <v>52</v>
      </c>
      <c r="D133" s="385">
        <v>25.827834766089861</v>
      </c>
      <c r="E133" s="385">
        <v>23.844876678843864</v>
      </c>
      <c r="F133" s="385">
        <v>21.133338804262319</v>
      </c>
      <c r="G133" s="385">
        <v>18.884734392288038</v>
      </c>
      <c r="H133" s="385">
        <v>18.14085253616247</v>
      </c>
      <c r="I133" s="408">
        <v>16.179419775760568</v>
      </c>
    </row>
    <row r="134" spans="1:9" outlineLevel="1">
      <c r="A134" s="407"/>
      <c r="B134" s="407"/>
      <c r="C134" s="410">
        <v>53</v>
      </c>
      <c r="D134" s="385">
        <v>25.296115465123382</v>
      </c>
      <c r="E134" s="385">
        <v>23.395218015580877</v>
      </c>
      <c r="F134" s="385">
        <v>20.787322212673683</v>
      </c>
      <c r="G134" s="385">
        <v>18.616398135283905</v>
      </c>
      <c r="H134" s="385">
        <v>17.896423242250933</v>
      </c>
      <c r="I134" s="408">
        <v>15.993427594984109</v>
      </c>
    </row>
    <row r="135" spans="1:9" outlineLevel="1">
      <c r="A135" s="407"/>
      <c r="B135" s="407"/>
      <c r="C135" s="410">
        <v>54</v>
      </c>
      <c r="D135" s="385">
        <v>24.759347589372194</v>
      </c>
      <c r="E135" s="385">
        <v>22.939394912272569</v>
      </c>
      <c r="F135" s="385">
        <v>20.434302323765522</v>
      </c>
      <c r="G135" s="385">
        <v>18.340956086525477</v>
      </c>
      <c r="H135" s="385">
        <v>17.644969015800953</v>
      </c>
      <c r="I135" s="408">
        <v>15.800882949194282</v>
      </c>
    </row>
    <row r="136" spans="1:9" outlineLevel="1">
      <c r="A136" s="407"/>
      <c r="B136" s="407"/>
      <c r="C136" s="410">
        <v>55</v>
      </c>
      <c r="D136" s="385">
        <v>24.218326636900361</v>
      </c>
      <c r="E136" s="385">
        <v>22.478092965221148</v>
      </c>
      <c r="F136" s="385">
        <v>20.074804909938123</v>
      </c>
      <c r="G136" s="385">
        <v>18.058800479373215</v>
      </c>
      <c r="H136" s="385">
        <v>17.386839149714298</v>
      </c>
      <c r="I136" s="408">
        <v>15.602028342322026</v>
      </c>
    </row>
    <row r="137" spans="1:9" outlineLevel="1">
      <c r="A137" s="407"/>
      <c r="B137" s="407"/>
      <c r="C137" s="410">
        <v>56</v>
      </c>
      <c r="D137" s="385">
        <v>23.673699741305192</v>
      </c>
      <c r="E137" s="385">
        <v>22.011864168085975</v>
      </c>
      <c r="F137" s="385">
        <v>19.709240491032084</v>
      </c>
      <c r="G137" s="385">
        <v>17.770221684027334</v>
      </c>
      <c r="H137" s="385">
        <v>17.12228512280489</v>
      </c>
      <c r="I137" s="408">
        <v>15.397018274784546</v>
      </c>
    </row>
    <row r="138" spans="1:9" outlineLevel="1">
      <c r="A138" s="407"/>
      <c r="B138" s="407"/>
      <c r="C138" s="410">
        <v>57</v>
      </c>
      <c r="D138" s="385">
        <v>23.126126681303937</v>
      </c>
      <c r="E138" s="385">
        <v>21.541272987149959</v>
      </c>
      <c r="F138" s="385">
        <v>19.338030019435969</v>
      </c>
      <c r="G138" s="385">
        <v>17.475516984991486</v>
      </c>
      <c r="H138" s="385">
        <v>16.851563779011563</v>
      </c>
      <c r="I138" s="408">
        <v>15.186007639412828</v>
      </c>
    </row>
    <row r="139" spans="1:9" outlineLevel="1">
      <c r="A139" s="407"/>
      <c r="B139" s="407"/>
      <c r="C139" s="410">
        <v>58</v>
      </c>
      <c r="D139" s="385">
        <v>22.575323419872888</v>
      </c>
      <c r="E139" s="385">
        <v>21.066018643993814</v>
      </c>
      <c r="F139" s="385">
        <v>18.960836400504753</v>
      </c>
      <c r="G139" s="385">
        <v>17.17431409211358</v>
      </c>
      <c r="H139" s="385">
        <v>16.574291550769235</v>
      </c>
      <c r="I139" s="408">
        <v>14.96858757396949</v>
      </c>
    </row>
    <row r="140" spans="1:9" outlineLevel="1">
      <c r="A140" s="407"/>
      <c r="B140" s="407"/>
      <c r="C140" s="410">
        <v>59</v>
      </c>
      <c r="D140" s="385">
        <v>22.02066682913318</v>
      </c>
      <c r="E140" s="385">
        <v>20.585485043453275</v>
      </c>
      <c r="F140" s="385">
        <v>18.577039699349719</v>
      </c>
      <c r="G140" s="385">
        <v>16.865984612372241</v>
      </c>
      <c r="H140" s="385">
        <v>16.289837563452423</v>
      </c>
      <c r="I140" s="408">
        <v>14.744125025607438</v>
      </c>
    </row>
    <row r="141" spans="1:9" outlineLevel="1">
      <c r="A141" s="407"/>
      <c r="B141" s="407"/>
      <c r="C141" s="410">
        <v>60</v>
      </c>
      <c r="D141" s="385">
        <v>21.46126915298268</v>
      </c>
      <c r="E141" s="385">
        <v>20.098808188076372</v>
      </c>
      <c r="F141" s="385">
        <v>18.185795121136564</v>
      </c>
      <c r="G141" s="385">
        <v>16.549694389856938</v>
      </c>
      <c r="H141" s="385">
        <v>15.997371483990086</v>
      </c>
      <c r="I141" s="408">
        <v>14.511804113371721</v>
      </c>
    </row>
    <row r="142" spans="1:9" outlineLevel="1">
      <c r="A142" s="407"/>
      <c r="B142" s="407"/>
      <c r="C142" s="410">
        <v>61</v>
      </c>
      <c r="D142" s="385">
        <v>20.896044968821148</v>
      </c>
      <c r="E142" s="385">
        <v>19.604935886325752</v>
      </c>
      <c r="F142" s="385">
        <v>17.786082906837979</v>
      </c>
      <c r="G142" s="385">
        <v>16.224445370976749</v>
      </c>
      <c r="H142" s="385">
        <v>15.695902752940864</v>
      </c>
      <c r="I142" s="408">
        <v>14.270658479359774</v>
      </c>
    </row>
    <row r="143" spans="1:9" outlineLevel="1">
      <c r="A143" s="407"/>
      <c r="B143" s="407"/>
      <c r="C143" s="410">
        <v>62</v>
      </c>
      <c r="D143" s="385">
        <v>20.32418381566281</v>
      </c>
      <c r="E143" s="385">
        <v>19.103064588838784</v>
      </c>
      <c r="F143" s="385">
        <v>17.377094945555285</v>
      </c>
      <c r="G143" s="385">
        <v>15.889419307240663</v>
      </c>
      <c r="H143" s="385">
        <v>15.384609814339793</v>
      </c>
      <c r="I143" s="408">
        <v>14.019861634877124</v>
      </c>
    </row>
    <row r="144" spans="1:9" outlineLevel="1">
      <c r="A144" s="407"/>
      <c r="B144" s="407"/>
      <c r="C144" s="410">
        <v>63</v>
      </c>
      <c r="D144" s="385">
        <v>19.745153017148731</v>
      </c>
      <c r="E144" s="385">
        <v>18.5926451547708</v>
      </c>
      <c r="F144" s="385">
        <v>16.958244073332803</v>
      </c>
      <c r="G144" s="385">
        <v>15.543989452912088</v>
      </c>
      <c r="H144" s="385">
        <v>15.062852479677764</v>
      </c>
      <c r="I144" s="408">
        <v>13.758740720314552</v>
      </c>
    </row>
    <row r="145" spans="1:9" outlineLevel="1">
      <c r="A145" s="407"/>
      <c r="B145" s="407"/>
      <c r="C145" s="410">
        <v>64</v>
      </c>
      <c r="D145" s="385">
        <v>19.15938312259085</v>
      </c>
      <c r="E145" s="385">
        <v>18.074020441484301</v>
      </c>
      <c r="F145" s="385">
        <v>16.529733475817888</v>
      </c>
      <c r="G145" s="385">
        <v>15.188230670258092</v>
      </c>
      <c r="H145" s="385">
        <v>14.730661802038313</v>
      </c>
      <c r="I145" s="408">
        <v>13.487211414709467</v>
      </c>
    </row>
    <row r="146" spans="1:9" outlineLevel="1">
      <c r="A146" s="407"/>
      <c r="B146" s="407"/>
      <c r="C146" s="410">
        <v>65</v>
      </c>
      <c r="D146" s="385">
        <v>18.567411580420128</v>
      </c>
      <c r="E146" s="385">
        <v>17.547637260766546</v>
      </c>
      <c r="F146" s="385">
        <v>16.091863980080912</v>
      </c>
      <c r="G146" s="385">
        <v>14.822307598280929</v>
      </c>
      <c r="H146" s="385">
        <v>14.388155374480753</v>
      </c>
      <c r="I146" s="408">
        <v>13.205265663923768</v>
      </c>
    </row>
    <row r="147" spans="1:9" outlineLevel="1">
      <c r="A147" s="407"/>
      <c r="B147" s="407"/>
      <c r="C147" s="410">
        <v>66</v>
      </c>
      <c r="D147" s="385">
        <v>17.969875808164304</v>
      </c>
      <c r="E147" s="385">
        <v>17.014041350136015</v>
      </c>
      <c r="F147" s="385">
        <v>15.645031647244632</v>
      </c>
      <c r="G147" s="385">
        <v>14.446474378915033</v>
      </c>
      <c r="H147" s="385">
        <v>14.03553773883954</v>
      </c>
      <c r="I147" s="408">
        <v>12.912973785768713</v>
      </c>
    </row>
    <row r="148" spans="1:9" outlineLevel="1">
      <c r="A148" s="407"/>
      <c r="B148" s="407"/>
      <c r="C148" s="410">
        <v>67</v>
      </c>
      <c r="D148" s="385">
        <v>17.368145843808879</v>
      </c>
      <c r="E148" s="385">
        <v>16.474469124858778</v>
      </c>
      <c r="F148" s="385">
        <v>15.190261050173021</v>
      </c>
      <c r="G148" s="385">
        <v>14.061556830088911</v>
      </c>
      <c r="H148" s="385">
        <v>13.673565053451171</v>
      </c>
      <c r="I148" s="408">
        <v>12.610901354005371</v>
      </c>
    </row>
    <row r="149" spans="1:9" outlineLevel="1">
      <c r="A149" s="407"/>
      <c r="B149" s="407"/>
      <c r="C149" s="410">
        <v>68</v>
      </c>
      <c r="D149" s="385">
        <v>16.76318681915161</v>
      </c>
      <c r="E149" s="385">
        <v>15.929790269368048</v>
      </c>
      <c r="F149" s="385">
        <v>14.728261789917905</v>
      </c>
      <c r="G149" s="385">
        <v>13.668107721033428</v>
      </c>
      <c r="H149" s="385">
        <v>13.302733976312924</v>
      </c>
      <c r="I149" s="408">
        <v>12.299389106795655</v>
      </c>
    </row>
    <row r="150" spans="1:9" outlineLevel="1">
      <c r="A150" s="407"/>
      <c r="B150" s="407"/>
      <c r="C150" s="410">
        <v>69</v>
      </c>
      <c r="D150" s="385">
        <v>16.155890363367256</v>
      </c>
      <c r="E150" s="385">
        <v>15.380814551806299</v>
      </c>
      <c r="F150" s="385">
        <v>14.259700845853541</v>
      </c>
      <c r="G150" s="385">
        <v>13.266649688717552</v>
      </c>
      <c r="H150" s="385">
        <v>12.923514649156763</v>
      </c>
      <c r="I150" s="408">
        <v>11.978759209172248</v>
      </c>
    </row>
    <row r="151" spans="1:9" outlineLevel="1">
      <c r="A151" s="407"/>
      <c r="B151" s="407"/>
      <c r="C151" s="405">
        <v>70</v>
      </c>
      <c r="D151" s="403">
        <v>15.547462697979583</v>
      </c>
      <c r="E151" s="403">
        <v>14.828655649068057</v>
      </c>
      <c r="F151" s="403">
        <v>13.785531721641973</v>
      </c>
      <c r="G151" s="403">
        <v>12.85797407651053</v>
      </c>
      <c r="H151" s="403">
        <v>12.53663914963019</v>
      </c>
      <c r="I151" s="402">
        <v>11.649575321501109</v>
      </c>
    </row>
    <row r="152" spans="1:9" outlineLevel="1">
      <c r="A152" s="407"/>
      <c r="B152" s="407"/>
      <c r="C152" s="386"/>
      <c r="D152" s="385"/>
      <c r="E152" s="385"/>
      <c r="F152" s="385"/>
      <c r="G152" s="385"/>
      <c r="H152" s="385"/>
      <c r="I152" s="385"/>
    </row>
    <row r="153" spans="1:9" outlineLevel="1"/>
    <row r="154" spans="1:9" outlineLevel="1">
      <c r="D154" s="1805" t="s">
        <v>627</v>
      </c>
      <c r="E154" s="1806"/>
      <c r="F154" s="1806"/>
      <c r="G154" s="1806"/>
      <c r="H154" s="1806"/>
      <c r="I154" s="1807"/>
    </row>
    <row r="155" spans="1:9" outlineLevel="1">
      <c r="D155" s="1805" t="s">
        <v>541</v>
      </c>
      <c r="E155" s="1806"/>
      <c r="F155" s="1806"/>
      <c r="G155" s="1806"/>
      <c r="H155" s="1806"/>
      <c r="I155" s="1807"/>
    </row>
    <row r="156" spans="1:9" outlineLevel="1">
      <c r="C156" s="396" t="s">
        <v>252</v>
      </c>
      <c r="D156" s="417">
        <v>1.7000000000000001E-2</v>
      </c>
      <c r="E156" s="416">
        <v>2.1999999999999999E-2</v>
      </c>
      <c r="F156" s="416">
        <v>0.03</v>
      </c>
      <c r="G156" s="416">
        <v>3.7999999999999999E-2</v>
      </c>
      <c r="H156" s="416">
        <v>4.1000000000000002E-2</v>
      </c>
      <c r="I156" s="415">
        <v>0.05</v>
      </c>
    </row>
    <row r="157" spans="1:9" outlineLevel="1">
      <c r="A157" s="407"/>
      <c r="B157" s="406"/>
      <c r="C157" s="414">
        <v>45</v>
      </c>
      <c r="D157" s="413">
        <v>13.711843252457847</v>
      </c>
      <c r="E157" s="412">
        <v>11.728488989884527</v>
      </c>
      <c r="F157" s="412">
        <v>9.179525541275833</v>
      </c>
      <c r="G157" s="412">
        <v>7.2265215491819541</v>
      </c>
      <c r="H157" s="412">
        <v>6.6160355707200775</v>
      </c>
      <c r="I157" s="411">
        <v>5.1000409883490931</v>
      </c>
    </row>
    <row r="158" spans="1:9" outlineLevel="1">
      <c r="A158" s="407"/>
      <c r="B158" s="406"/>
      <c r="C158" s="410">
        <v>46</v>
      </c>
      <c r="D158" s="409">
        <v>13.922446147679846</v>
      </c>
      <c r="E158" s="385">
        <v>11.968143572603882</v>
      </c>
      <c r="F158" s="385">
        <v>9.4415615932248222</v>
      </c>
      <c r="G158" s="385">
        <v>7.4913721168144738</v>
      </c>
      <c r="H158" s="385">
        <v>6.8786050253717486</v>
      </c>
      <c r="I158" s="408">
        <v>5.3488801927308547</v>
      </c>
    </row>
    <row r="159" spans="1:9" outlineLevel="1">
      <c r="A159" s="407"/>
      <c r="B159" s="406"/>
      <c r="C159" s="410">
        <v>47</v>
      </c>
      <c r="D159" s="409">
        <v>14.136189073211638</v>
      </c>
      <c r="E159" s="385">
        <v>12.2126159648883</v>
      </c>
      <c r="F159" s="385">
        <v>9.7110178820674644</v>
      </c>
      <c r="G159" s="385">
        <v>7.765884057183607</v>
      </c>
      <c r="H159" s="385">
        <v>7.1515540884490836</v>
      </c>
      <c r="I159" s="408">
        <v>5.6098304142700961</v>
      </c>
    </row>
    <row r="160" spans="1:9" outlineLevel="1">
      <c r="A160" s="407"/>
      <c r="B160" s="406"/>
      <c r="C160" s="410">
        <v>48</v>
      </c>
      <c r="D160" s="409">
        <v>14.353116950183525</v>
      </c>
      <c r="E160" s="385">
        <v>12.46200103863811</v>
      </c>
      <c r="F160" s="385">
        <v>9.9881025528982761</v>
      </c>
      <c r="G160" s="385">
        <v>8.0504079338141032</v>
      </c>
      <c r="H160" s="385">
        <v>7.4352912622934753</v>
      </c>
      <c r="I160" s="408">
        <v>5.8834794796954775</v>
      </c>
    </row>
    <row r="161" spans="1:9" outlineLevel="1">
      <c r="A161" s="407"/>
      <c r="B161" s="406"/>
      <c r="C161" s="410">
        <v>49</v>
      </c>
      <c r="D161" s="409">
        <v>14.57327530666316</v>
      </c>
      <c r="E161" s="385">
        <v>12.716395486388292</v>
      </c>
      <c r="F161" s="385">
        <v>10.273029525549545</v>
      </c>
      <c r="G161" s="385">
        <v>8.3453069545388416</v>
      </c>
      <c r="H161" s="385">
        <v>7.730241047131142</v>
      </c>
      <c r="I161" s="408">
        <v>6.1704436611219844</v>
      </c>
    </row>
    <row r="162" spans="1:9" outlineLevel="1">
      <c r="A162" s="407"/>
      <c r="B162" s="406"/>
      <c r="C162" s="410">
        <v>50</v>
      </c>
      <c r="D162" s="409">
        <v>14.796710285251516</v>
      </c>
      <c r="E162" s="385">
        <v>12.975897855173629</v>
      </c>
      <c r="F162" s="385">
        <v>10.566018652802816</v>
      </c>
      <c r="G162" s="385">
        <v>8.6509574245366085</v>
      </c>
      <c r="H162" s="385">
        <v>8.0368445641801891</v>
      </c>
      <c r="I162" s="408">
        <v>6.4713690480528552</v>
      </c>
    </row>
    <row r="163" spans="1:9" outlineLevel="1">
      <c r="A163" s="407"/>
      <c r="B163" s="406"/>
      <c r="C163" s="410">
        <v>51</v>
      </c>
      <c r="D163" s="409">
        <v>15.023468650765903</v>
      </c>
      <c r="E163" s="385">
        <v>13.240608581002096</v>
      </c>
      <c r="F163" s="385">
        <v>10.867295882875029</v>
      </c>
      <c r="G163" s="385">
        <v>8.9677492154843801</v>
      </c>
      <c r="H163" s="385">
        <v>8.3555602028836358</v>
      </c>
      <c r="I163" s="408">
        <v>6.7869329853245031</v>
      </c>
    </row>
    <row r="164" spans="1:9" outlineLevel="1">
      <c r="A164" s="407"/>
      <c r="B164" s="406"/>
      <c r="C164" s="410">
        <v>52</v>
      </c>
      <c r="D164" s="409">
        <v>15.253597798010793</v>
      </c>
      <c r="E164" s="385">
        <v>13.510630023946781</v>
      </c>
      <c r="F164" s="385">
        <v>11.177093426293069</v>
      </c>
      <c r="G164" s="385">
        <v>9.2960862513929872</v>
      </c>
      <c r="H164" s="385">
        <v>8.6868642931968267</v>
      </c>
      <c r="I164" s="408">
        <v>7.1178455801520091</v>
      </c>
    </row>
    <row r="165" spans="1:9" outlineLevel="1">
      <c r="A165" s="407"/>
      <c r="B165" s="406"/>
      <c r="C165" s="410">
        <v>53</v>
      </c>
      <c r="D165" s="409">
        <v>15.487145759637624</v>
      </c>
      <c r="E165" s="385">
        <v>13.786066503867236</v>
      </c>
      <c r="F165" s="385">
        <v>11.495649927273561</v>
      </c>
      <c r="G165" s="385">
        <v>9.6363870117146178</v>
      </c>
      <c r="H165" s="385">
        <v>9.0312518038927809</v>
      </c>
      <c r="I165" s="408">
        <v>7.4648512815833641</v>
      </c>
    </row>
    <row r="166" spans="1:9" outlineLevel="1">
      <c r="A166" s="407"/>
      <c r="B166" s="406"/>
      <c r="C166" s="410">
        <v>54</v>
      </c>
      <c r="D166" s="409">
        <v>15.724161214094378</v>
      </c>
      <c r="E166" s="385">
        <v>14.067024336771166</v>
      </c>
      <c r="F166" s="385">
        <v>11.82321063972765</v>
      </c>
      <c r="G166" s="385">
        <v>9.9890850523316956</v>
      </c>
      <c r="H166" s="385">
        <v>9.3892370678861941</v>
      </c>
      <c r="I166" s="408">
        <v>7.8287305358283561</v>
      </c>
    </row>
    <row r="167" spans="1:9" outlineLevel="1">
      <c r="A167" s="407"/>
      <c r="B167" s="406"/>
      <c r="C167" s="410">
        <v>55</v>
      </c>
      <c r="D167" s="409">
        <v>15.964693493666141</v>
      </c>
      <c r="E167" s="385">
        <v>14.353611871827539</v>
      </c>
      <c r="F167" s="385">
        <v>12.160027608013994</v>
      </c>
      <c r="G167" s="385">
        <v>10.354629545057568</v>
      </c>
      <c r="H167" s="385">
        <v>9.7613545356146876</v>
      </c>
      <c r="I167" s="408">
        <v>8.2103015210932995</v>
      </c>
    </row>
    <row r="168" spans="1:9" outlineLevel="1">
      <c r="A168" s="407"/>
      <c r="B168" s="406"/>
      <c r="C168" s="410">
        <v>56</v>
      </c>
      <c r="D168" s="409">
        <v>16.208792592607345</v>
      </c>
      <c r="E168" s="385">
        <v>14.645939529042368</v>
      </c>
      <c r="F168" s="385">
        <v>12.506359852565982</v>
      </c>
      <c r="G168" s="385">
        <v>10.733485836301707</v>
      </c>
      <c r="H168" s="385">
        <v>10.148159557555909</v>
      </c>
      <c r="I168" s="408">
        <v>8.6104219657260117</v>
      </c>
    </row>
    <row r="169" spans="1:9" outlineLevel="1">
      <c r="A169" s="407"/>
      <c r="B169" s="406"/>
      <c r="C169" s="410">
        <v>57</v>
      </c>
      <c r="D169" s="409">
        <v>16.456509175367213</v>
      </c>
      <c r="E169" s="385">
        <v>14.944119837608772</v>
      </c>
      <c r="F169" s="385">
        <v>12.862473560522881</v>
      </c>
      <c r="G169" s="385">
        <v>11.126136025575036</v>
      </c>
      <c r="H169" s="385">
        <v>10.550229196999965</v>
      </c>
      <c r="I169" s="408">
        <v>9.0299910536563104</v>
      </c>
    </row>
    <row r="170" spans="1:9" outlineLevel="1">
      <c r="A170" s="407"/>
      <c r="B170" s="406"/>
      <c r="C170" s="410">
        <v>58</v>
      </c>
      <c r="D170" s="409">
        <v>16.707894584908878</v>
      </c>
      <c r="E170" s="385">
        <v>15.248267474943038</v>
      </c>
      <c r="F170" s="385">
        <v>13.228642281497716</v>
      </c>
      <c r="G170" s="385">
        <v>11.533079564534354</v>
      </c>
      <c r="H170" s="385">
        <v>10.968163074239728</v>
      </c>
      <c r="I170" s="408">
        <v>9.469951421307961</v>
      </c>
    </row>
    <row r="171" spans="1:9" outlineLevel="1">
      <c r="A171" s="407"/>
      <c r="B171" s="406"/>
      <c r="C171" s="410">
        <v>59</v>
      </c>
      <c r="D171" s="409">
        <v>16.963000851123617</v>
      </c>
      <c r="E171" s="385">
        <v>15.558499306418268</v>
      </c>
      <c r="F171" s="385">
        <v>13.605147128618537</v>
      </c>
      <c r="G171" s="385">
        <v>11.954833877289543</v>
      </c>
      <c r="H171" s="385">
        <v>11.402584243385579</v>
      </c>
      <c r="I171" s="408">
        <v>9.9312912503561321</v>
      </c>
    </row>
    <row r="172" spans="1:9" outlineLevel="1">
      <c r="A172" s="407"/>
      <c r="B172" s="406"/>
      <c r="C172" s="410">
        <v>60</v>
      </c>
      <c r="D172" s="409">
        <v>17.221774645789424</v>
      </c>
      <c r="E172" s="385">
        <v>15.874838217994258</v>
      </c>
      <c r="F172" s="385">
        <v>13.992194386832169</v>
      </c>
      <c r="G172" s="385">
        <v>12.39186380594623</v>
      </c>
      <c r="H172" s="385">
        <v>11.854072697023812</v>
      </c>
      <c r="I172" s="408">
        <v>10.414989080233889</v>
      </c>
    </row>
    <row r="173" spans="1:9" outlineLevel="1">
      <c r="A173" s="407"/>
      <c r="B173" s="406"/>
      <c r="C173" s="410">
        <v>61</v>
      </c>
      <c r="D173" s="409">
        <v>17.484145004586278</v>
      </c>
      <c r="E173" s="385">
        <v>16.197290722619655</v>
      </c>
      <c r="F173" s="385">
        <v>14.389979565198299</v>
      </c>
      <c r="G173" s="385">
        <v>12.844634933165329</v>
      </c>
      <c r="H173" s="385">
        <v>12.323215324659872</v>
      </c>
      <c r="I173" s="408">
        <v>10.922055682285206</v>
      </c>
    </row>
    <row r="174" spans="1:9" outlineLevel="1">
      <c r="A174" s="407"/>
      <c r="B174" s="406"/>
      <c r="C174" s="410">
        <v>62</v>
      </c>
      <c r="D174" s="409">
        <v>17.750021736585769</v>
      </c>
      <c r="E174" s="385">
        <v>16.52584509512004</v>
      </c>
      <c r="F174" s="385">
        <v>14.798685257873109</v>
      </c>
      <c r="G174" s="385">
        <v>13.31361152107057</v>
      </c>
      <c r="H174" s="385">
        <v>12.810604012767005</v>
      </c>
      <c r="I174" s="408">
        <v>11.453533235799858</v>
      </c>
    </row>
    <row r="175" spans="1:9" outlineLevel="1">
      <c r="A175" s="407"/>
      <c r="B175" s="406"/>
      <c r="C175" s="410">
        <v>63</v>
      </c>
      <c r="D175" s="409">
        <v>18.01929114019412</v>
      </c>
      <c r="E175" s="385">
        <v>16.860466977000257</v>
      </c>
      <c r="F175" s="385">
        <v>15.218476690417525</v>
      </c>
      <c r="G175" s="385">
        <v>13.799252313232406</v>
      </c>
      <c r="H175" s="385">
        <v>13.316831670105838</v>
      </c>
      <c r="I175" s="408">
        <v>12.010492623241252</v>
      </c>
    </row>
    <row r="176" spans="1:9" outlineLevel="1">
      <c r="A176" s="407"/>
      <c r="B176" s="406"/>
      <c r="C176" s="410">
        <v>64</v>
      </c>
      <c r="D176" s="409">
        <v>18.291810643448024</v>
      </c>
      <c r="E176" s="385">
        <v>17.201093860837858</v>
      </c>
      <c r="F176" s="385">
        <v>15.649496074476893</v>
      </c>
      <c r="G176" s="385">
        <v>14.302005083415544</v>
      </c>
      <c r="H176" s="385">
        <v>13.842486982603724</v>
      </c>
      <c r="I176" s="408">
        <v>12.594029440264238</v>
      </c>
    </row>
    <row r="177" spans="1:9" outlineLevel="1">
      <c r="A177" s="407"/>
      <c r="B177" s="406"/>
      <c r="C177" s="405">
        <v>65</v>
      </c>
      <c r="D177" s="404">
        <v>18.567411580420128</v>
      </c>
      <c r="E177" s="403">
        <v>17.547637260766546</v>
      </c>
      <c r="F177" s="403">
        <v>16.091863980080912</v>
      </c>
      <c r="G177" s="403">
        <v>14.822307598280929</v>
      </c>
      <c r="H177" s="403">
        <v>14.388155374480753</v>
      </c>
      <c r="I177" s="402">
        <v>13.205265663923768</v>
      </c>
    </row>
    <row r="178" spans="1:9" outlineLevel="1">
      <c r="A178" s="387"/>
      <c r="B178" s="387"/>
      <c r="C178" s="386"/>
      <c r="D178" s="385"/>
      <c r="E178" s="385"/>
      <c r="F178" s="385"/>
      <c r="G178" s="385"/>
      <c r="H178" s="385"/>
      <c r="I178" s="385"/>
    </row>
    <row r="179" spans="1:9" outlineLevel="1">
      <c r="A179" s="387"/>
      <c r="B179" s="387"/>
      <c r="C179" s="401"/>
      <c r="D179" s="385"/>
      <c r="E179" s="385"/>
      <c r="F179" s="385"/>
      <c r="G179" s="385"/>
      <c r="H179" s="385"/>
      <c r="I179" s="385"/>
    </row>
    <row r="180" spans="1:9" outlineLevel="1">
      <c r="A180" s="387"/>
      <c r="B180" s="387"/>
      <c r="D180" s="1799" t="s">
        <v>624</v>
      </c>
      <c r="E180" s="1800"/>
      <c r="F180" s="1800"/>
      <c r="G180" s="1801"/>
      <c r="H180" s="385"/>
      <c r="I180" s="385"/>
    </row>
    <row r="181" spans="1:9" outlineLevel="1">
      <c r="A181" s="387"/>
      <c r="B181" s="387"/>
      <c r="C181" s="400"/>
      <c r="D181" s="1805" t="s">
        <v>626</v>
      </c>
      <c r="E181" s="1807"/>
      <c r="F181" s="1805" t="s">
        <v>625</v>
      </c>
      <c r="G181" s="1807"/>
      <c r="H181" s="385"/>
      <c r="I181" s="385"/>
    </row>
    <row r="182" spans="1:9" outlineLevel="1">
      <c r="A182" s="387"/>
      <c r="B182" s="387"/>
      <c r="C182" s="360"/>
      <c r="D182" s="1805" t="s">
        <v>622</v>
      </c>
      <c r="E182" s="1807"/>
      <c r="F182" s="1805" t="s">
        <v>622</v>
      </c>
      <c r="G182" s="1807"/>
      <c r="I182" s="385"/>
    </row>
    <row r="183" spans="1:9" outlineLevel="1">
      <c r="A183" s="387"/>
      <c r="B183" s="387"/>
      <c r="C183" s="396" t="s">
        <v>621</v>
      </c>
      <c r="D183" s="395">
        <v>2.1999999999999999E-2</v>
      </c>
      <c r="E183" s="394">
        <v>4.1000000000000002E-2</v>
      </c>
      <c r="F183" s="395">
        <v>2.1999999999999999E-2</v>
      </c>
      <c r="G183" s="394">
        <v>4.1000000000000002E-2</v>
      </c>
      <c r="I183" s="385"/>
    </row>
    <row r="184" spans="1:9" outlineLevel="1">
      <c r="A184" s="387"/>
      <c r="B184" s="387"/>
      <c r="C184" s="393">
        <v>55</v>
      </c>
      <c r="D184" s="392">
        <v>19.994859508637305</v>
      </c>
      <c r="E184" s="391">
        <v>13.833505281564696</v>
      </c>
      <c r="F184" s="392">
        <v>20.410413852837273</v>
      </c>
      <c r="G184" s="391">
        <v>14.387684765584229</v>
      </c>
      <c r="I184" s="385"/>
    </row>
    <row r="185" spans="1:9" outlineLevel="1">
      <c r="A185" s="387"/>
      <c r="B185" s="387"/>
      <c r="C185" s="393">
        <f t="shared" ref="C185:C194" si="0">C184+1</f>
        <v>56</v>
      </c>
      <c r="D185" s="392">
        <v>19.196652557398306</v>
      </c>
      <c r="E185" s="391">
        <v>13.108933277985999</v>
      </c>
      <c r="F185" s="392">
        <v>19.595172042320197</v>
      </c>
      <c r="G185" s="391">
        <v>13.633770516166727</v>
      </c>
      <c r="I185" s="385"/>
    </row>
    <row r="186" spans="1:9" outlineLevel="1">
      <c r="A186" s="387"/>
      <c r="B186" s="387"/>
      <c r="C186" s="393">
        <f t="shared" si="0"/>
        <v>57</v>
      </c>
      <c r="D186" s="392">
        <v>18.419653758855745</v>
      </c>
      <c r="E186" s="391">
        <v>12.415652623159414</v>
      </c>
      <c r="F186" s="392">
        <v>18.801591602606727</v>
      </c>
      <c r="G186" s="391">
        <v>12.912417912529969</v>
      </c>
      <c r="I186" s="385"/>
    </row>
    <row r="187" spans="1:9" outlineLevel="1">
      <c r="A187" s="387"/>
      <c r="B187" s="387"/>
      <c r="C187" s="393">
        <f t="shared" si="0"/>
        <v>58</v>
      </c>
      <c r="D187" s="392">
        <v>17.663205071579419</v>
      </c>
      <c r="E187" s="391">
        <v>11.75227937637278</v>
      </c>
      <c r="F187" s="392">
        <v>18.029025916623009</v>
      </c>
      <c r="G187" s="391">
        <v>12.222202063508929</v>
      </c>
      <c r="I187" s="385"/>
    </row>
    <row r="188" spans="1:9" outlineLevel="1">
      <c r="A188" s="387"/>
      <c r="B188" s="387"/>
      <c r="C188" s="393">
        <f t="shared" si="0"/>
        <v>59</v>
      </c>
      <c r="D188" s="392">
        <v>16.926541376338999</v>
      </c>
      <c r="E188" s="391">
        <v>11.117420837837575</v>
      </c>
      <c r="F188" s="392">
        <v>17.276690532989882</v>
      </c>
      <c r="G188" s="391">
        <v>11.561671460080543</v>
      </c>
      <c r="I188" s="385"/>
    </row>
    <row r="189" spans="1:9" outlineLevel="1">
      <c r="A189" s="387"/>
      <c r="B189" s="387"/>
      <c r="C189" s="393">
        <f t="shared" si="0"/>
        <v>60</v>
      </c>
      <c r="D189" s="392">
        <v>16.073074984694621</v>
      </c>
      <c r="E189" s="391">
        <v>10.413817205571789</v>
      </c>
      <c r="F189" s="392">
        <v>16.403891510131277</v>
      </c>
      <c r="G189" s="391">
        <v>10.828784587297935</v>
      </c>
      <c r="I189" s="385"/>
    </row>
    <row r="190" spans="1:9" outlineLevel="1">
      <c r="A190" s="387"/>
      <c r="B190" s="387"/>
      <c r="C190" s="393">
        <f t="shared" si="0"/>
        <v>61</v>
      </c>
      <c r="D190" s="392">
        <v>15.369184733377216</v>
      </c>
      <c r="E190" s="391">
        <v>9.8306763508921922</v>
      </c>
      <c r="F190" s="392">
        <v>15.685028857944916</v>
      </c>
      <c r="G190" s="391">
        <v>10.222080525321077</v>
      </c>
      <c r="H190" s="385"/>
      <c r="I190" s="385"/>
    </row>
    <row r="191" spans="1:9" outlineLevel="1">
      <c r="A191" s="387"/>
      <c r="B191" s="387"/>
      <c r="C191" s="393">
        <f t="shared" si="0"/>
        <v>62</v>
      </c>
      <c r="D191" s="392">
        <v>14.681990760584304</v>
      </c>
      <c r="E191" s="391">
        <v>9.2717222966171331</v>
      </c>
      <c r="F191" s="392">
        <v>14.983226817419624</v>
      </c>
      <c r="G191" s="391">
        <v>9.6405484370109455</v>
      </c>
      <c r="H191" s="385"/>
      <c r="I191" s="385"/>
    </row>
    <row r="192" spans="1:9" outlineLevel="1">
      <c r="A192" s="387"/>
      <c r="B192" s="387"/>
      <c r="C192" s="393">
        <f t="shared" si="0"/>
        <v>63</v>
      </c>
      <c r="D192" s="392">
        <v>14.010824108949006</v>
      </c>
      <c r="E192" s="391">
        <v>8.7358162562845507</v>
      </c>
      <c r="F192" s="392">
        <v>14.297799812399642</v>
      </c>
      <c r="G192" s="391">
        <v>9.0830018355527429</v>
      </c>
      <c r="H192" s="385"/>
      <c r="I192" s="385"/>
    </row>
    <row r="193" spans="1:9" outlineLevel="1">
      <c r="A193" s="387"/>
      <c r="B193" s="387"/>
      <c r="C193" s="393">
        <f t="shared" si="0"/>
        <v>64</v>
      </c>
      <c r="D193" s="392">
        <v>13.355630961796692</v>
      </c>
      <c r="E193" s="391">
        <v>8.2222196274561608</v>
      </c>
      <c r="F193" s="392">
        <v>13.628694829930447</v>
      </c>
      <c r="G193" s="391">
        <v>8.5486732811719435</v>
      </c>
      <c r="H193" s="385"/>
      <c r="I193" s="385"/>
    </row>
    <row r="194" spans="1:9" outlineLevel="1">
      <c r="A194" s="387"/>
      <c r="B194" s="387"/>
      <c r="C194" s="390">
        <f t="shared" si="0"/>
        <v>65</v>
      </c>
      <c r="D194" s="389">
        <v>12.716395486388292</v>
      </c>
      <c r="E194" s="388">
        <v>7.730241047131142</v>
      </c>
      <c r="F194" s="389">
        <v>12.975897855173629</v>
      </c>
      <c r="G194" s="388">
        <v>8.0368445641801891</v>
      </c>
      <c r="H194" s="385"/>
      <c r="I194" s="385"/>
    </row>
    <row r="195" spans="1:9" outlineLevel="1">
      <c r="A195" s="387"/>
      <c r="B195" s="387"/>
      <c r="C195" s="386"/>
      <c r="D195" s="385"/>
      <c r="E195" s="385"/>
      <c r="F195" s="385"/>
      <c r="G195" s="385"/>
      <c r="H195" s="385"/>
      <c r="I195" s="385"/>
    </row>
    <row r="196" spans="1:9" outlineLevel="1">
      <c r="A196" s="387"/>
      <c r="B196" s="387"/>
      <c r="C196" s="386"/>
      <c r="D196" s="385"/>
      <c r="E196" s="385"/>
      <c r="F196" s="385"/>
      <c r="G196" s="385"/>
      <c r="H196" s="385"/>
      <c r="I196" s="385"/>
    </row>
    <row r="197" spans="1:9" outlineLevel="1">
      <c r="A197" s="387"/>
      <c r="B197" s="387"/>
      <c r="C197" s="386"/>
      <c r="D197" s="1799" t="s">
        <v>624</v>
      </c>
      <c r="E197" s="1800"/>
      <c r="F197" s="1800"/>
      <c r="G197" s="1801"/>
      <c r="H197" s="385"/>
      <c r="I197" s="385"/>
    </row>
    <row r="198" spans="1:9" outlineLevel="1">
      <c r="A198" s="387"/>
      <c r="B198" s="387"/>
      <c r="C198" s="360"/>
      <c r="D198" s="1802" t="s">
        <v>261</v>
      </c>
      <c r="E198" s="1802"/>
      <c r="F198" s="1802" t="s">
        <v>623</v>
      </c>
      <c r="G198" s="1802"/>
      <c r="H198" s="385"/>
      <c r="I198" s="385"/>
    </row>
    <row r="199" spans="1:9" outlineLevel="1">
      <c r="A199" s="387"/>
      <c r="B199" s="387"/>
      <c r="C199" s="360"/>
      <c r="D199" s="1803" t="s">
        <v>622</v>
      </c>
      <c r="E199" s="1804"/>
      <c r="F199" s="1803" t="s">
        <v>541</v>
      </c>
      <c r="G199" s="1804"/>
      <c r="H199" s="385"/>
      <c r="I199" s="385"/>
    </row>
    <row r="200" spans="1:9" outlineLevel="1">
      <c r="A200" s="387"/>
      <c r="B200" s="387"/>
      <c r="C200" s="396" t="s">
        <v>621</v>
      </c>
      <c r="D200" s="395">
        <v>2.1999999999999999E-2</v>
      </c>
      <c r="E200" s="394">
        <v>4.1000000000000002E-2</v>
      </c>
      <c r="F200" s="395">
        <v>2.1999999999999999E-2</v>
      </c>
      <c r="G200" s="394">
        <v>4.1000000000000002E-2</v>
      </c>
      <c r="H200" s="385"/>
      <c r="I200" s="385"/>
    </row>
    <row r="201" spans="1:9" outlineLevel="1">
      <c r="A201" s="387"/>
      <c r="B201" s="387"/>
      <c r="C201" s="393">
        <v>60</v>
      </c>
      <c r="D201" s="392">
        <v>20.098808188076372</v>
      </c>
      <c r="E201" s="391">
        <v>15.997371483990086</v>
      </c>
      <c r="F201" s="392" t="s">
        <v>435</v>
      </c>
      <c r="G201" s="391" t="s">
        <v>435</v>
      </c>
      <c r="H201" s="385"/>
      <c r="I201" s="385"/>
    </row>
    <row r="202" spans="1:9" outlineLevel="1">
      <c r="A202" s="387"/>
      <c r="B202" s="387"/>
      <c r="C202" s="393">
        <v>61</v>
      </c>
      <c r="D202" s="392">
        <v>19.213592319822862</v>
      </c>
      <c r="E202" s="391">
        <v>15.097361356889113</v>
      </c>
      <c r="F202" s="392">
        <v>19.604935886325752</v>
      </c>
      <c r="G202" s="391">
        <v>15.695902752940864</v>
      </c>
      <c r="H202" s="385"/>
      <c r="I202" s="385"/>
    </row>
    <row r="203" spans="1:9" outlineLevel="1">
      <c r="A203" s="387"/>
      <c r="B203" s="387"/>
      <c r="C203" s="393">
        <v>62</v>
      </c>
      <c r="D203" s="392">
        <v>18.349064291042303</v>
      </c>
      <c r="E203" s="391">
        <v>14.234486655273169</v>
      </c>
      <c r="F203" s="392">
        <v>18.722684225774454</v>
      </c>
      <c r="G203" s="391">
        <v>14.798683246605215</v>
      </c>
      <c r="H203" s="385"/>
      <c r="I203" s="385"/>
    </row>
    <row r="204" spans="1:9" outlineLevel="1">
      <c r="A204" s="387"/>
      <c r="B204" s="387"/>
      <c r="C204" s="393">
        <v>63</v>
      </c>
      <c r="D204" s="392">
        <v>17.504396507534203</v>
      </c>
      <c r="E204" s="391">
        <v>13.407007033611622</v>
      </c>
      <c r="F204" s="392">
        <v>17.860626722044394</v>
      </c>
      <c r="G204" s="391">
        <v>13.938215938238642</v>
      </c>
      <c r="H204" s="385"/>
      <c r="I204" s="385"/>
    </row>
    <row r="205" spans="1:9" outlineLevel="1">
      <c r="A205" s="387"/>
      <c r="B205" s="387"/>
      <c r="C205" s="393">
        <v>64</v>
      </c>
      <c r="D205" s="392">
        <v>16.679623754777438</v>
      </c>
      <c r="E205" s="391">
        <v>12.613863400389496</v>
      </c>
      <c r="F205" s="392">
        <v>17.018797008326828</v>
      </c>
      <c r="G205" s="391">
        <v>13.113399627791745</v>
      </c>
      <c r="H205" s="385"/>
      <c r="I205" s="385"/>
    </row>
    <row r="206" spans="1:9" outlineLevel="1">
      <c r="A206" s="387"/>
      <c r="B206" s="387"/>
      <c r="C206" s="390">
        <v>65</v>
      </c>
      <c r="D206" s="389">
        <v>15.874838217994258</v>
      </c>
      <c r="E206" s="388">
        <v>11.854072697023812</v>
      </c>
      <c r="F206" s="389">
        <v>16.197290722619655</v>
      </c>
      <c r="G206" s="388">
        <v>12.323215324659872</v>
      </c>
      <c r="H206" s="385"/>
      <c r="I206" s="385"/>
    </row>
    <row r="207" spans="1:9" outlineLevel="1">
      <c r="A207" s="387"/>
      <c r="B207" s="387"/>
      <c r="C207" s="386"/>
      <c r="D207" s="385"/>
      <c r="E207" s="385"/>
      <c r="F207" s="385"/>
      <c r="G207" s="385"/>
      <c r="H207" s="385"/>
      <c r="I207" s="385"/>
    </row>
    <row r="210" spans="1:6">
      <c r="A210" s="354" t="s">
        <v>26</v>
      </c>
      <c r="B210" s="356" t="s">
        <v>620</v>
      </c>
      <c r="C210" s="354" t="s">
        <v>619</v>
      </c>
    </row>
    <row r="211" spans="1:6">
      <c r="A211" s="360"/>
      <c r="B211" s="360"/>
      <c r="C211" s="360"/>
    </row>
    <row r="212" spans="1:6" ht="15.6">
      <c r="A212" s="360"/>
      <c r="B212" s="360"/>
      <c r="C212" s="368" t="s">
        <v>585</v>
      </c>
      <c r="D212" s="367"/>
      <c r="E212" s="367"/>
      <c r="F212" s="367"/>
    </row>
    <row r="214" spans="1:6">
      <c r="C214" s="360" t="s">
        <v>592</v>
      </c>
    </row>
    <row r="215" spans="1:6">
      <c r="C215" s="354" t="s">
        <v>591</v>
      </c>
      <c r="D215" s="381"/>
    </row>
    <row r="216" spans="1:6">
      <c r="C216" s="354" t="s">
        <v>590</v>
      </c>
      <c r="D216" s="381"/>
    </row>
    <row r="217" spans="1:6">
      <c r="C217" s="354" t="s">
        <v>589</v>
      </c>
      <c r="D217" s="381"/>
      <c r="E217" s="383"/>
      <c r="F217" s="362"/>
    </row>
    <row r="218" spans="1:6">
      <c r="D218" s="382"/>
      <c r="F218" s="384"/>
    </row>
    <row r="219" spans="1:6">
      <c r="C219" s="360" t="s">
        <v>618</v>
      </c>
      <c r="D219" s="381"/>
    </row>
    <row r="220" spans="1:6">
      <c r="D220" s="380"/>
      <c r="F220" s="383"/>
    </row>
    <row r="221" spans="1:6">
      <c r="C221" s="360" t="s">
        <v>617</v>
      </c>
    </row>
    <row r="222" spans="1:6">
      <c r="C222" s="354" t="s">
        <v>591</v>
      </c>
      <c r="D222" s="381"/>
      <c r="F222" s="363"/>
    </row>
    <row r="223" spans="1:6">
      <c r="C223" s="354" t="s">
        <v>615</v>
      </c>
      <c r="D223" s="381"/>
    </row>
    <row r="224" spans="1:6">
      <c r="C224" s="354" t="s">
        <v>614</v>
      </c>
      <c r="D224" s="381"/>
    </row>
    <row r="225" spans="1:6">
      <c r="D225" s="382"/>
    </row>
    <row r="226" spans="1:6">
      <c r="C226" s="360" t="s">
        <v>407</v>
      </c>
      <c r="D226" s="381"/>
    </row>
    <row r="227" spans="1:6">
      <c r="C227" s="360"/>
      <c r="D227" s="360"/>
    </row>
    <row r="228" spans="1:6">
      <c r="C228" s="360" t="s">
        <v>616</v>
      </c>
    </row>
    <row r="229" spans="1:6">
      <c r="C229" s="354" t="s">
        <v>591</v>
      </c>
      <c r="D229" s="381"/>
    </row>
    <row r="230" spans="1:6">
      <c r="C230" s="354" t="s">
        <v>615</v>
      </c>
      <c r="D230" s="381"/>
    </row>
    <row r="231" spans="1:6">
      <c r="C231" s="354" t="s">
        <v>614</v>
      </c>
      <c r="D231" s="381"/>
    </row>
    <row r="232" spans="1:6">
      <c r="D232" s="382"/>
    </row>
    <row r="233" spans="1:6">
      <c r="C233" s="360" t="s">
        <v>613</v>
      </c>
      <c r="D233" s="381"/>
    </row>
    <row r="234" spans="1:6">
      <c r="C234" s="360"/>
      <c r="D234" s="360"/>
    </row>
    <row r="236" spans="1:6">
      <c r="A236" s="354" t="s">
        <v>34</v>
      </c>
      <c r="B236" s="356" t="s">
        <v>612</v>
      </c>
      <c r="C236" s="354" t="s">
        <v>611</v>
      </c>
    </row>
    <row r="237" spans="1:6">
      <c r="A237" s="360"/>
      <c r="B237" s="360"/>
      <c r="C237" s="360"/>
    </row>
    <row r="238" spans="1:6" ht="15.6">
      <c r="A238" s="360"/>
      <c r="B238" s="360"/>
      <c r="C238" s="368" t="s">
        <v>585</v>
      </c>
      <c r="D238" s="367"/>
      <c r="E238" s="367"/>
      <c r="F238" s="367"/>
    </row>
    <row r="241" spans="1:6">
      <c r="C241" s="360" t="s">
        <v>392</v>
      </c>
      <c r="D241" s="355"/>
      <c r="F241" s="363"/>
    </row>
    <row r="242" spans="1:6">
      <c r="C242" s="360"/>
      <c r="D242" s="380"/>
    </row>
    <row r="243" spans="1:6">
      <c r="C243" s="360" t="s">
        <v>610</v>
      </c>
      <c r="D243" s="379"/>
    </row>
    <row r="245" spans="1:6">
      <c r="A245" s="360"/>
      <c r="B245" s="360"/>
      <c r="C245" s="354" t="s">
        <v>609</v>
      </c>
    </row>
    <row r="246" spans="1:6">
      <c r="C246" s="373"/>
    </row>
    <row r="247" spans="1:6">
      <c r="C247" s="375" t="s">
        <v>608</v>
      </c>
    </row>
    <row r="248" spans="1:6">
      <c r="C248" s="359" t="s">
        <v>607</v>
      </c>
      <c r="D248" s="376">
        <f>E22</f>
        <v>1875870</v>
      </c>
      <c r="F248" s="378"/>
    </row>
    <row r="249" spans="1:6">
      <c r="C249" s="359" t="s">
        <v>606</v>
      </c>
      <c r="D249" s="377">
        <v>240000</v>
      </c>
    </row>
    <row r="250" spans="1:6">
      <c r="C250" s="359" t="s">
        <v>605</v>
      </c>
      <c r="D250" s="377">
        <v>12300</v>
      </c>
    </row>
    <row r="251" spans="1:6">
      <c r="C251" s="359" t="s">
        <v>604</v>
      </c>
      <c r="D251" s="377">
        <f>-(F36+G36)</f>
        <v>-78000</v>
      </c>
      <c r="E251" s="378"/>
    </row>
    <row r="252" spans="1:6">
      <c r="C252" s="359" t="s">
        <v>603</v>
      </c>
      <c r="D252" s="377">
        <v>-25000</v>
      </c>
    </row>
    <row r="253" spans="1:6">
      <c r="C253" s="359" t="s">
        <v>602</v>
      </c>
      <c r="D253" s="377">
        <v>-600000</v>
      </c>
    </row>
    <row r="254" spans="1:6">
      <c r="C254" s="359" t="s">
        <v>601</v>
      </c>
      <c r="D254" s="376">
        <f>SUM(D248:D253)</f>
        <v>1425170</v>
      </c>
    </row>
    <row r="255" spans="1:6">
      <c r="C255" s="373"/>
    </row>
    <row r="256" spans="1:6">
      <c r="C256" s="375" t="s">
        <v>600</v>
      </c>
    </row>
    <row r="257" spans="1:6">
      <c r="C257" s="373" t="s">
        <v>599</v>
      </c>
    </row>
    <row r="258" spans="1:6">
      <c r="C258" s="373" t="s">
        <v>598</v>
      </c>
      <c r="D258" s="374"/>
    </row>
    <row r="259" spans="1:6">
      <c r="C259" s="373" t="s">
        <v>597</v>
      </c>
    </row>
    <row r="260" spans="1:6">
      <c r="C260" s="373" t="s">
        <v>596</v>
      </c>
    </row>
    <row r="261" spans="1:6">
      <c r="C261" s="373"/>
    </row>
    <row r="262" spans="1:6">
      <c r="C262" s="373" t="s">
        <v>595</v>
      </c>
    </row>
    <row r="263" spans="1:6">
      <c r="C263" s="373"/>
    </row>
    <row r="264" spans="1:6">
      <c r="A264" s="354" t="s">
        <v>38</v>
      </c>
      <c r="B264" s="356" t="s">
        <v>594</v>
      </c>
      <c r="C264" s="372" t="s">
        <v>593</v>
      </c>
    </row>
    <row r="265" spans="1:6">
      <c r="C265" s="371"/>
    </row>
    <row r="266" spans="1:6" ht="15.6">
      <c r="C266" s="368" t="s">
        <v>585</v>
      </c>
      <c r="D266" s="367"/>
      <c r="E266" s="367"/>
      <c r="F266" s="367"/>
    </row>
    <row r="268" spans="1:6">
      <c r="C268" s="360" t="s">
        <v>592</v>
      </c>
    </row>
    <row r="269" spans="1:6">
      <c r="C269" s="360"/>
    </row>
    <row r="270" spans="1:6">
      <c r="C270" s="354" t="s">
        <v>591</v>
      </c>
      <c r="D270" s="355"/>
    </row>
    <row r="271" spans="1:6">
      <c r="C271" s="354" t="s">
        <v>590</v>
      </c>
      <c r="D271" s="355"/>
    </row>
    <row r="272" spans="1:6">
      <c r="C272" s="370" t="s">
        <v>589</v>
      </c>
      <c r="D272" s="355"/>
    </row>
    <row r="273" spans="1:6">
      <c r="C273" s="370"/>
      <c r="D273" s="369"/>
    </row>
    <row r="274" spans="1:6">
      <c r="C274" s="354" t="s">
        <v>346</v>
      </c>
      <c r="D274" s="355"/>
    </row>
    <row r="277" spans="1:6">
      <c r="A277" s="354" t="s">
        <v>588</v>
      </c>
      <c r="B277" s="356" t="s">
        <v>587</v>
      </c>
      <c r="C277" s="354" t="s">
        <v>586</v>
      </c>
    </row>
    <row r="279" spans="1:6" ht="15.6">
      <c r="C279" s="368" t="s">
        <v>585</v>
      </c>
      <c r="D279" s="367"/>
      <c r="E279" s="367"/>
      <c r="F279" s="367"/>
    </row>
    <row r="280" spans="1:6" ht="15.6">
      <c r="C280" s="366"/>
      <c r="D280" s="364"/>
      <c r="E280" s="365"/>
      <c r="F280" s="364"/>
    </row>
    <row r="281" spans="1:6">
      <c r="C281" s="358" t="s">
        <v>584</v>
      </c>
      <c r="D281" s="355"/>
      <c r="F281" s="363"/>
    </row>
    <row r="282" spans="1:6">
      <c r="C282" s="358" t="s">
        <v>339</v>
      </c>
      <c r="D282" s="355"/>
    </row>
    <row r="283" spans="1:6" hidden="1">
      <c r="C283" s="358" t="s">
        <v>338</v>
      </c>
      <c r="D283" s="355"/>
    </row>
    <row r="284" spans="1:6">
      <c r="C284" s="358" t="s">
        <v>583</v>
      </c>
      <c r="D284" s="355"/>
    </row>
    <row r="285" spans="1:6">
      <c r="C285" s="358" t="s">
        <v>582</v>
      </c>
      <c r="D285" s="355"/>
    </row>
    <row r="286" spans="1:6">
      <c r="D286" s="362"/>
    </row>
    <row r="287" spans="1:6" ht="15.75" customHeight="1">
      <c r="C287" s="361" t="s">
        <v>581</v>
      </c>
      <c r="D287" s="360"/>
    </row>
    <row r="288" spans="1:6">
      <c r="C288" s="359" t="s">
        <v>580</v>
      </c>
      <c r="D288" s="355"/>
    </row>
    <row r="289" spans="1:4">
      <c r="C289" s="359" t="s">
        <v>319</v>
      </c>
      <c r="D289" s="355"/>
    </row>
    <row r="290" spans="1:4">
      <c r="C290" s="359" t="s">
        <v>138</v>
      </c>
      <c r="D290" s="355"/>
    </row>
    <row r="291" spans="1:4">
      <c r="C291" s="359" t="s">
        <v>579</v>
      </c>
      <c r="D291" s="355"/>
    </row>
    <row r="292" spans="1:4">
      <c r="C292" s="359" t="s">
        <v>578</v>
      </c>
      <c r="D292" s="355"/>
    </row>
    <row r="293" spans="1:4">
      <c r="C293" s="359" t="s">
        <v>577</v>
      </c>
      <c r="D293" s="355"/>
    </row>
    <row r="294" spans="1:4">
      <c r="C294" s="359" t="s">
        <v>348</v>
      </c>
      <c r="D294" s="355"/>
    </row>
    <row r="295" spans="1:4">
      <c r="C295" s="359" t="s">
        <v>576</v>
      </c>
      <c r="D295" s="355"/>
    </row>
    <row r="296" spans="1:4">
      <c r="C296" s="359" t="s">
        <v>335</v>
      </c>
      <c r="D296" s="355"/>
    </row>
    <row r="297" spans="1:4">
      <c r="C297" s="357"/>
    </row>
    <row r="298" spans="1:4">
      <c r="C298" s="358" t="s">
        <v>575</v>
      </c>
      <c r="D298" s="355"/>
    </row>
    <row r="299" spans="1:4">
      <c r="C299" s="357"/>
    </row>
    <row r="300" spans="1:4">
      <c r="C300" s="357"/>
    </row>
    <row r="301" spans="1:4">
      <c r="C301" s="354" t="s">
        <v>574</v>
      </c>
    </row>
    <row r="303" spans="1:4">
      <c r="A303" s="354" t="s">
        <v>345</v>
      </c>
      <c r="B303" s="356" t="s">
        <v>573</v>
      </c>
      <c r="C303" s="354" t="s">
        <v>572</v>
      </c>
    </row>
    <row r="305" spans="3:3">
      <c r="C305" s="355" t="s">
        <v>571</v>
      </c>
    </row>
  </sheetData>
  <mergeCells count="38">
    <mergeCell ref="C74:D74"/>
    <mergeCell ref="E74:F74"/>
    <mergeCell ref="C75:D75"/>
    <mergeCell ref="C70:F70"/>
    <mergeCell ref="C4:G4"/>
    <mergeCell ref="D56:E57"/>
    <mergeCell ref="D58:E58"/>
    <mergeCell ref="C69:D69"/>
    <mergeCell ref="E69:F69"/>
    <mergeCell ref="C71:D71"/>
    <mergeCell ref="E71:F71"/>
    <mergeCell ref="C72:D72"/>
    <mergeCell ref="E72:F72"/>
    <mergeCell ref="C73:F73"/>
    <mergeCell ref="D182:E182"/>
    <mergeCell ref="F182:G182"/>
    <mergeCell ref="C79:D79"/>
    <mergeCell ref="E79:F79"/>
    <mergeCell ref="C80:D80"/>
    <mergeCell ref="E80:F80"/>
    <mergeCell ref="D181:E181"/>
    <mergeCell ref="F181:G181"/>
    <mergeCell ref="E75:F75"/>
    <mergeCell ref="C76:F76"/>
    <mergeCell ref="C77:D77"/>
    <mergeCell ref="E77:F77"/>
    <mergeCell ref="C78:D78"/>
    <mergeCell ref="E78:F78"/>
    <mergeCell ref="D91:I91"/>
    <mergeCell ref="D123:I123"/>
    <mergeCell ref="D154:I154"/>
    <mergeCell ref="D155:I155"/>
    <mergeCell ref="D180:G180"/>
    <mergeCell ref="D197:G197"/>
    <mergeCell ref="D198:E198"/>
    <mergeCell ref="F198:G198"/>
    <mergeCell ref="D199:E199"/>
    <mergeCell ref="F199:G19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44BC5-24EE-4084-8BEC-29B3CAC42978}">
  <dimension ref="A1:V305"/>
  <sheetViews>
    <sheetView zoomScaleNormal="100" workbookViewId="0">
      <selection activeCell="O14" sqref="O14"/>
    </sheetView>
  </sheetViews>
  <sheetFormatPr defaultColWidth="8.6640625" defaultRowHeight="13.2" outlineLevelRow="1"/>
  <cols>
    <col min="1" max="1" width="6.6640625" style="354" customWidth="1"/>
    <col min="2" max="2" width="57.44140625" style="354" customWidth="1"/>
    <col min="3" max="3" width="26.5546875" style="354" customWidth="1"/>
    <col min="4" max="4" width="19.6640625" style="354" customWidth="1"/>
    <col min="5" max="5" width="32.33203125" style="354" customWidth="1"/>
    <col min="6" max="7" width="19.6640625" style="354" customWidth="1"/>
    <col min="8" max="9" width="20.44140625" style="354" customWidth="1"/>
    <col min="10" max="10" width="6" style="354" customWidth="1"/>
    <col min="11" max="11" width="8.44140625" style="353" customWidth="1"/>
    <col min="12" max="12" width="2.33203125" style="353" bestFit="1" customWidth="1"/>
    <col min="13" max="13" width="100.33203125" style="353" bestFit="1" customWidth="1"/>
    <col min="14" max="14" width="10" style="353" bestFit="1" customWidth="1"/>
    <col min="15" max="15" width="34.44140625" style="353" bestFit="1" customWidth="1"/>
    <col min="16" max="16" width="10.33203125" style="353" bestFit="1" customWidth="1"/>
    <col min="17" max="17" width="18" style="353" bestFit="1" customWidth="1"/>
    <col min="18" max="24" width="8.44140625" style="353" customWidth="1"/>
    <col min="25" max="16384" width="8.6640625" style="353"/>
  </cols>
  <sheetData>
    <row r="1" spans="1:21" ht="14.4">
      <c r="L1" s="537" t="s">
        <v>787</v>
      </c>
    </row>
    <row r="3" spans="1:21">
      <c r="A3" s="474">
        <v>2</v>
      </c>
      <c r="B3" s="1827" t="s">
        <v>786</v>
      </c>
      <c r="C3" s="1827"/>
      <c r="D3" s="1827"/>
      <c r="E3" s="1827"/>
      <c r="F3" s="1827"/>
      <c r="G3" s="472"/>
      <c r="H3" s="472"/>
      <c r="L3" s="486"/>
      <c r="M3" s="486" t="s">
        <v>149</v>
      </c>
      <c r="N3" s="536"/>
      <c r="O3" s="536"/>
      <c r="P3" s="536"/>
      <c r="Q3" s="536"/>
      <c r="R3" s="536"/>
      <c r="S3" s="536"/>
      <c r="T3" s="536"/>
      <c r="U3" s="536"/>
    </row>
    <row r="4" spans="1:21" ht="14.4">
      <c r="L4"/>
      <c r="M4" s="508"/>
      <c r="N4"/>
      <c r="O4"/>
      <c r="P4"/>
      <c r="Q4"/>
      <c r="R4"/>
      <c r="S4"/>
      <c r="T4"/>
      <c r="U4"/>
    </row>
    <row r="5" spans="1:21" ht="14.4">
      <c r="B5" s="421" t="s">
        <v>522</v>
      </c>
      <c r="L5"/>
      <c r="M5" s="508"/>
      <c r="N5"/>
      <c r="O5"/>
      <c r="P5"/>
      <c r="Q5"/>
      <c r="R5"/>
      <c r="S5"/>
      <c r="T5"/>
      <c r="U5"/>
    </row>
    <row r="6" spans="1:21">
      <c r="B6" s="421"/>
      <c r="L6" s="482"/>
      <c r="M6" s="484"/>
      <c r="N6" s="484"/>
      <c r="O6" s="484"/>
      <c r="P6" s="482"/>
      <c r="Q6" s="482"/>
      <c r="R6" s="482"/>
      <c r="S6" s="482"/>
      <c r="T6" s="482"/>
      <c r="U6" s="482"/>
    </row>
    <row r="7" spans="1:21" ht="16.350000000000001" customHeight="1" outlineLevel="1">
      <c r="B7" s="435" t="s">
        <v>521</v>
      </c>
      <c r="C7" s="441" t="s">
        <v>673</v>
      </c>
      <c r="D7" s="467"/>
      <c r="E7" s="466"/>
      <c r="L7" s="482"/>
      <c r="M7" s="528" t="s">
        <v>785</v>
      </c>
      <c r="N7" s="517"/>
      <c r="O7" s="517"/>
      <c r="P7" s="507"/>
      <c r="Q7" s="487"/>
      <c r="R7" s="482"/>
      <c r="S7" s="482"/>
      <c r="T7" s="482"/>
      <c r="U7" s="482"/>
    </row>
    <row r="8" spans="1:21" outlineLevel="1">
      <c r="B8" s="435" t="s">
        <v>605</v>
      </c>
      <c r="C8" s="441" t="s">
        <v>672</v>
      </c>
      <c r="D8" s="467"/>
      <c r="E8" s="466"/>
      <c r="L8" s="482"/>
      <c r="M8" s="484"/>
      <c r="N8" s="517" t="s">
        <v>757</v>
      </c>
      <c r="O8" s="517" t="s">
        <v>756</v>
      </c>
      <c r="P8" s="507"/>
      <c r="Q8" s="487"/>
      <c r="R8" s="482"/>
      <c r="S8" s="482"/>
      <c r="T8" s="482"/>
      <c r="U8" s="482"/>
    </row>
    <row r="9" spans="1:21" outlineLevel="1">
      <c r="B9" s="435" t="s">
        <v>517</v>
      </c>
      <c r="C9" s="441" t="s">
        <v>127</v>
      </c>
      <c r="D9" s="467"/>
      <c r="E9" s="466"/>
      <c r="L9" s="482"/>
      <c r="M9" s="526" t="s">
        <v>755</v>
      </c>
      <c r="N9" s="484"/>
      <c r="O9" s="484"/>
      <c r="P9" s="507"/>
      <c r="Q9" s="487"/>
      <c r="R9" s="482"/>
      <c r="S9" s="482"/>
      <c r="T9" s="482"/>
      <c r="U9" s="482"/>
    </row>
    <row r="10" spans="1:21" outlineLevel="1">
      <c r="B10" s="435" t="s">
        <v>671</v>
      </c>
      <c r="C10" s="441" t="s">
        <v>135</v>
      </c>
      <c r="D10" s="467"/>
      <c r="E10" s="466"/>
      <c r="L10" s="482"/>
      <c r="M10" s="525" t="s">
        <v>747</v>
      </c>
      <c r="N10" s="489">
        <f>'Liability Calculation'!J12+'Liability Calculation'!J81</f>
        <v>561560.3359327272</v>
      </c>
      <c r="O10" s="489">
        <f>'Liability Calculation'!M12+'Liability Calculation'!M81</f>
        <v>457857.90919882065</v>
      </c>
      <c r="P10" s="507"/>
      <c r="Q10" s="487"/>
      <c r="R10" s="482"/>
      <c r="S10" s="482"/>
      <c r="T10" s="482"/>
      <c r="U10" s="482"/>
    </row>
    <row r="11" spans="1:21" outlineLevel="1">
      <c r="B11" s="435" t="s">
        <v>670</v>
      </c>
      <c r="C11" s="441" t="s">
        <v>669</v>
      </c>
      <c r="D11" s="467"/>
      <c r="E11" s="466"/>
      <c r="L11" s="482"/>
      <c r="M11" s="523" t="s">
        <v>350</v>
      </c>
      <c r="N11" s="514">
        <f>'Liability Calculation'!B128+'Liability Calculation'!B146</f>
        <v>1145038.7779764058</v>
      </c>
      <c r="O11" s="514">
        <f>'Liability Calculation'!C128+'Liability Calculation'!C146</f>
        <v>953964.36289916933</v>
      </c>
      <c r="P11" s="507"/>
      <c r="Q11" s="487"/>
      <c r="R11" s="482"/>
      <c r="S11" s="482"/>
      <c r="T11" s="482"/>
      <c r="U11" s="482"/>
    </row>
    <row r="12" spans="1:21" outlineLevel="1">
      <c r="B12" s="449" t="s">
        <v>260</v>
      </c>
      <c r="C12" s="441" t="s">
        <v>668</v>
      </c>
      <c r="D12" s="467"/>
      <c r="E12" s="466"/>
      <c r="L12" s="482"/>
      <c r="M12" s="525" t="s">
        <v>347</v>
      </c>
      <c r="N12" s="489">
        <f>N10+N11</f>
        <v>1706599.113909133</v>
      </c>
      <c r="O12" s="489">
        <f>O10+O11</f>
        <v>1411822.2720979899</v>
      </c>
      <c r="P12" s="507"/>
      <c r="Q12" s="487"/>
      <c r="R12" s="482"/>
      <c r="S12" s="482"/>
      <c r="T12" s="482"/>
      <c r="U12" s="482"/>
    </row>
    <row r="13" spans="1:21" outlineLevel="1">
      <c r="B13" s="443" t="s">
        <v>512</v>
      </c>
      <c r="C13" s="471" t="s">
        <v>511</v>
      </c>
      <c r="D13" s="470"/>
      <c r="E13" s="469"/>
      <c r="L13" s="482"/>
      <c r="M13" s="525"/>
      <c r="N13" s="489"/>
      <c r="O13" s="489"/>
      <c r="P13" s="507"/>
      <c r="Q13" s="487"/>
      <c r="R13" s="482"/>
      <c r="S13" s="482"/>
      <c r="T13" s="482"/>
      <c r="U13" s="482"/>
    </row>
    <row r="14" spans="1:21" outlineLevel="1">
      <c r="B14" s="441" t="s">
        <v>667</v>
      </c>
      <c r="C14" s="441" t="s">
        <v>430</v>
      </c>
      <c r="D14" s="467"/>
      <c r="E14" s="466"/>
      <c r="L14" s="482"/>
      <c r="M14" s="526" t="s">
        <v>754</v>
      </c>
      <c r="N14" s="489">
        <f>'Liability Calculation'!K12+'Liability Calculation'!K81</f>
        <v>53346.460258808038</v>
      </c>
      <c r="O14" s="489">
        <f>'Liability Calculation'!N12+'Liability Calculation'!N81</f>
        <v>43579.150668732342</v>
      </c>
      <c r="P14" s="507"/>
      <c r="Q14" s="487"/>
      <c r="R14" s="482"/>
      <c r="S14" s="482"/>
      <c r="T14" s="482"/>
      <c r="U14" s="482"/>
    </row>
    <row r="15" spans="1:21" outlineLevel="1">
      <c r="B15" s="435" t="s">
        <v>508</v>
      </c>
      <c r="C15" s="441" t="s">
        <v>666</v>
      </c>
      <c r="D15" s="467"/>
      <c r="E15" s="466"/>
      <c r="L15" s="482"/>
      <c r="M15" s="526"/>
      <c r="N15" s="484"/>
      <c r="O15" s="484"/>
      <c r="P15" s="507"/>
      <c r="Q15" s="487"/>
      <c r="R15" s="482"/>
      <c r="S15" s="482"/>
      <c r="T15" s="482"/>
      <c r="U15" s="482"/>
    </row>
    <row r="16" spans="1:21" outlineLevel="1">
      <c r="B16" s="468" t="s">
        <v>507</v>
      </c>
      <c r="C16" s="441" t="s">
        <v>665</v>
      </c>
      <c r="D16" s="467"/>
      <c r="E16" s="466"/>
      <c r="L16" s="482"/>
      <c r="M16" s="526" t="s">
        <v>752</v>
      </c>
      <c r="N16" s="484"/>
      <c r="O16" s="484"/>
      <c r="P16" s="507"/>
      <c r="Q16" s="487"/>
      <c r="R16" s="482"/>
      <c r="S16" s="482"/>
      <c r="T16" s="482"/>
      <c r="U16" s="482"/>
    </row>
    <row r="17" spans="2:21">
      <c r="B17" s="465"/>
      <c r="C17" s="465"/>
      <c r="D17" s="464"/>
      <c r="E17" s="464"/>
      <c r="F17" s="464"/>
      <c r="L17" s="482"/>
      <c r="M17" s="525" t="s">
        <v>747</v>
      </c>
      <c r="N17" s="524">
        <f>'Liability Calculation'!H31+'Liability Calculation'!H95</f>
        <v>563545.31481419399</v>
      </c>
      <c r="O17" s="520" t="s">
        <v>435</v>
      </c>
      <c r="P17" s="507"/>
      <c r="Q17" s="487"/>
      <c r="R17" s="482"/>
      <c r="S17" s="482"/>
      <c r="T17" s="482"/>
      <c r="U17" s="482"/>
    </row>
    <row r="18" spans="2:21" ht="14.4">
      <c r="B18" s="360" t="s">
        <v>784</v>
      </c>
      <c r="L18" s="482"/>
      <c r="M18" s="523" t="s">
        <v>350</v>
      </c>
      <c r="N18" s="522">
        <f>'Liability Calculation'!B133+'Liability Calculation'!B151</f>
        <v>1305726.2985195147</v>
      </c>
      <c r="O18" s="517" t="s">
        <v>435</v>
      </c>
      <c r="P18" s="507"/>
      <c r="Q18" s="487"/>
      <c r="R18" s="482"/>
      <c r="S18" s="482"/>
      <c r="T18" s="482"/>
      <c r="U18" s="482"/>
    </row>
    <row r="19" spans="2:21">
      <c r="L19" s="482"/>
      <c r="M19" s="525" t="s">
        <v>347</v>
      </c>
      <c r="N19" s="489">
        <f>N17+N18</f>
        <v>1869271.6133337086</v>
      </c>
      <c r="O19" s="520" t="s">
        <v>435</v>
      </c>
      <c r="P19" s="507"/>
      <c r="Q19" s="487"/>
      <c r="R19" s="482"/>
      <c r="S19" s="482"/>
      <c r="T19" s="482"/>
      <c r="U19" s="482"/>
    </row>
    <row r="20" spans="2:21">
      <c r="B20" s="421" t="s">
        <v>429</v>
      </c>
      <c r="L20" s="482"/>
      <c r="M20" s="525"/>
      <c r="N20" s="527"/>
      <c r="O20" s="520"/>
      <c r="P20" s="507"/>
      <c r="Q20" s="487"/>
      <c r="R20" s="482"/>
      <c r="S20" s="482"/>
      <c r="T20" s="482"/>
      <c r="U20" s="482"/>
    </row>
    <row r="21" spans="2:21">
      <c r="B21" s="354" t="s">
        <v>662</v>
      </c>
      <c r="D21" s="463">
        <v>1875870</v>
      </c>
      <c r="L21" s="482"/>
      <c r="M21" s="525"/>
      <c r="N21" s="527"/>
      <c r="O21" s="520"/>
      <c r="P21" s="507"/>
      <c r="Q21" s="487"/>
      <c r="R21" s="482"/>
      <c r="S21" s="482"/>
      <c r="T21" s="482"/>
      <c r="U21" s="482"/>
    </row>
    <row r="22" spans="2:21">
      <c r="D22" s="462"/>
      <c r="L22" s="482"/>
      <c r="M22" s="526" t="s">
        <v>748</v>
      </c>
      <c r="N22" s="484"/>
      <c r="O22" s="484"/>
      <c r="P22" s="507"/>
      <c r="Q22" s="487"/>
      <c r="R22" s="482"/>
      <c r="S22" s="482"/>
      <c r="T22" s="482"/>
      <c r="U22" s="482"/>
    </row>
    <row r="23" spans="2:21">
      <c r="D23" s="462"/>
      <c r="L23" s="482"/>
      <c r="M23" s="525" t="s">
        <v>747</v>
      </c>
      <c r="N23" s="520" t="s">
        <v>435</v>
      </c>
      <c r="O23" s="524">
        <f>'Liability Calculation'!J31+'Liability Calculation'!J95</f>
        <v>401888.05182327674</v>
      </c>
      <c r="P23" s="507"/>
      <c r="Q23" s="487"/>
      <c r="R23" s="482"/>
      <c r="S23" s="482"/>
      <c r="T23" s="482"/>
      <c r="U23" s="482"/>
    </row>
    <row r="24" spans="2:21" ht="14.4">
      <c r="B24" s="421" t="s">
        <v>450</v>
      </c>
      <c r="L24" s="482"/>
      <c r="M24" s="523" t="s">
        <v>350</v>
      </c>
      <c r="N24" s="517" t="s">
        <v>435</v>
      </c>
      <c r="O24" s="522">
        <f>'Liability Calculation'!C133+'Liability Calculation'!C151</f>
        <v>1061537.6555816359</v>
      </c>
      <c r="P24" s="507"/>
      <c r="Q24" s="487"/>
      <c r="R24" s="482"/>
      <c r="S24" s="482"/>
      <c r="T24" s="482"/>
      <c r="U24" s="482"/>
    </row>
    <row r="25" spans="2:21" ht="12.6" customHeight="1" outlineLevel="1">
      <c r="B25" s="421"/>
      <c r="L25" s="482"/>
      <c r="M25" s="525" t="s">
        <v>347</v>
      </c>
      <c r="N25" s="520" t="s">
        <v>435</v>
      </c>
      <c r="O25" s="489">
        <f>O23+O24</f>
        <v>1463425.7074049127</v>
      </c>
      <c r="P25" s="507"/>
      <c r="Q25" s="487"/>
      <c r="R25" s="482"/>
      <c r="S25" s="482"/>
      <c r="T25" s="482"/>
      <c r="U25" s="482"/>
    </row>
    <row r="26" spans="2:21" outlineLevel="1">
      <c r="C26" s="461" t="s">
        <v>560</v>
      </c>
      <c r="D26" s="461" t="s">
        <v>559</v>
      </c>
      <c r="E26" s="461" t="s">
        <v>660</v>
      </c>
      <c r="F26" s="461" t="s">
        <v>659</v>
      </c>
      <c r="L26" s="482"/>
      <c r="M26" s="525"/>
      <c r="N26" s="520"/>
      <c r="O26" s="519"/>
      <c r="P26" s="507"/>
      <c r="Q26" s="487"/>
      <c r="R26" s="482"/>
      <c r="S26" s="482"/>
      <c r="T26" s="482"/>
      <c r="U26" s="482"/>
    </row>
    <row r="27" spans="2:21" outlineLevel="1">
      <c r="B27" s="424" t="s">
        <v>783</v>
      </c>
      <c r="C27" s="461" t="s">
        <v>386</v>
      </c>
      <c r="D27" s="461" t="s">
        <v>386</v>
      </c>
      <c r="E27" s="461" t="s">
        <v>657</v>
      </c>
      <c r="F27" s="461" t="s">
        <v>657</v>
      </c>
      <c r="L27" s="482"/>
      <c r="M27" s="526" t="s">
        <v>746</v>
      </c>
      <c r="N27" s="484"/>
      <c r="O27" s="519"/>
      <c r="P27" s="507"/>
      <c r="Q27" s="487"/>
      <c r="R27" s="482"/>
      <c r="S27" s="482"/>
      <c r="T27" s="482"/>
      <c r="U27" s="482"/>
    </row>
    <row r="28" spans="2:21" outlineLevel="1">
      <c r="B28" s="427" t="s">
        <v>656</v>
      </c>
      <c r="C28" s="460">
        <v>49</v>
      </c>
      <c r="D28" s="460">
        <v>60</v>
      </c>
      <c r="E28" s="460">
        <v>66</v>
      </c>
      <c r="F28" s="460">
        <v>70</v>
      </c>
      <c r="L28" s="482"/>
      <c r="M28" s="484" t="str">
        <f>'FRC-Spring24-Q2Ans'!B63</f>
        <v>Plan type (Closed):</v>
      </c>
      <c r="N28" s="505">
        <f>'FRC-Spring24-Q2Ans'!C63</f>
        <v>0.05</v>
      </c>
      <c r="O28" s="527"/>
      <c r="P28" s="507"/>
      <c r="Q28" s="487"/>
      <c r="R28" s="482"/>
      <c r="S28" s="482"/>
      <c r="T28" s="482"/>
      <c r="U28" s="482"/>
    </row>
    <row r="29" spans="2:21" outlineLevel="1">
      <c r="B29" s="427" t="s">
        <v>655</v>
      </c>
      <c r="C29" s="459">
        <v>63000</v>
      </c>
      <c r="D29" s="459">
        <v>96000</v>
      </c>
      <c r="E29" s="458" t="s">
        <v>435</v>
      </c>
      <c r="F29" s="458" t="s">
        <v>435</v>
      </c>
      <c r="L29" s="482"/>
      <c r="M29" s="484" t="str">
        <f>'FRC-Spring24-Q2Ans'!B64</f>
        <v>PfAD Asset mix component:</v>
      </c>
      <c r="N29" s="505">
        <f>'FRC-Spring24-Q2Ans'!C64</f>
        <v>0.04</v>
      </c>
      <c r="O29" s="527"/>
      <c r="P29" s="507"/>
      <c r="Q29" s="487"/>
      <c r="R29" s="482"/>
      <c r="S29" s="482"/>
      <c r="T29" s="482"/>
      <c r="U29" s="482"/>
    </row>
    <row r="30" spans="2:21" outlineLevel="1">
      <c r="B30" s="427" t="s">
        <v>448</v>
      </c>
      <c r="C30" s="459">
        <v>65000</v>
      </c>
      <c r="D30" s="459">
        <v>97000</v>
      </c>
      <c r="E30" s="458" t="s">
        <v>435</v>
      </c>
      <c r="F30" s="458" t="s">
        <v>435</v>
      </c>
      <c r="L30" s="482"/>
      <c r="M30" s="535" t="str">
        <f>'FRC-Spring24-Q2Ans'!B65</f>
        <v>Benchmark discount rate (BDR):</v>
      </c>
      <c r="N30" s="518">
        <f>MAX('FRC-Spring24-Q2Ans'!C44-'FRC-Spring24-Q2Ans'!$C$65,0)</f>
        <v>0</v>
      </c>
      <c r="O30" s="527"/>
      <c r="P30" s="507"/>
      <c r="Q30" s="487"/>
      <c r="R30" s="482"/>
      <c r="S30" s="482"/>
      <c r="T30" s="482"/>
      <c r="U30" s="482"/>
    </row>
    <row r="31" spans="2:21" outlineLevel="1">
      <c r="B31" s="427" t="s">
        <v>447</v>
      </c>
      <c r="C31" s="459">
        <v>67000</v>
      </c>
      <c r="D31" s="459">
        <v>105000</v>
      </c>
      <c r="E31" s="458" t="s">
        <v>435</v>
      </c>
      <c r="F31" s="458" t="s">
        <v>435</v>
      </c>
      <c r="L31" s="482"/>
      <c r="M31" s="484" t="s">
        <v>745</v>
      </c>
      <c r="N31" s="505">
        <f>SUM(N28:N30)</f>
        <v>0.09</v>
      </c>
      <c r="O31" s="484"/>
      <c r="P31" s="482"/>
      <c r="Q31" s="487"/>
      <c r="R31" s="482"/>
      <c r="S31" s="482"/>
      <c r="T31" s="482"/>
      <c r="U31" s="482"/>
    </row>
    <row r="32" spans="2:21" outlineLevel="1">
      <c r="B32" s="427" t="s">
        <v>446</v>
      </c>
      <c r="C32" s="459">
        <v>70000</v>
      </c>
      <c r="D32" s="459">
        <v>110000</v>
      </c>
      <c r="E32" s="458" t="s">
        <v>435</v>
      </c>
      <c r="F32" s="458" t="s">
        <v>435</v>
      </c>
      <c r="L32" s="482"/>
      <c r="M32" s="484" t="s">
        <v>744</v>
      </c>
      <c r="N32" s="489">
        <f>N31*O12</f>
        <v>127064.00448881909</v>
      </c>
      <c r="O32" s="484"/>
      <c r="P32" s="482"/>
      <c r="Q32" s="487"/>
      <c r="R32" s="482"/>
      <c r="S32" s="482"/>
      <c r="T32" s="482"/>
      <c r="U32" s="482"/>
    </row>
    <row r="33" spans="1:22" outlineLevel="1">
      <c r="B33" s="427" t="s">
        <v>376</v>
      </c>
      <c r="C33" s="459">
        <v>75000</v>
      </c>
      <c r="D33" s="459">
        <v>120000</v>
      </c>
      <c r="E33" s="458" t="s">
        <v>435</v>
      </c>
      <c r="F33" s="458" t="s">
        <v>435</v>
      </c>
      <c r="L33" s="482"/>
      <c r="M33" s="484"/>
      <c r="N33" s="484"/>
      <c r="O33" s="484"/>
      <c r="P33" s="482"/>
      <c r="Q33" s="487"/>
      <c r="R33" s="482"/>
      <c r="S33" s="482"/>
      <c r="T33" s="482"/>
      <c r="U33" s="482"/>
    </row>
    <row r="34" spans="1:22" outlineLevel="1">
      <c r="B34" s="427" t="s">
        <v>782</v>
      </c>
      <c r="C34" s="458">
        <v>15</v>
      </c>
      <c r="D34" s="458">
        <v>8</v>
      </c>
      <c r="E34" s="458" t="s">
        <v>435</v>
      </c>
      <c r="F34" s="458" t="s">
        <v>435</v>
      </c>
      <c r="L34" s="482"/>
      <c r="M34" s="526" t="s">
        <v>743</v>
      </c>
      <c r="N34" s="484"/>
      <c r="O34" s="484"/>
      <c r="P34" s="482"/>
      <c r="Q34" s="487"/>
      <c r="R34" s="482"/>
      <c r="S34" s="482"/>
      <c r="T34" s="482"/>
      <c r="U34" s="482"/>
    </row>
    <row r="35" spans="1:22" outlineLevel="1">
      <c r="B35" s="427" t="s">
        <v>781</v>
      </c>
      <c r="C35" s="458" t="s">
        <v>435</v>
      </c>
      <c r="D35" s="458" t="s">
        <v>435</v>
      </c>
      <c r="E35" s="459">
        <v>42000</v>
      </c>
      <c r="F35" s="459">
        <v>36000</v>
      </c>
      <c r="L35" s="482"/>
      <c r="M35" s="492" t="s">
        <v>591</v>
      </c>
      <c r="N35" s="506">
        <f>'FRC-Spring24-Q2Ans'!D21</f>
        <v>1875870</v>
      </c>
      <c r="O35" s="484"/>
      <c r="P35" s="482"/>
      <c r="Q35" s="487"/>
      <c r="R35" s="482"/>
      <c r="S35" s="482"/>
      <c r="T35" s="482"/>
      <c r="U35" s="482"/>
    </row>
    <row r="36" spans="1:22" outlineLevel="1">
      <c r="B36" s="427" t="s">
        <v>780</v>
      </c>
      <c r="C36" s="458" t="s">
        <v>435</v>
      </c>
      <c r="D36" s="458" t="s">
        <v>435</v>
      </c>
      <c r="E36" s="459">
        <v>60</v>
      </c>
      <c r="F36" s="459">
        <v>65</v>
      </c>
      <c r="L36" s="482"/>
      <c r="M36" s="492" t="s">
        <v>590</v>
      </c>
      <c r="N36" s="489">
        <f>N12</f>
        <v>1706599.113909133</v>
      </c>
      <c r="O36" s="484"/>
      <c r="P36" s="482"/>
      <c r="Q36" s="487"/>
      <c r="R36" s="482"/>
      <c r="S36" s="482"/>
      <c r="T36" s="482"/>
      <c r="U36" s="482"/>
    </row>
    <row r="37" spans="1:22" ht="26.4" outlineLevel="1">
      <c r="B37" s="427" t="s">
        <v>779</v>
      </c>
      <c r="C37" s="458" t="s">
        <v>435</v>
      </c>
      <c r="D37" s="458" t="s">
        <v>435</v>
      </c>
      <c r="E37" s="457" t="s">
        <v>652</v>
      </c>
      <c r="F37" s="457" t="s">
        <v>652</v>
      </c>
      <c r="L37" s="482"/>
      <c r="M37" s="516" t="s">
        <v>589</v>
      </c>
      <c r="N37" s="514">
        <f>N32</f>
        <v>127064.00448881909</v>
      </c>
      <c r="O37" s="484"/>
      <c r="P37" s="482"/>
      <c r="Q37" s="487"/>
      <c r="R37" s="482"/>
      <c r="S37" s="482"/>
      <c r="T37" s="482"/>
      <c r="U37" s="482"/>
    </row>
    <row r="38" spans="1:22">
      <c r="L38" s="482"/>
      <c r="M38" s="511" t="s">
        <v>346</v>
      </c>
      <c r="N38" s="509">
        <f>N35-N36-N37</f>
        <v>42206.881602047899</v>
      </c>
      <c r="O38" s="484"/>
      <c r="P38" s="482"/>
      <c r="Q38" s="487"/>
      <c r="R38" s="482"/>
      <c r="S38" s="482"/>
      <c r="T38" s="482"/>
      <c r="U38" s="482"/>
    </row>
    <row r="39" spans="1:22">
      <c r="B39" s="360"/>
      <c r="L39" s="482"/>
      <c r="M39" s="484"/>
      <c r="N39" s="505"/>
      <c r="O39" s="484"/>
      <c r="P39" s="482"/>
      <c r="Q39" s="487"/>
      <c r="R39" s="482"/>
      <c r="S39" s="482"/>
      <c r="T39" s="482"/>
      <c r="U39" s="482"/>
    </row>
    <row r="40" spans="1:22">
      <c r="B40" s="421" t="s">
        <v>651</v>
      </c>
      <c r="L40" s="482"/>
      <c r="M40" s="484"/>
      <c r="N40" s="484"/>
      <c r="O40" s="484"/>
      <c r="P40" s="482"/>
      <c r="Q40" s="487"/>
      <c r="R40" s="482"/>
      <c r="S40" s="482"/>
      <c r="T40" s="482"/>
      <c r="U40" s="482"/>
    </row>
    <row r="41" spans="1:22" ht="14.4">
      <c r="B41" s="370"/>
      <c r="H41" s="386"/>
      <c r="I41" s="454"/>
      <c r="J41" s="453"/>
      <c r="K41" s="8"/>
      <c r="L41" s="507"/>
      <c r="M41" s="526" t="s">
        <v>742</v>
      </c>
      <c r="N41" s="517" t="s">
        <v>741</v>
      </c>
      <c r="O41" s="517" t="s">
        <v>617</v>
      </c>
      <c r="P41" s="482"/>
      <c r="Q41" s="487"/>
      <c r="R41" s="482"/>
      <c r="S41" s="482"/>
      <c r="T41" s="482"/>
      <c r="U41" s="482"/>
      <c r="V41" s="8"/>
    </row>
    <row r="42" spans="1:22" ht="14.4" outlineLevel="1">
      <c r="A42" s="370"/>
      <c r="B42" s="360" t="s">
        <v>503</v>
      </c>
      <c r="H42" s="386"/>
      <c r="I42" s="454"/>
      <c r="J42" s="453"/>
      <c r="K42" s="8"/>
      <c r="L42" s="482"/>
      <c r="M42" s="492" t="s">
        <v>740</v>
      </c>
      <c r="N42" s="506">
        <f>'FRC-Spring24-Q2Ans'!D21</f>
        <v>1875870</v>
      </c>
      <c r="O42" s="489">
        <f>N42</f>
        <v>1875870</v>
      </c>
      <c r="P42" s="482"/>
      <c r="Q42" s="487"/>
      <c r="R42" s="482"/>
      <c r="S42" s="482"/>
      <c r="T42" s="482"/>
      <c r="U42" s="482"/>
      <c r="V42" s="8"/>
    </row>
    <row r="43" spans="1:22" ht="14.4" outlineLevel="1">
      <c r="A43" s="370"/>
      <c r="B43" s="370"/>
      <c r="H43" s="386"/>
      <c r="I43" s="454"/>
      <c r="J43" s="453"/>
      <c r="K43" s="8"/>
      <c r="L43" s="482"/>
      <c r="M43" s="516" t="s">
        <v>615</v>
      </c>
      <c r="N43" s="515">
        <f>'FRC-Spring24-Q2Ans'!D79</f>
        <v>200000</v>
      </c>
      <c r="O43" s="514">
        <f>N43</f>
        <v>200000</v>
      </c>
      <c r="P43" s="482"/>
      <c r="Q43" s="487"/>
      <c r="R43" s="482"/>
      <c r="S43" s="482"/>
      <c r="T43" s="482"/>
      <c r="U43" s="482"/>
      <c r="V43" s="8"/>
    </row>
    <row r="44" spans="1:22" ht="14.4" outlineLevel="1">
      <c r="B44" s="440" t="s">
        <v>373</v>
      </c>
      <c r="C44" s="456">
        <v>0.05</v>
      </c>
      <c r="D44" s="438" t="s">
        <v>370</v>
      </c>
      <c r="H44" s="386"/>
      <c r="I44" s="454"/>
      <c r="J44" s="453"/>
      <c r="K44" s="8"/>
      <c r="L44" s="482"/>
      <c r="M44" s="492" t="s">
        <v>739</v>
      </c>
      <c r="N44" s="506">
        <f>N42-N43</f>
        <v>1675870</v>
      </c>
      <c r="O44" s="506">
        <f>O42-O43</f>
        <v>1675870</v>
      </c>
      <c r="P44" s="482"/>
      <c r="Q44" s="487"/>
      <c r="R44" s="482"/>
      <c r="S44" s="482"/>
      <c r="T44" s="482"/>
      <c r="U44" s="482"/>
      <c r="V44" s="8"/>
    </row>
    <row r="45" spans="1:22" ht="15" outlineLevel="1">
      <c r="B45" s="440" t="s">
        <v>650</v>
      </c>
      <c r="C45" s="456">
        <v>0.02</v>
      </c>
      <c r="D45" s="438" t="s">
        <v>370</v>
      </c>
      <c r="H45" s="386"/>
      <c r="I45" s="454"/>
      <c r="J45" s="453"/>
      <c r="K45" s="8"/>
      <c r="L45" s="482"/>
      <c r="M45" s="513" t="s">
        <v>614</v>
      </c>
      <c r="N45" s="512">
        <f>N19</f>
        <v>1869271.6133337086</v>
      </c>
      <c r="O45" s="512">
        <f>O25</f>
        <v>1463425.7074049127</v>
      </c>
      <c r="P45" s="482"/>
      <c r="Q45" s="487"/>
      <c r="R45" s="482"/>
      <c r="S45" s="482"/>
      <c r="T45" s="482"/>
      <c r="U45" s="482"/>
      <c r="V45" s="8"/>
    </row>
    <row r="46" spans="1:22" ht="14.4" outlineLevel="1">
      <c r="B46" s="440" t="s">
        <v>501</v>
      </c>
      <c r="C46" s="456">
        <v>0.04</v>
      </c>
      <c r="D46" s="438" t="s">
        <v>370</v>
      </c>
      <c r="H46" s="386"/>
      <c r="I46" s="454"/>
      <c r="J46" s="453"/>
      <c r="K46" s="8"/>
      <c r="L46" s="482"/>
      <c r="M46" s="511" t="s">
        <v>346</v>
      </c>
      <c r="N46" s="510">
        <f>N44-N45</f>
        <v>-193401.61333370861</v>
      </c>
      <c r="O46" s="509">
        <f>O44-O45</f>
        <v>212444.29259508732</v>
      </c>
      <c r="P46" s="482"/>
      <c r="Q46" s="487"/>
      <c r="R46" s="482"/>
      <c r="S46" s="482"/>
      <c r="T46" s="482"/>
      <c r="U46" s="482"/>
      <c r="V46" s="8"/>
    </row>
    <row r="47" spans="1:22" ht="14.4" outlineLevel="1">
      <c r="B47" s="440" t="s">
        <v>499</v>
      </c>
      <c r="C47" s="455" t="s">
        <v>498</v>
      </c>
      <c r="D47" s="438"/>
      <c r="H47" s="386"/>
      <c r="I47" s="454"/>
      <c r="J47" s="453"/>
      <c r="K47" s="8"/>
      <c r="L47" s="482"/>
      <c r="M47" s="492" t="s">
        <v>738</v>
      </c>
      <c r="N47" s="505">
        <f>N44/N45</f>
        <v>0.89653637708177092</v>
      </c>
      <c r="O47" s="505">
        <f>O44/O45</f>
        <v>1.1451691681512237</v>
      </c>
      <c r="P47" s="482"/>
      <c r="Q47" s="487"/>
      <c r="R47" s="482"/>
      <c r="S47" s="482"/>
      <c r="T47" s="482"/>
      <c r="U47" s="482"/>
      <c r="V47" s="8"/>
    </row>
    <row r="48" spans="1:22" outlineLevel="1">
      <c r="B48" s="440" t="s">
        <v>649</v>
      </c>
      <c r="C48" s="452" t="s">
        <v>648</v>
      </c>
      <c r="D48" s="438"/>
      <c r="L48" s="482"/>
      <c r="M48" s="492" t="s">
        <v>778</v>
      </c>
      <c r="N48" s="489"/>
      <c r="O48" s="534">
        <f>(O47-105%)*O45</f>
        <v>139273.0072248416</v>
      </c>
      <c r="P48" s="482"/>
      <c r="Q48" s="487"/>
      <c r="R48" s="482"/>
      <c r="S48" s="482"/>
      <c r="T48" s="482"/>
      <c r="U48" s="482"/>
    </row>
    <row r="49" spans="2:21" outlineLevel="1">
      <c r="B49" s="449" t="s">
        <v>495</v>
      </c>
      <c r="C49" s="398" t="s">
        <v>252</v>
      </c>
      <c r="D49" s="397" t="s">
        <v>491</v>
      </c>
      <c r="L49" s="482"/>
      <c r="M49" s="482"/>
      <c r="N49" s="482"/>
      <c r="O49" s="482"/>
      <c r="P49" s="482"/>
      <c r="Q49" s="482"/>
      <c r="R49" s="482"/>
      <c r="S49" s="482"/>
      <c r="T49" s="482"/>
      <c r="U49" s="482"/>
    </row>
    <row r="50" spans="2:21" outlineLevel="1">
      <c r="B50" s="446"/>
      <c r="C50" s="533" t="s">
        <v>777</v>
      </c>
      <c r="D50" s="451">
        <v>0</v>
      </c>
      <c r="L50" s="486"/>
      <c r="M50" s="486" t="s">
        <v>99</v>
      </c>
      <c r="N50" s="486"/>
      <c r="O50" s="486"/>
      <c r="P50" s="486"/>
      <c r="Q50" s="486"/>
      <c r="R50" s="486"/>
      <c r="S50" s="486"/>
      <c r="T50" s="486"/>
      <c r="U50" s="486"/>
    </row>
    <row r="51" spans="2:21" ht="90" customHeight="1" outlineLevel="1">
      <c r="B51" s="446"/>
      <c r="C51" s="448" t="s">
        <v>647</v>
      </c>
      <c r="D51" s="451">
        <v>0.5</v>
      </c>
      <c r="L51"/>
      <c r="M51" s="532"/>
      <c r="N51"/>
      <c r="O51"/>
      <c r="P51"/>
      <c r="Q51"/>
      <c r="R51"/>
      <c r="S51"/>
      <c r="T51"/>
      <c r="U51"/>
    </row>
    <row r="52" spans="2:21" outlineLevel="1">
      <c r="B52" s="446"/>
      <c r="C52" s="445" t="s">
        <v>646</v>
      </c>
      <c r="D52" s="450">
        <v>1</v>
      </c>
      <c r="L52" s="482"/>
      <c r="M52" s="482"/>
      <c r="N52" s="482"/>
      <c r="O52" s="482"/>
      <c r="P52" s="482"/>
      <c r="Q52" s="482"/>
      <c r="R52" s="482"/>
      <c r="S52" s="482"/>
      <c r="T52" s="482"/>
      <c r="U52" s="482"/>
    </row>
    <row r="53" spans="2:21" outlineLevel="1">
      <c r="B53" s="449" t="s">
        <v>645</v>
      </c>
      <c r="C53" s="398" t="s">
        <v>252</v>
      </c>
      <c r="D53" s="397" t="s">
        <v>491</v>
      </c>
      <c r="L53" s="482"/>
      <c r="M53" s="492" t="s">
        <v>776</v>
      </c>
      <c r="N53" s="489">
        <f>'FRC-Spring24-Q2Ans'!N14</f>
        <v>53346.460258808038</v>
      </c>
      <c r="O53" s="484"/>
      <c r="P53" s="482"/>
      <c r="Q53" s="482"/>
      <c r="R53" s="482"/>
      <c r="S53" s="482"/>
      <c r="T53" s="482"/>
      <c r="U53" s="482"/>
    </row>
    <row r="54" spans="2:21" outlineLevel="1">
      <c r="B54" s="446"/>
      <c r="C54" s="448" t="s">
        <v>644</v>
      </c>
      <c r="D54" s="447">
        <v>0.05</v>
      </c>
      <c r="L54" s="482"/>
      <c r="M54" s="492" t="s">
        <v>775</v>
      </c>
      <c r="N54" s="489">
        <f>'FRC-Spring24-Q2Ans'!N31*'FRC-Spring24-Q2Ans'!O14</f>
        <v>3922.1235601859107</v>
      </c>
      <c r="O54" s="484"/>
      <c r="P54" s="482"/>
      <c r="Q54" s="482"/>
      <c r="R54" s="482"/>
      <c r="S54" s="482"/>
      <c r="T54" s="482"/>
      <c r="U54" s="482"/>
    </row>
    <row r="55" spans="2:21" outlineLevel="1">
      <c r="B55" s="446"/>
      <c r="C55" s="445" t="s">
        <v>489</v>
      </c>
      <c r="D55" s="444">
        <v>0</v>
      </c>
      <c r="L55" s="482"/>
      <c r="M55" s="492" t="s">
        <v>774</v>
      </c>
      <c r="N55" s="489">
        <f>N53+N54</f>
        <v>57268.583818993946</v>
      </c>
      <c r="O55" s="484"/>
      <c r="P55" s="482"/>
      <c r="Q55" s="482"/>
      <c r="R55" s="482"/>
      <c r="S55" s="482"/>
      <c r="T55" s="482"/>
      <c r="U55" s="482"/>
    </row>
    <row r="56" spans="2:21" ht="14.4" outlineLevel="1">
      <c r="B56" s="443" t="s">
        <v>488</v>
      </c>
      <c r="C56" s="1820" t="s">
        <v>643</v>
      </c>
      <c r="D56" s="1821"/>
      <c r="L56" s="482"/>
      <c r="M56" s="513" t="s">
        <v>773</v>
      </c>
      <c r="N56" s="512">
        <f>8%*('Liability Calculation'!R14+'Liability Calculation'!R85)</f>
        <v>15600</v>
      </c>
      <c r="O56" s="484"/>
      <c r="P56" s="482"/>
      <c r="Q56" s="482"/>
      <c r="R56" s="482"/>
      <c r="S56" s="482"/>
      <c r="T56" s="482"/>
      <c r="U56" s="482"/>
    </row>
    <row r="57" spans="2:21" outlineLevel="1">
      <c r="B57" s="442"/>
      <c r="C57" s="1822"/>
      <c r="D57" s="1823"/>
      <c r="L57" s="482"/>
      <c r="M57" s="492" t="s">
        <v>772</v>
      </c>
      <c r="N57" s="489">
        <f>N55-N56</f>
        <v>41668.583818993946</v>
      </c>
      <c r="O57" s="484"/>
      <c r="P57" s="482"/>
      <c r="Q57" s="482"/>
      <c r="R57" s="482"/>
      <c r="S57" s="482"/>
      <c r="T57" s="482"/>
      <c r="U57" s="482"/>
    </row>
    <row r="58" spans="2:21" outlineLevel="1">
      <c r="B58" s="441" t="s">
        <v>484</v>
      </c>
      <c r="C58" s="1824" t="s">
        <v>483</v>
      </c>
      <c r="D58" s="1825"/>
      <c r="L58" s="482"/>
      <c r="M58" s="492" t="s">
        <v>771</v>
      </c>
      <c r="N58" s="530">
        <f>'FRC-Spring24-Q2Ans'!C59</f>
        <v>10000</v>
      </c>
      <c r="O58" s="484"/>
      <c r="P58" s="482"/>
      <c r="Q58" s="482"/>
      <c r="R58" s="482"/>
      <c r="S58" s="482"/>
      <c r="T58" s="482"/>
      <c r="U58" s="482"/>
    </row>
    <row r="59" spans="2:21" outlineLevel="1">
      <c r="B59" s="440" t="s">
        <v>500</v>
      </c>
      <c r="C59" s="439">
        <v>10000</v>
      </c>
      <c r="D59" s="438"/>
      <c r="L59" s="482"/>
      <c r="M59" s="516" t="s">
        <v>770</v>
      </c>
      <c r="N59" s="531">
        <f>N58*'FRC-Spring24-Q2Ans'!N31</f>
        <v>900</v>
      </c>
      <c r="O59" s="484"/>
      <c r="P59" s="482"/>
      <c r="Q59" s="482"/>
      <c r="R59" s="482"/>
      <c r="S59" s="482"/>
      <c r="T59" s="482"/>
      <c r="U59" s="482"/>
    </row>
    <row r="60" spans="2:21" outlineLevel="1">
      <c r="D60" s="437"/>
      <c r="L60" s="482"/>
      <c r="M60" s="492" t="s">
        <v>769</v>
      </c>
      <c r="N60" s="530">
        <f>N58+N59</f>
        <v>10900</v>
      </c>
      <c r="O60" s="484"/>
      <c r="P60" s="482"/>
      <c r="Q60" s="482"/>
      <c r="R60" s="482"/>
      <c r="S60" s="482"/>
      <c r="T60" s="482"/>
      <c r="U60" s="482"/>
    </row>
    <row r="61" spans="2:21" outlineLevel="1">
      <c r="B61" s="436" t="s">
        <v>482</v>
      </c>
      <c r="E61" s="428"/>
      <c r="L61" s="482"/>
      <c r="M61" s="492" t="s">
        <v>768</v>
      </c>
      <c r="N61" s="530">
        <f>N57+N60</f>
        <v>52568.583818993946</v>
      </c>
      <c r="O61" s="484"/>
      <c r="P61" s="482"/>
      <c r="Q61" s="482"/>
      <c r="R61" s="482"/>
      <c r="S61" s="482"/>
      <c r="T61" s="482"/>
      <c r="U61" s="482"/>
    </row>
    <row r="62" spans="2:21" outlineLevel="1">
      <c r="B62" s="430"/>
      <c r="E62" s="428"/>
      <c r="L62" s="482"/>
      <c r="M62" s="492" t="s">
        <v>767</v>
      </c>
      <c r="N62" s="489">
        <v>0</v>
      </c>
      <c r="O62" s="484" t="s">
        <v>766</v>
      </c>
      <c r="P62" s="482"/>
      <c r="Q62" s="482"/>
      <c r="R62" s="482"/>
      <c r="S62" s="482"/>
      <c r="T62" s="482"/>
      <c r="U62" s="482"/>
    </row>
    <row r="63" spans="2:21" outlineLevel="1">
      <c r="B63" s="435" t="s">
        <v>641</v>
      </c>
      <c r="C63" s="529">
        <v>0.05</v>
      </c>
      <c r="L63" s="482"/>
      <c r="M63" s="516" t="s">
        <v>765</v>
      </c>
      <c r="N63" s="514">
        <f>MIN('FRC-Spring24-Q2Ans'!N38,'FRC-Spring24-Q2Ans'!O48)</f>
        <v>42206.881602047899</v>
      </c>
      <c r="O63" s="484"/>
      <c r="P63" s="482"/>
      <c r="Q63" s="482"/>
      <c r="R63" s="482"/>
      <c r="S63" s="482"/>
      <c r="T63" s="482"/>
      <c r="U63" s="482"/>
    </row>
    <row r="64" spans="2:21" ht="13.35" customHeight="1" outlineLevel="1">
      <c r="B64" s="434" t="s">
        <v>764</v>
      </c>
      <c r="C64" s="433">
        <v>0.04</v>
      </c>
      <c r="L64" s="482"/>
      <c r="M64" s="511" t="s">
        <v>763</v>
      </c>
      <c r="N64" s="509">
        <f>N61+N62-N63</f>
        <v>10361.702216946047</v>
      </c>
      <c r="O64" s="484"/>
      <c r="P64" s="482"/>
      <c r="Q64" s="487"/>
      <c r="R64" s="482"/>
      <c r="S64" s="482"/>
      <c r="T64" s="482"/>
      <c r="U64" s="482"/>
    </row>
    <row r="65" spans="2:21" outlineLevel="1">
      <c r="B65" s="432" t="s">
        <v>371</v>
      </c>
      <c r="C65" s="431">
        <v>6.5000000000000002E-2</v>
      </c>
      <c r="L65" s="482"/>
      <c r="M65" s="492"/>
      <c r="N65" s="489"/>
      <c r="O65" s="484"/>
      <c r="P65" s="482"/>
      <c r="Q65" s="487"/>
      <c r="R65" s="482"/>
      <c r="S65" s="482"/>
      <c r="T65" s="482"/>
      <c r="U65" s="482"/>
    </row>
    <row r="66" spans="2:21" outlineLevel="1">
      <c r="B66" s="430"/>
      <c r="D66" s="429"/>
      <c r="E66" s="428"/>
      <c r="L66" s="482"/>
      <c r="M66" s="492" t="s">
        <v>762</v>
      </c>
      <c r="N66" s="489"/>
      <c r="O66" s="484"/>
      <c r="P66" s="482"/>
      <c r="Q66" s="487"/>
      <c r="R66" s="482"/>
      <c r="S66" s="482"/>
      <c r="T66" s="482"/>
      <c r="U66" s="482"/>
    </row>
    <row r="67" spans="2:21" outlineLevel="1">
      <c r="B67" s="421" t="s">
        <v>479</v>
      </c>
      <c r="D67" s="429"/>
      <c r="E67" s="428"/>
      <c r="L67" s="482"/>
      <c r="M67" s="492" t="s">
        <v>761</v>
      </c>
      <c r="N67" s="489">
        <f>N61</f>
        <v>52568.583818993946</v>
      </c>
      <c r="O67" s="484"/>
      <c r="P67" s="482"/>
      <c r="Q67" s="487"/>
      <c r="R67" s="482"/>
      <c r="S67" s="482"/>
      <c r="T67" s="482"/>
      <c r="U67" s="482"/>
    </row>
    <row r="68" spans="2:21" outlineLevel="1">
      <c r="D68" s="429"/>
      <c r="E68" s="428"/>
      <c r="L68" s="482"/>
      <c r="M68" s="492" t="s">
        <v>760</v>
      </c>
      <c r="N68" s="489">
        <f>-N46</f>
        <v>193401.61333370861</v>
      </c>
      <c r="O68" s="484"/>
      <c r="P68" s="482"/>
      <c r="Q68" s="487"/>
      <c r="R68" s="482"/>
      <c r="S68" s="482"/>
      <c r="T68" s="482"/>
      <c r="U68" s="482"/>
    </row>
    <row r="69" spans="2:21" outlineLevel="1">
      <c r="B69" s="1826" t="s">
        <v>478</v>
      </c>
      <c r="C69" s="1826"/>
      <c r="D69" s="1808" t="s">
        <v>477</v>
      </c>
      <c r="E69" s="1809"/>
      <c r="L69" s="482"/>
      <c r="M69" s="511" t="s">
        <v>347</v>
      </c>
      <c r="N69" s="509">
        <f>N68+N67</f>
        <v>245970.19715270255</v>
      </c>
      <c r="O69" s="484"/>
      <c r="P69" s="482"/>
      <c r="Q69" s="487"/>
      <c r="R69" s="482"/>
      <c r="S69" s="482"/>
      <c r="T69" s="482"/>
      <c r="U69" s="482"/>
    </row>
    <row r="70" spans="2:21" outlineLevel="1">
      <c r="B70" s="1810" t="s">
        <v>476</v>
      </c>
      <c r="C70" s="1811"/>
      <c r="D70" s="1811"/>
      <c r="E70" s="1812"/>
      <c r="L70" s="482"/>
      <c r="M70" s="482"/>
      <c r="N70" s="482"/>
      <c r="O70" s="482"/>
      <c r="P70" s="482"/>
      <c r="Q70" s="487"/>
      <c r="R70" s="482"/>
      <c r="S70" s="482"/>
      <c r="T70" s="482"/>
      <c r="U70" s="482"/>
    </row>
    <row r="71" spans="2:21" outlineLevel="1">
      <c r="B71" s="1813" t="s">
        <v>475</v>
      </c>
      <c r="C71" s="1813"/>
      <c r="D71" s="1808" t="s">
        <v>474</v>
      </c>
      <c r="E71" s="1809"/>
      <c r="L71" s="486"/>
      <c r="M71" s="486" t="s">
        <v>759</v>
      </c>
      <c r="N71" s="486"/>
      <c r="O71" s="486"/>
      <c r="P71" s="486"/>
      <c r="Q71" s="486"/>
      <c r="R71" s="486"/>
      <c r="S71" s="486"/>
      <c r="T71" s="486"/>
      <c r="U71" s="486"/>
    </row>
    <row r="72" spans="2:21" ht="14.4" outlineLevel="1">
      <c r="B72" s="1813" t="s">
        <v>473</v>
      </c>
      <c r="C72" s="1813"/>
      <c r="D72" s="1808" t="s">
        <v>472</v>
      </c>
      <c r="E72" s="1809"/>
      <c r="L72"/>
      <c r="M72" s="508"/>
      <c r="N72"/>
      <c r="O72"/>
      <c r="P72"/>
      <c r="Q72"/>
      <c r="R72"/>
      <c r="S72"/>
      <c r="T72"/>
      <c r="U72"/>
    </row>
    <row r="73" spans="2:21" ht="14.4" outlineLevel="1">
      <c r="B73" s="1810" t="s">
        <v>471</v>
      </c>
      <c r="C73" s="1811"/>
      <c r="D73" s="1811"/>
      <c r="E73" s="1812"/>
      <c r="L73"/>
      <c r="M73" s="508"/>
      <c r="N73"/>
      <c r="O73"/>
      <c r="P73"/>
      <c r="Q73"/>
      <c r="R73"/>
      <c r="S73"/>
      <c r="T73"/>
      <c r="U73"/>
    </row>
    <row r="74" spans="2:21" outlineLevel="1">
      <c r="B74" s="1813" t="s">
        <v>470</v>
      </c>
      <c r="C74" s="1813"/>
      <c r="D74" s="1808" t="s">
        <v>638</v>
      </c>
      <c r="E74" s="1809"/>
      <c r="F74" s="356"/>
      <c r="L74" s="482"/>
      <c r="M74" s="482"/>
      <c r="N74" s="482"/>
      <c r="O74" s="482"/>
      <c r="P74" s="482"/>
      <c r="Q74" s="482"/>
      <c r="R74" s="482"/>
      <c r="S74" s="482"/>
      <c r="T74" s="482"/>
      <c r="U74" s="482"/>
    </row>
    <row r="75" spans="2:21" outlineLevel="1">
      <c r="B75" s="1813" t="s">
        <v>464</v>
      </c>
      <c r="C75" s="1813"/>
      <c r="D75" s="1808" t="s">
        <v>637</v>
      </c>
      <c r="E75" s="1809"/>
      <c r="F75" s="426"/>
      <c r="L75" s="482"/>
      <c r="M75" s="528" t="s">
        <v>758</v>
      </c>
      <c r="N75" s="484"/>
      <c r="O75" s="484"/>
      <c r="P75" s="507"/>
      <c r="Q75" s="507"/>
      <c r="R75" s="482"/>
      <c r="S75" s="482"/>
      <c r="T75" s="482"/>
      <c r="U75" s="482"/>
    </row>
    <row r="76" spans="2:21" outlineLevel="1">
      <c r="B76" s="1810" t="s">
        <v>466</v>
      </c>
      <c r="C76" s="1811"/>
      <c r="D76" s="1811"/>
      <c r="E76" s="1812"/>
      <c r="L76" s="482"/>
      <c r="M76" s="484"/>
      <c r="N76" s="484"/>
      <c r="O76" s="484"/>
      <c r="P76" s="507"/>
      <c r="Q76" s="487"/>
      <c r="R76" s="482"/>
      <c r="S76" s="482"/>
      <c r="T76" s="482"/>
      <c r="U76" s="482"/>
    </row>
    <row r="77" spans="2:21" outlineLevel="1">
      <c r="B77" s="1813" t="s">
        <v>465</v>
      </c>
      <c r="C77" s="1813"/>
      <c r="D77" s="1808" t="s">
        <v>636</v>
      </c>
      <c r="E77" s="1809"/>
      <c r="L77" s="482"/>
      <c r="M77" s="484"/>
      <c r="N77" s="517" t="s">
        <v>757</v>
      </c>
      <c r="O77" s="517" t="s">
        <v>756</v>
      </c>
      <c r="P77" s="507"/>
      <c r="Q77" s="487"/>
      <c r="R77" s="482"/>
      <c r="S77" s="482"/>
      <c r="T77" s="482"/>
      <c r="U77" s="482"/>
    </row>
    <row r="78" spans="2:21" outlineLevel="1">
      <c r="B78" s="1813" t="s">
        <v>464</v>
      </c>
      <c r="C78" s="1813"/>
      <c r="D78" s="1808" t="s">
        <v>635</v>
      </c>
      <c r="E78" s="1809"/>
      <c r="F78" s="426"/>
      <c r="L78" s="482"/>
      <c r="M78" s="526" t="s">
        <v>755</v>
      </c>
      <c r="N78" s="484"/>
      <c r="O78" s="484"/>
      <c r="P78" s="507"/>
      <c r="Q78" s="487"/>
      <c r="R78" s="482"/>
      <c r="S78" s="482"/>
      <c r="T78" s="482"/>
      <c r="U78" s="482"/>
    </row>
    <row r="79" spans="2:21" outlineLevel="1">
      <c r="B79" s="1813" t="s">
        <v>634</v>
      </c>
      <c r="C79" s="1813"/>
      <c r="D79" s="1814">
        <v>200000</v>
      </c>
      <c r="E79" s="1815"/>
      <c r="L79" s="482"/>
      <c r="M79" s="525" t="s">
        <v>747</v>
      </c>
      <c r="N79" s="489">
        <f>'Liability Calculation'!J43+'Liability Calculation'!J103</f>
        <v>653479.91668756725</v>
      </c>
      <c r="O79" s="489">
        <f>'Liability Calculation'!M43+'Liability Calculation'!M103</f>
        <v>535467.48103131191</v>
      </c>
      <c r="P79" s="507"/>
      <c r="Q79" s="487"/>
      <c r="R79" s="482"/>
      <c r="S79" s="482"/>
      <c r="T79" s="482"/>
      <c r="U79" s="482"/>
    </row>
    <row r="80" spans="2:21" outlineLevel="1">
      <c r="B80" s="1816" t="s">
        <v>462</v>
      </c>
      <c r="C80" s="1816"/>
      <c r="D80" s="1817" t="s">
        <v>461</v>
      </c>
      <c r="E80" s="1818"/>
      <c r="L80" s="482"/>
      <c r="M80" s="523" t="s">
        <v>350</v>
      </c>
      <c r="N80" s="514">
        <f>'Liability Calculation'!G128</f>
        <v>678321.03747005109</v>
      </c>
      <c r="O80" s="514">
        <f>'Liability Calculation'!H128</f>
        <v>562701.14031702362</v>
      </c>
      <c r="P80" s="507"/>
      <c r="Q80" s="487"/>
      <c r="R80" s="482"/>
      <c r="S80" s="482"/>
      <c r="T80" s="482"/>
      <c r="U80" s="482"/>
    </row>
    <row r="81" spans="1:21">
      <c r="L81" s="482"/>
      <c r="M81" s="525" t="s">
        <v>347</v>
      </c>
      <c r="N81" s="489">
        <f>N79+N80</f>
        <v>1331800.9541576183</v>
      </c>
      <c r="O81" s="489">
        <f>O79+O80</f>
        <v>1098168.6213483354</v>
      </c>
      <c r="P81" s="507"/>
      <c r="Q81" s="487"/>
      <c r="R81" s="482"/>
      <c r="S81" s="482"/>
      <c r="T81" s="482"/>
      <c r="U81" s="482"/>
    </row>
    <row r="82" spans="1:21">
      <c r="L82" s="482"/>
      <c r="M82" s="525"/>
      <c r="N82" s="489"/>
      <c r="O82" s="489"/>
      <c r="P82" s="507"/>
      <c r="Q82" s="487"/>
      <c r="R82" s="482"/>
      <c r="S82" s="482"/>
      <c r="T82" s="482"/>
      <c r="U82" s="482"/>
    </row>
    <row r="83" spans="1:21">
      <c r="A83" s="370"/>
      <c r="B83" s="360" t="s">
        <v>633</v>
      </c>
      <c r="L83" s="482"/>
      <c r="M83" s="526" t="s">
        <v>754</v>
      </c>
      <c r="N83" s="489">
        <f>'Liability Calculation'!K43+'Liability Calculation'!K103</f>
        <v>56503.019564651891</v>
      </c>
      <c r="O83" s="489">
        <f>'Liability Calculation'!N43+'Liability Calculation'!N81</f>
        <v>44919.237635445184</v>
      </c>
      <c r="P83" s="507"/>
      <c r="Q83" s="487"/>
      <c r="R83" s="482"/>
      <c r="S83" s="482"/>
      <c r="T83" s="482"/>
      <c r="U83" s="482"/>
    </row>
    <row r="84" spans="1:21">
      <c r="A84" s="370"/>
      <c r="B84" s="421"/>
      <c r="L84" s="482"/>
      <c r="M84" s="526"/>
      <c r="N84" s="484"/>
      <c r="O84" s="484"/>
      <c r="P84" s="507"/>
      <c r="Q84" s="487"/>
      <c r="R84" s="482"/>
      <c r="S84" s="482"/>
      <c r="T84" s="482"/>
      <c r="U84" s="482"/>
    </row>
    <row r="85" spans="1:21" ht="26.4" outlineLevel="1">
      <c r="B85" s="424" t="s">
        <v>459</v>
      </c>
      <c r="C85" s="425" t="s">
        <v>458</v>
      </c>
      <c r="D85" s="425" t="s">
        <v>753</v>
      </c>
      <c r="L85" s="482"/>
      <c r="M85" s="526" t="s">
        <v>752</v>
      </c>
      <c r="N85" s="484"/>
      <c r="O85" s="484"/>
      <c r="P85" s="507"/>
      <c r="Q85" s="487"/>
      <c r="R85" s="482"/>
      <c r="S85" s="482"/>
      <c r="T85" s="482"/>
      <c r="U85" s="482"/>
    </row>
    <row r="86" spans="1:21" outlineLevel="1">
      <c r="B86" s="424" t="s">
        <v>751</v>
      </c>
      <c r="C86" s="423">
        <v>5000</v>
      </c>
      <c r="D86" s="422">
        <v>7</v>
      </c>
      <c r="F86" s="384"/>
      <c r="L86" s="482"/>
      <c r="M86" s="525" t="s">
        <v>747</v>
      </c>
      <c r="N86" s="524">
        <f>'Liability Calculation'!H69+'Liability Calculation'!H116</f>
        <v>660011.74722767994</v>
      </c>
      <c r="O86" s="520" t="s">
        <v>435</v>
      </c>
      <c r="P86" s="507"/>
      <c r="Q86" s="487"/>
      <c r="R86" s="482"/>
      <c r="S86" s="482"/>
      <c r="T86" s="482"/>
      <c r="U86" s="482"/>
    </row>
    <row r="87" spans="1:21" ht="14.4" outlineLevel="1">
      <c r="B87" s="424" t="s">
        <v>617</v>
      </c>
      <c r="C87" s="423">
        <v>2500</v>
      </c>
      <c r="D87" s="422">
        <v>2</v>
      </c>
      <c r="F87" s="384"/>
      <c r="L87" s="482"/>
      <c r="M87" s="523" t="s">
        <v>350</v>
      </c>
      <c r="N87" s="522">
        <f>'Liability Calculation'!G133</f>
        <v>775994.04237660021</v>
      </c>
      <c r="O87" s="517" t="s">
        <v>435</v>
      </c>
      <c r="P87" s="507"/>
      <c r="Q87" s="487"/>
      <c r="R87" s="482"/>
      <c r="S87" s="482"/>
      <c r="T87" s="482"/>
      <c r="U87" s="482"/>
    </row>
    <row r="88" spans="1:21">
      <c r="L88" s="482"/>
      <c r="M88" s="525" t="s">
        <v>347</v>
      </c>
      <c r="N88" s="489">
        <f>N86+N87</f>
        <v>1436005.7896042801</v>
      </c>
      <c r="O88" s="520" t="s">
        <v>435</v>
      </c>
      <c r="P88" s="507"/>
      <c r="Q88" s="487"/>
      <c r="R88" s="482"/>
      <c r="S88" s="482"/>
      <c r="T88" s="482"/>
      <c r="U88" s="482"/>
    </row>
    <row r="89" spans="1:21">
      <c r="B89" s="360" t="s">
        <v>750</v>
      </c>
      <c r="L89" s="482"/>
      <c r="M89" s="525"/>
      <c r="N89" s="527"/>
      <c r="O89" s="520"/>
      <c r="P89" s="507"/>
      <c r="Q89" s="487"/>
      <c r="R89" s="482"/>
      <c r="S89" s="482"/>
      <c r="T89" s="482"/>
      <c r="U89" s="482"/>
    </row>
    <row r="90" spans="1:21">
      <c r="A90" s="421"/>
      <c r="L90" s="482"/>
      <c r="M90" s="525"/>
      <c r="N90" s="527"/>
      <c r="O90" s="520"/>
      <c r="P90" s="507"/>
      <c r="Q90" s="487"/>
      <c r="R90" s="482"/>
      <c r="S90" s="482"/>
      <c r="T90" s="482"/>
      <c r="U90" s="482"/>
    </row>
    <row r="91" spans="1:21" outlineLevel="1">
      <c r="A91" s="421"/>
      <c r="C91" s="1805" t="s">
        <v>749</v>
      </c>
      <c r="D91" s="1806"/>
      <c r="E91" s="1806"/>
      <c r="F91" s="1806"/>
      <c r="G91" s="1806"/>
      <c r="H91" s="1807"/>
      <c r="L91" s="482"/>
      <c r="M91" s="526" t="s">
        <v>748</v>
      </c>
      <c r="N91" s="484"/>
      <c r="O91" s="484"/>
      <c r="P91" s="507"/>
      <c r="Q91" s="487"/>
      <c r="R91" s="482"/>
      <c r="S91" s="482"/>
      <c r="T91" s="482"/>
      <c r="U91" s="482"/>
    </row>
    <row r="92" spans="1:21" outlineLevel="1">
      <c r="A92" s="421"/>
      <c r="C92" s="420" t="s">
        <v>421</v>
      </c>
      <c r="D92" s="419"/>
      <c r="E92" s="419"/>
      <c r="F92" s="419"/>
      <c r="G92" s="419"/>
      <c r="H92" s="418"/>
      <c r="L92" s="482"/>
      <c r="M92" s="525" t="s">
        <v>747</v>
      </c>
      <c r="N92" s="520" t="s">
        <v>435</v>
      </c>
      <c r="O92" s="524">
        <f>'Liability Calculation'!J69+'Liability Calculation'!J116</f>
        <v>478825.89622480806</v>
      </c>
      <c r="P92" s="507"/>
      <c r="Q92" s="487"/>
      <c r="R92" s="482"/>
      <c r="S92" s="482"/>
      <c r="T92" s="482"/>
      <c r="U92" s="482"/>
    </row>
    <row r="93" spans="1:21" ht="14.4" outlineLevel="1">
      <c r="A93" s="421"/>
      <c r="B93" s="396" t="s">
        <v>252</v>
      </c>
      <c r="C93" s="417">
        <v>1.7000000000000001E-2</v>
      </c>
      <c r="D93" s="416">
        <v>2.1999999999999999E-2</v>
      </c>
      <c r="E93" s="416">
        <v>0.03</v>
      </c>
      <c r="F93" s="416">
        <v>3.7999999999999999E-2</v>
      </c>
      <c r="G93" s="416">
        <v>4.1000000000000002E-2</v>
      </c>
      <c r="H93" s="415">
        <v>0.05</v>
      </c>
      <c r="L93" s="482"/>
      <c r="M93" s="523" t="s">
        <v>350</v>
      </c>
      <c r="N93" s="517" t="s">
        <v>435</v>
      </c>
      <c r="O93" s="522">
        <f>'Liability Calculation'!H133</f>
        <v>627717.5259670231</v>
      </c>
      <c r="P93" s="507"/>
      <c r="Q93" s="487"/>
      <c r="R93" s="482"/>
      <c r="S93" s="482"/>
      <c r="T93" s="482"/>
      <c r="U93" s="482"/>
    </row>
    <row r="94" spans="1:21" outlineLevel="1">
      <c r="A94" s="421"/>
      <c r="B94" s="410">
        <v>45</v>
      </c>
      <c r="C94" s="409">
        <v>29.364535265271972</v>
      </c>
      <c r="D94" s="385">
        <v>26.781986820290058</v>
      </c>
      <c r="E94" s="385">
        <v>23.330386896933494</v>
      </c>
      <c r="F94" s="385">
        <v>20.542477598891519</v>
      </c>
      <c r="G94" s="385">
        <v>19.63581048020772</v>
      </c>
      <c r="H94" s="408">
        <v>17.284066443782475</v>
      </c>
      <c r="L94" s="482"/>
      <c r="M94" s="521" t="s">
        <v>347</v>
      </c>
      <c r="N94" s="520" t="s">
        <v>435</v>
      </c>
      <c r="O94" s="489">
        <f>O92+O93</f>
        <v>1106543.4221918313</v>
      </c>
      <c r="P94" s="507"/>
      <c r="Q94" s="487"/>
      <c r="R94" s="482"/>
      <c r="S94" s="482"/>
      <c r="T94" s="482"/>
      <c r="U94" s="482"/>
    </row>
    <row r="95" spans="1:21" outlineLevel="1">
      <c r="A95" s="421"/>
      <c r="B95" s="410">
        <v>46</v>
      </c>
      <c r="C95" s="409">
        <v>28.871694569472933</v>
      </c>
      <c r="D95" s="385">
        <v>26.377371171323819</v>
      </c>
      <c r="E95" s="385">
        <v>23.032887248037966</v>
      </c>
      <c r="F95" s="385">
        <v>20.321473803160348</v>
      </c>
      <c r="G95" s="385">
        <v>19.437575432038059</v>
      </c>
      <c r="H95" s="408">
        <v>17.1396783962863</v>
      </c>
      <c r="L95" s="482"/>
      <c r="M95" s="521"/>
      <c r="N95" s="520"/>
      <c r="O95" s="519"/>
      <c r="P95" s="507"/>
      <c r="Q95" s="487"/>
      <c r="R95" s="482"/>
      <c r="S95" s="482"/>
      <c r="T95" s="482"/>
      <c r="U95" s="482"/>
    </row>
    <row r="96" spans="1:21" outlineLevel="1">
      <c r="A96" s="421"/>
      <c r="B96" s="410">
        <v>47</v>
      </c>
      <c r="C96" s="409">
        <v>28.373717265946578</v>
      </c>
      <c r="D96" s="385">
        <v>25.966817395373873</v>
      </c>
      <c r="E96" s="385">
        <v>22.72907254479054</v>
      </c>
      <c r="F96" s="385">
        <v>20.094410013804655</v>
      </c>
      <c r="G96" s="385">
        <v>19.233464733514758</v>
      </c>
      <c r="H96" s="408">
        <v>16.990103249555695</v>
      </c>
      <c r="L96" s="482"/>
      <c r="M96" s="491" t="s">
        <v>746</v>
      </c>
      <c r="N96" s="484"/>
      <c r="O96" s="484"/>
      <c r="P96" s="507"/>
      <c r="Q96" s="487"/>
      <c r="R96" s="482"/>
      <c r="S96" s="482"/>
      <c r="T96" s="482"/>
      <c r="U96" s="482"/>
    </row>
    <row r="97" spans="1:21" outlineLevel="1">
      <c r="A97" s="421"/>
      <c r="B97" s="410">
        <v>48</v>
      </c>
      <c r="C97" s="409">
        <v>27.87015779144388</v>
      </c>
      <c r="D97" s="385">
        <v>25.549875139168538</v>
      </c>
      <c r="E97" s="385">
        <v>22.41848321618286</v>
      </c>
      <c r="F97" s="385">
        <v>19.860824372696694</v>
      </c>
      <c r="G97" s="385">
        <v>19.023018158842167</v>
      </c>
      <c r="H97" s="408">
        <v>16.834893495193004</v>
      </c>
      <c r="L97" s="482"/>
      <c r="M97" s="492" t="str">
        <f>'FRC-Spring24-Q2Ans'!M28</f>
        <v>Plan type (Closed):</v>
      </c>
      <c r="N97" s="505">
        <f>'FRC-Spring24-Q2Ans'!N28</f>
        <v>0.05</v>
      </c>
      <c r="O97" s="484"/>
      <c r="P97" s="507"/>
      <c r="Q97" s="487"/>
      <c r="R97" s="482"/>
      <c r="S97" s="482"/>
      <c r="T97" s="482"/>
      <c r="U97" s="482"/>
    </row>
    <row r="98" spans="1:21" outlineLevel="1">
      <c r="A98" s="421"/>
      <c r="B98" s="410">
        <v>49</v>
      </c>
      <c r="C98" s="409">
        <v>27.360468910772411</v>
      </c>
      <c r="D98" s="385">
        <v>25.125995919421467</v>
      </c>
      <c r="E98" s="385">
        <v>22.100566112594031</v>
      </c>
      <c r="F98" s="385">
        <v>19.620165011987648</v>
      </c>
      <c r="G98" s="385">
        <v>18.80568664644343</v>
      </c>
      <c r="H98" s="408">
        <v>16.67351601214429</v>
      </c>
      <c r="L98" s="482"/>
      <c r="M98" s="492" t="str">
        <f>'FRC-Spring24-Q2Ans'!M29</f>
        <v>PfAD Asset mix component:</v>
      </c>
      <c r="N98" s="505">
        <f>'FRC-Spring24-Q2Ans'!N29</f>
        <v>0.04</v>
      </c>
      <c r="O98" s="484"/>
      <c r="P98" s="507"/>
      <c r="Q98" s="487"/>
      <c r="R98" s="482"/>
      <c r="S98" s="482"/>
      <c r="T98" s="482"/>
      <c r="U98" s="482"/>
    </row>
    <row r="99" spans="1:21" outlineLevel="1">
      <c r="A99" s="421"/>
      <c r="B99" s="410">
        <v>50</v>
      </c>
      <c r="C99" s="409">
        <v>26.844627631743879</v>
      </c>
      <c r="D99" s="385">
        <v>24.695108634174709</v>
      </c>
      <c r="E99" s="385">
        <v>21.775181595086554</v>
      </c>
      <c r="F99" s="385">
        <v>19.372240868256743</v>
      </c>
      <c r="G99" s="385">
        <v>18.581264594057448</v>
      </c>
      <c r="H99" s="408">
        <v>16.505735778057524</v>
      </c>
      <c r="L99" s="482"/>
      <c r="M99" s="516" t="str">
        <f>'FRC-Spring24-Q2Ans'!M30</f>
        <v>Benchmark discount rate (BDR):</v>
      </c>
      <c r="N99" s="518">
        <f>'FRC-Spring24-Q2Ans'!N30</f>
        <v>0</v>
      </c>
      <c r="O99" s="484"/>
      <c r="P99" s="482"/>
      <c r="Q99" s="487"/>
      <c r="R99" s="482"/>
      <c r="S99" s="482"/>
      <c r="T99" s="482"/>
      <c r="U99" s="482"/>
    </row>
    <row r="100" spans="1:21" outlineLevel="1">
      <c r="A100" s="421"/>
      <c r="B100" s="410">
        <v>51</v>
      </c>
      <c r="C100" s="409">
        <v>26.322342838109563</v>
      </c>
      <c r="D100" s="385">
        <v>24.256893981089732</v>
      </c>
      <c r="E100" s="385">
        <v>21.441967920775511</v>
      </c>
      <c r="F100" s="385">
        <v>19.116659379186114</v>
      </c>
      <c r="G100" s="385">
        <v>18.349351530434397</v>
      </c>
      <c r="H100" s="408">
        <v>16.33114005435397</v>
      </c>
      <c r="L100" s="482"/>
      <c r="M100" s="492" t="s">
        <v>745</v>
      </c>
      <c r="N100" s="505">
        <f>SUM(N97:N99)</f>
        <v>0.09</v>
      </c>
      <c r="O100" s="484"/>
      <c r="P100" s="482"/>
      <c r="Q100" s="487"/>
      <c r="R100" s="482"/>
      <c r="S100" s="482"/>
      <c r="T100" s="482"/>
      <c r="U100" s="482"/>
    </row>
    <row r="101" spans="1:21" outlineLevel="1">
      <c r="A101" s="421"/>
      <c r="B101" s="410">
        <v>52</v>
      </c>
      <c r="C101" s="409">
        <v>25.793642759280303</v>
      </c>
      <c r="D101" s="385">
        <v>23.811324530236096</v>
      </c>
      <c r="E101" s="385">
        <v>21.100816919996888</v>
      </c>
      <c r="F101" s="385">
        <v>18.853249130241075</v>
      </c>
      <c r="G101" s="385">
        <v>18.109757293477639</v>
      </c>
      <c r="H101" s="408">
        <v>16.149497685680711</v>
      </c>
      <c r="L101" s="482"/>
      <c r="M101" s="492" t="s">
        <v>744</v>
      </c>
      <c r="N101" s="489">
        <f>N100*O81</f>
        <v>98835.175921350179</v>
      </c>
      <c r="O101" s="484"/>
      <c r="P101" s="482"/>
      <c r="Q101" s="487"/>
      <c r="R101" s="482"/>
      <c r="S101" s="482"/>
      <c r="T101" s="482"/>
      <c r="U101" s="482"/>
    </row>
    <row r="102" spans="1:21" outlineLevel="1">
      <c r="A102" s="421"/>
      <c r="B102" s="410">
        <v>53</v>
      </c>
      <c r="C102" s="409">
        <v>25.25886894776799</v>
      </c>
      <c r="D102" s="385">
        <v>23.358662703354284</v>
      </c>
      <c r="E102" s="385">
        <v>20.751876830854947</v>
      </c>
      <c r="F102" s="385">
        <v>18.582066101991039</v>
      </c>
      <c r="G102" s="385">
        <v>17.862509270437055</v>
      </c>
      <c r="H102" s="408">
        <v>15.96076860298937</v>
      </c>
      <c r="L102" s="482"/>
      <c r="M102" s="492"/>
      <c r="N102" s="484"/>
      <c r="O102" s="484"/>
      <c r="P102" s="482"/>
      <c r="Q102" s="487"/>
      <c r="R102" s="482"/>
      <c r="S102" s="482"/>
      <c r="T102" s="482"/>
      <c r="U102" s="482"/>
    </row>
    <row r="103" spans="1:21" outlineLevel="1">
      <c r="A103" s="421"/>
      <c r="B103" s="410">
        <v>54</v>
      </c>
      <c r="C103" s="409">
        <v>24.718542448071592</v>
      </c>
      <c r="D103" s="385">
        <v>22.899340109915116</v>
      </c>
      <c r="E103" s="385">
        <v>20.395449218385622</v>
      </c>
      <c r="F103" s="385">
        <v>18.3033047324028</v>
      </c>
      <c r="G103" s="385">
        <v>17.607768038445073</v>
      </c>
      <c r="H103" s="408">
        <v>15.765031265787227</v>
      </c>
      <c r="L103" s="482"/>
      <c r="M103" s="491" t="s">
        <v>743</v>
      </c>
      <c r="N103" s="484"/>
      <c r="O103" s="484"/>
      <c r="P103" s="482"/>
      <c r="Q103" s="487"/>
      <c r="R103" s="482"/>
      <c r="S103" s="482"/>
      <c r="T103" s="482"/>
      <c r="U103" s="482"/>
    </row>
    <row r="104" spans="1:21" outlineLevel="1">
      <c r="A104" s="421"/>
      <c r="B104" s="410">
        <v>55</v>
      </c>
      <c r="C104" s="409">
        <v>24.17356647811339</v>
      </c>
      <c r="D104" s="385">
        <v>22.434147952462105</v>
      </c>
      <c r="E104" s="385">
        <v>20.032162188064984</v>
      </c>
      <c r="F104" s="385">
        <v>18.017456442883258</v>
      </c>
      <c r="G104" s="385">
        <v>17.345980930857955</v>
      </c>
      <c r="H104" s="408">
        <v>15.562622875667785</v>
      </c>
      <c r="L104" s="482"/>
      <c r="M104" s="492" t="s">
        <v>591</v>
      </c>
      <c r="N104" s="506">
        <f>'FRC-Spring24-Q2Ans'!C254</f>
        <v>1425170</v>
      </c>
      <c r="O104" s="484"/>
      <c r="P104" s="482"/>
      <c r="Q104" s="487"/>
      <c r="R104" s="482"/>
      <c r="S104" s="482"/>
      <c r="T104" s="482"/>
      <c r="U104" s="482"/>
    </row>
    <row r="105" spans="1:21" outlineLevel="1">
      <c r="A105" s="421"/>
      <c r="B105" s="410">
        <v>56</v>
      </c>
      <c r="C105" s="409">
        <v>23.624764449836331</v>
      </c>
      <c r="D105" s="385">
        <v>21.963811375519231</v>
      </c>
      <c r="E105" s="385">
        <v>19.662594558474193</v>
      </c>
      <c r="F105" s="385">
        <v>17.724975229631575</v>
      </c>
      <c r="G105" s="385">
        <v>17.077561344778527</v>
      </c>
      <c r="H105" s="408">
        <v>15.353854868554128</v>
      </c>
      <c r="L105" s="482"/>
      <c r="M105" s="492" t="s">
        <v>590</v>
      </c>
      <c r="N105" s="489">
        <f>N81</f>
        <v>1331800.9541576183</v>
      </c>
      <c r="O105" s="484"/>
      <c r="P105" s="482"/>
      <c r="Q105" s="487"/>
      <c r="R105" s="482"/>
      <c r="S105" s="482"/>
      <c r="T105" s="482"/>
      <c r="U105" s="482"/>
    </row>
    <row r="106" spans="1:21" outlineLevel="1">
      <c r="A106" s="421"/>
      <c r="B106" s="410">
        <v>57</v>
      </c>
      <c r="C106" s="409">
        <v>23.073093178650634</v>
      </c>
      <c r="D106" s="385">
        <v>21.489187496165496</v>
      </c>
      <c r="E106" s="385">
        <v>19.287453114624139</v>
      </c>
      <c r="F106" s="385">
        <v>17.426437627352765</v>
      </c>
      <c r="G106" s="385">
        <v>16.803042964593278</v>
      </c>
      <c r="H106" s="408">
        <v>15.139151933435613</v>
      </c>
      <c r="L106" s="482"/>
      <c r="M106" s="516" t="s">
        <v>589</v>
      </c>
      <c r="N106" s="514">
        <f>N101</f>
        <v>98835.175921350179</v>
      </c>
      <c r="O106" s="484"/>
      <c r="P106" s="482"/>
      <c r="Q106" s="487"/>
      <c r="R106" s="482"/>
      <c r="S106" s="482"/>
      <c r="T106" s="482"/>
      <c r="U106" s="482"/>
    </row>
    <row r="107" spans="1:21" outlineLevel="1">
      <c r="A107" s="421"/>
      <c r="B107" s="410">
        <v>58</v>
      </c>
      <c r="C107" s="409">
        <v>22.518417038759807</v>
      </c>
      <c r="D107" s="385">
        <v>21.010121791708464</v>
      </c>
      <c r="E107" s="385">
        <v>18.906543664081809</v>
      </c>
      <c r="F107" s="385">
        <v>17.121611007438073</v>
      </c>
      <c r="G107" s="385">
        <v>16.52218069712989</v>
      </c>
      <c r="H107" s="408">
        <v>14.918240209714543</v>
      </c>
      <c r="L107" s="482"/>
      <c r="M107" s="511" t="s">
        <v>346</v>
      </c>
      <c r="N107" s="509">
        <f>N104-N105-N106</f>
        <v>-5466.1300789685192</v>
      </c>
      <c r="O107" s="484"/>
      <c r="P107" s="482"/>
      <c r="Q107" s="487"/>
      <c r="R107" s="482"/>
      <c r="S107" s="482"/>
      <c r="T107" s="482"/>
      <c r="U107" s="482"/>
    </row>
    <row r="108" spans="1:21" outlineLevel="1">
      <c r="A108" s="421"/>
      <c r="B108" s="410">
        <v>59</v>
      </c>
      <c r="C108" s="409">
        <v>21.960182301070173</v>
      </c>
      <c r="D108" s="385">
        <v>20.526066959264355</v>
      </c>
      <c r="E108" s="385">
        <v>18.519314108316902</v>
      </c>
      <c r="F108" s="385">
        <v>16.809933874908872</v>
      </c>
      <c r="G108" s="385">
        <v>16.234410218423481</v>
      </c>
      <c r="H108" s="408">
        <v>14.690552167552021</v>
      </c>
      <c r="L108" s="482"/>
      <c r="M108" s="492"/>
      <c r="N108" s="505"/>
      <c r="O108" s="484"/>
      <c r="P108" s="482"/>
      <c r="Q108" s="487"/>
      <c r="R108" s="482"/>
      <c r="S108" s="482"/>
      <c r="T108" s="482"/>
      <c r="U108" s="482"/>
    </row>
    <row r="109" spans="1:21" outlineLevel="1">
      <c r="A109" s="421"/>
      <c r="B109" s="410">
        <v>60</v>
      </c>
      <c r="C109" s="409">
        <v>21.397443905723811</v>
      </c>
      <c r="D109" s="385">
        <v>20.03610323705848</v>
      </c>
      <c r="E109" s="385">
        <v>18.124866264461854</v>
      </c>
      <c r="F109" s="385">
        <v>16.490520959927597</v>
      </c>
      <c r="G109" s="385">
        <v>15.93885090896006</v>
      </c>
      <c r="H109" s="408">
        <v>14.455224042583259</v>
      </c>
      <c r="L109" s="482"/>
      <c r="M109" s="492"/>
      <c r="N109" s="484"/>
      <c r="O109" s="484"/>
      <c r="P109" s="482"/>
      <c r="Q109" s="487"/>
      <c r="R109" s="482"/>
      <c r="S109" s="482"/>
      <c r="T109" s="482"/>
      <c r="U109" s="482"/>
    </row>
    <row r="110" spans="1:21" outlineLevel="1">
      <c r="A110" s="421"/>
      <c r="B110" s="410">
        <v>61</v>
      </c>
      <c r="C110" s="409">
        <v>20.828909218084185</v>
      </c>
      <c r="D110" s="385">
        <v>19.538974792267769</v>
      </c>
      <c r="E110" s="385">
        <v>17.721982273003821</v>
      </c>
      <c r="F110" s="385">
        <v>16.162181445512346</v>
      </c>
      <c r="G110" s="385">
        <v>15.634321396697604</v>
      </c>
      <c r="H110" s="408">
        <v>14.21110435724176</v>
      </c>
      <c r="L110" s="482"/>
      <c r="M110" s="491" t="s">
        <v>742</v>
      </c>
      <c r="N110" s="517" t="s">
        <v>741</v>
      </c>
      <c r="O110" s="517" t="s">
        <v>617</v>
      </c>
      <c r="P110" s="482"/>
      <c r="Q110" s="487"/>
      <c r="R110" s="482"/>
      <c r="S110" s="482"/>
      <c r="T110" s="482"/>
      <c r="U110" s="482"/>
    </row>
    <row r="111" spans="1:21" outlineLevel="1">
      <c r="A111" s="421"/>
      <c r="B111" s="410">
        <v>62</v>
      </c>
      <c r="C111" s="409">
        <v>20.253492346625027</v>
      </c>
      <c r="D111" s="385">
        <v>19.033607198228015</v>
      </c>
      <c r="E111" s="385">
        <v>17.309590212928146</v>
      </c>
      <c r="F111" s="385">
        <v>15.823840082711806</v>
      </c>
      <c r="G111" s="385">
        <v>15.319745614847244</v>
      </c>
      <c r="H111" s="408">
        <v>13.957119379423707</v>
      </c>
      <c r="L111" s="482"/>
      <c r="M111" s="492" t="s">
        <v>740</v>
      </c>
      <c r="N111" s="506">
        <f>N104</f>
        <v>1425170</v>
      </c>
      <c r="O111" s="489">
        <f>N111</f>
        <v>1425170</v>
      </c>
      <c r="P111" s="482"/>
      <c r="Q111" s="487"/>
      <c r="R111" s="482"/>
      <c r="S111" s="482"/>
      <c r="T111" s="482"/>
      <c r="U111" s="482"/>
    </row>
    <row r="112" spans="1:21" outlineLevel="1">
      <c r="A112" s="421"/>
      <c r="B112" s="410">
        <v>63</v>
      </c>
      <c r="C112" s="409">
        <v>19.670303656891125</v>
      </c>
      <c r="D112" s="385">
        <v>18.51909973287755</v>
      </c>
      <c r="E112" s="385">
        <v>16.886759693242809</v>
      </c>
      <c r="F112" s="385">
        <v>15.474534958693274</v>
      </c>
      <c r="G112" s="385">
        <v>14.994151157110824</v>
      </c>
      <c r="H112" s="408">
        <v>13.692272649016862</v>
      </c>
      <c r="L112" s="482"/>
      <c r="M112" s="516" t="s">
        <v>615</v>
      </c>
      <c r="N112" s="515">
        <f>'FRC-Spring24-Q2Ans'!N43</f>
        <v>200000</v>
      </c>
      <c r="O112" s="514">
        <f>N112</f>
        <v>200000</v>
      </c>
      <c r="P112" s="482"/>
      <c r="Q112" s="487"/>
      <c r="R112" s="482"/>
      <c r="S112" s="482"/>
      <c r="T112" s="482"/>
      <c r="U112" s="482"/>
    </row>
    <row r="113" spans="1:21" outlineLevel="1">
      <c r="A113" s="421"/>
      <c r="B113" s="410">
        <v>64</v>
      </c>
      <c r="C113" s="409">
        <v>19.079614319659594</v>
      </c>
      <c r="D113" s="385">
        <v>17.995638470496466</v>
      </c>
      <c r="E113" s="385">
        <v>16.453541149116447</v>
      </c>
      <c r="F113" s="385">
        <v>15.114192075727177</v>
      </c>
      <c r="G113" s="385">
        <v>14.65742164014638</v>
      </c>
      <c r="H113" s="408">
        <v>13.416336567835957</v>
      </c>
      <c r="L113" s="482"/>
      <c r="M113" s="492" t="s">
        <v>739</v>
      </c>
      <c r="N113" s="506">
        <f>N111-N112</f>
        <v>1225170</v>
      </c>
      <c r="O113" s="506">
        <f>O111-O112</f>
        <v>1225170</v>
      </c>
      <c r="P113" s="482"/>
      <c r="Q113" s="487"/>
      <c r="R113" s="482"/>
      <c r="S113" s="482"/>
      <c r="T113" s="482"/>
      <c r="U113" s="482"/>
    </row>
    <row r="114" spans="1:21" ht="14.4" outlineLevel="1">
      <c r="A114" s="421"/>
      <c r="B114" s="410">
        <v>65</v>
      </c>
      <c r="C114" s="409">
        <v>18.481781835427832</v>
      </c>
      <c r="D114" s="385">
        <v>17.463492974786053</v>
      </c>
      <c r="E114" s="385">
        <v>16.010062356980765</v>
      </c>
      <c r="F114" s="385">
        <v>14.74280707493377</v>
      </c>
      <c r="G114" s="385">
        <v>14.309507142920319</v>
      </c>
      <c r="H114" s="408">
        <v>13.129139905515039</v>
      </c>
      <c r="L114" s="482"/>
      <c r="M114" s="513" t="s">
        <v>614</v>
      </c>
      <c r="N114" s="512">
        <f>N88</f>
        <v>1436005.7896042801</v>
      </c>
      <c r="O114" s="512">
        <f>O94</f>
        <v>1106543.4221918313</v>
      </c>
      <c r="P114" s="482"/>
      <c r="Q114" s="487"/>
      <c r="R114" s="482"/>
      <c r="S114" s="482"/>
      <c r="T114" s="482"/>
      <c r="U114" s="482"/>
    </row>
    <row r="115" spans="1:21" outlineLevel="1">
      <c r="A115" s="421"/>
      <c r="B115" s="410">
        <v>66</v>
      </c>
      <c r="C115" s="409">
        <v>17.877230840256168</v>
      </c>
      <c r="D115" s="385">
        <v>16.92299913797072</v>
      </c>
      <c r="E115" s="385">
        <v>15.556514096649394</v>
      </c>
      <c r="F115" s="385">
        <v>14.360433222609943</v>
      </c>
      <c r="G115" s="385">
        <v>13.9504129443909</v>
      </c>
      <c r="H115" s="408">
        <v>12.830558431202119</v>
      </c>
      <c r="L115" s="482"/>
      <c r="M115" s="511" t="s">
        <v>346</v>
      </c>
      <c r="N115" s="510">
        <f>N113-N114</f>
        <v>-210835.78960428014</v>
      </c>
      <c r="O115" s="509">
        <f>O113-O114</f>
        <v>118626.57780816872</v>
      </c>
      <c r="P115" s="482"/>
      <c r="Q115" s="487"/>
      <c r="R115" s="482"/>
      <c r="S115" s="482"/>
      <c r="T115" s="482"/>
      <c r="U115" s="482"/>
    </row>
    <row r="116" spans="1:21" outlineLevel="1">
      <c r="A116" s="421"/>
      <c r="B116" s="410">
        <v>67</v>
      </c>
      <c r="C116" s="409">
        <v>17.267335166368497</v>
      </c>
      <c r="D116" s="385">
        <v>16.375397696389477</v>
      </c>
      <c r="E116" s="385">
        <v>15.093926067424368</v>
      </c>
      <c r="F116" s="385">
        <v>13.967902224455344</v>
      </c>
      <c r="G116" s="385">
        <v>13.580901365305456</v>
      </c>
      <c r="H116" s="408">
        <v>12.521164671050814</v>
      </c>
      <c r="L116" s="482"/>
      <c r="M116" s="492" t="s">
        <v>738</v>
      </c>
      <c r="N116" s="505">
        <f>N113/N114</f>
        <v>0.85317901144230057</v>
      </c>
      <c r="O116" s="505">
        <f>O113/O114</f>
        <v>1.1072046296865552</v>
      </c>
      <c r="P116" s="482"/>
      <c r="Q116" s="487"/>
      <c r="R116" s="482"/>
      <c r="S116" s="482"/>
      <c r="T116" s="482"/>
      <c r="U116" s="482"/>
    </row>
    <row r="117" spans="1:21" outlineLevel="1">
      <c r="A117" s="421"/>
      <c r="B117" s="410">
        <v>68</v>
      </c>
      <c r="C117" s="409">
        <v>16.652900734239655</v>
      </c>
      <c r="D117" s="385">
        <v>15.821401863237178</v>
      </c>
      <c r="E117" s="385">
        <v>14.622855651627868</v>
      </c>
      <c r="F117" s="385">
        <v>13.565618727929735</v>
      </c>
      <c r="G117" s="385">
        <v>13.201322439590781</v>
      </c>
      <c r="H117" s="408">
        <v>12.201157110476938</v>
      </c>
      <c r="L117" s="482"/>
      <c r="M117" s="482"/>
      <c r="N117" s="482"/>
      <c r="O117" s="482"/>
      <c r="P117" s="482"/>
      <c r="Q117" s="487"/>
      <c r="R117" s="482"/>
      <c r="S117" s="482"/>
      <c r="T117" s="482"/>
      <c r="U117" s="482"/>
    </row>
    <row r="118" spans="1:21" outlineLevel="1">
      <c r="A118" s="421"/>
      <c r="B118" s="410">
        <v>69</v>
      </c>
      <c r="C118" s="409">
        <v>16.034579725179839</v>
      </c>
      <c r="D118" s="385">
        <v>15.261585618024741</v>
      </c>
      <c r="E118" s="385">
        <v>14.143739724801888</v>
      </c>
      <c r="F118" s="385">
        <v>13.153880750010879</v>
      </c>
      <c r="G118" s="385">
        <v>12.811923695462886</v>
      </c>
      <c r="H118" s="408">
        <v>11.87064116295787</v>
      </c>
      <c r="L118" s="486"/>
      <c r="M118" s="486" t="s">
        <v>737</v>
      </c>
      <c r="N118" s="486"/>
      <c r="O118" s="486"/>
      <c r="P118" s="486"/>
      <c r="Q118" s="486"/>
      <c r="R118" s="486"/>
      <c r="S118" s="486"/>
      <c r="T118" s="486"/>
      <c r="U118" s="486"/>
    </row>
    <row r="119" spans="1:21" ht="14.4" outlineLevel="1">
      <c r="A119" s="421"/>
      <c r="B119" s="410">
        <v>70</v>
      </c>
      <c r="C119" s="409">
        <v>15.413405645243213</v>
      </c>
      <c r="D119" s="385">
        <v>14.696892743136599</v>
      </c>
      <c r="E119" s="385">
        <v>13.657366275475866</v>
      </c>
      <c r="F119" s="385">
        <v>12.733318339778284</v>
      </c>
      <c r="G119" s="385">
        <v>12.413277459696335</v>
      </c>
      <c r="H119" s="408">
        <v>11.530025244130009</v>
      </c>
      <c r="L119"/>
      <c r="M119" s="508"/>
      <c r="N119"/>
      <c r="O119"/>
      <c r="P119"/>
      <c r="Q119"/>
      <c r="R119"/>
      <c r="S119"/>
      <c r="T119"/>
      <c r="U119"/>
    </row>
    <row r="120" spans="1:21" outlineLevel="1">
      <c r="A120" s="421"/>
      <c r="B120" s="405">
        <v>71</v>
      </c>
      <c r="C120" s="404">
        <v>14.79033101116876</v>
      </c>
      <c r="D120" s="403">
        <v>14.128199186702426</v>
      </c>
      <c r="E120" s="403">
        <v>13.164472432957739</v>
      </c>
      <c r="F120" s="403">
        <v>12.304523113232241</v>
      </c>
      <c r="G120" s="403">
        <v>12.005921247124158</v>
      </c>
      <c r="H120" s="402">
        <v>11.179690917753776</v>
      </c>
      <c r="L120" s="482"/>
      <c r="M120" s="507"/>
      <c r="N120" s="507"/>
      <c r="O120" s="482"/>
      <c r="P120" s="482"/>
      <c r="Q120" s="482"/>
      <c r="R120" s="482"/>
      <c r="S120" s="482"/>
      <c r="T120" s="482"/>
      <c r="U120" s="482"/>
    </row>
    <row r="121" spans="1:21" outlineLevel="1">
      <c r="A121" s="421"/>
      <c r="B121" s="386"/>
      <c r="C121" s="385"/>
      <c r="D121" s="385"/>
      <c r="E121" s="385"/>
      <c r="F121" s="385"/>
      <c r="G121" s="385"/>
      <c r="H121" s="385"/>
      <c r="L121" s="482"/>
      <c r="M121" s="492" t="s">
        <v>736</v>
      </c>
      <c r="N121" s="506">
        <f>'Liability Calculation'!J49-'Liability Calculation'!J43</f>
        <v>-3155.4338091037353</v>
      </c>
      <c r="O121" s="484"/>
      <c r="P121" s="484"/>
      <c r="Q121" s="487"/>
      <c r="R121" s="482"/>
      <c r="S121" s="482"/>
      <c r="T121" s="482"/>
      <c r="U121" s="482"/>
    </row>
    <row r="122" spans="1:21" outlineLevel="1">
      <c r="A122" s="421"/>
      <c r="L122" s="482"/>
      <c r="M122" s="492" t="s">
        <v>735</v>
      </c>
      <c r="N122" s="506">
        <f>'Liability Calculation'!L128-'Liability Calculation'!G128</f>
        <v>-31697.244741591159</v>
      </c>
      <c r="O122" s="484"/>
      <c r="P122" s="484"/>
      <c r="Q122" s="487"/>
      <c r="R122" s="482"/>
      <c r="S122" s="482"/>
      <c r="T122" s="482"/>
      <c r="U122" s="482"/>
    </row>
    <row r="123" spans="1:21" outlineLevel="1">
      <c r="C123" s="1805" t="s">
        <v>734</v>
      </c>
      <c r="D123" s="1806"/>
      <c r="E123" s="1806"/>
      <c r="F123" s="1806"/>
      <c r="G123" s="1806"/>
      <c r="H123" s="1807"/>
      <c r="L123" s="482"/>
      <c r="M123" s="492" t="s">
        <v>733</v>
      </c>
      <c r="N123" s="506">
        <f>'Liability Calculation'!Q146+('Liability Calculation'!Q128-'Liability Calculation'!L128)</f>
        <v>475740.70817228133</v>
      </c>
      <c r="O123" s="484"/>
      <c r="P123" s="484"/>
      <c r="Q123" s="487"/>
      <c r="R123" s="482"/>
      <c r="S123" s="482"/>
      <c r="T123" s="482"/>
      <c r="U123" s="482"/>
    </row>
    <row r="124" spans="1:21" outlineLevel="1">
      <c r="C124" s="420" t="s">
        <v>421</v>
      </c>
      <c r="D124" s="419"/>
      <c r="E124" s="419"/>
      <c r="F124" s="419"/>
      <c r="G124" s="419"/>
      <c r="H124" s="418"/>
      <c r="L124" s="482"/>
      <c r="M124" s="484"/>
      <c r="N124" s="484"/>
      <c r="O124" s="484"/>
      <c r="P124" s="484"/>
      <c r="Q124" s="487"/>
      <c r="R124" s="482"/>
      <c r="S124" s="482"/>
      <c r="T124" s="482"/>
      <c r="U124" s="482"/>
    </row>
    <row r="125" spans="1:21" outlineLevel="1">
      <c r="B125" s="396" t="s">
        <v>252</v>
      </c>
      <c r="C125" s="417">
        <v>1.7000000000000001E-2</v>
      </c>
      <c r="D125" s="416">
        <v>2.1999999999999999E-2</v>
      </c>
      <c r="E125" s="416">
        <v>0.03</v>
      </c>
      <c r="F125" s="416">
        <v>3.7999999999999999E-2</v>
      </c>
      <c r="G125" s="416">
        <v>4.1000000000000002E-2</v>
      </c>
      <c r="H125" s="415">
        <v>0.05</v>
      </c>
      <c r="L125" s="482"/>
      <c r="M125" s="484" t="s">
        <v>421</v>
      </c>
      <c r="N125" s="505">
        <f>'FRC-Spring24-Q2Ans'!C44</f>
        <v>0.05</v>
      </c>
      <c r="O125" s="484"/>
      <c r="P125" s="484"/>
      <c r="Q125" s="487"/>
      <c r="R125" s="482"/>
      <c r="S125" s="482"/>
      <c r="T125" s="482"/>
      <c r="U125" s="482"/>
    </row>
    <row r="126" spans="1:21" outlineLevel="1">
      <c r="A126" s="496"/>
      <c r="B126" s="414">
        <v>45</v>
      </c>
      <c r="C126" s="412">
        <v>29.385474656227597</v>
      </c>
      <c r="D126" s="412">
        <v>26.802505919054351</v>
      </c>
      <c r="E126" s="412">
        <v>23.350216454590011</v>
      </c>
      <c r="F126" s="412">
        <v>20.561598757236027</v>
      </c>
      <c r="G126" s="412">
        <v>19.654661597289788</v>
      </c>
      <c r="H126" s="411">
        <v>17.302094563960353</v>
      </c>
      <c r="L126" s="482"/>
      <c r="M126" s="484"/>
      <c r="N126" s="484"/>
      <c r="O126" s="484"/>
      <c r="P126" s="484"/>
      <c r="Q126" s="487"/>
      <c r="R126" s="482"/>
      <c r="S126" s="482"/>
      <c r="T126" s="482"/>
      <c r="U126" s="482"/>
    </row>
    <row r="127" spans="1:21" outlineLevel="1">
      <c r="A127" s="496"/>
      <c r="B127" s="410">
        <v>46</v>
      </c>
      <c r="C127" s="385">
        <v>28.894292500802926</v>
      </c>
      <c r="D127" s="385">
        <v>26.399522038646786</v>
      </c>
      <c r="E127" s="385">
        <v>23.054307012154606</v>
      </c>
      <c r="F127" s="385">
        <v>20.342145109912359</v>
      </c>
      <c r="G127" s="385">
        <v>19.457962049538001</v>
      </c>
      <c r="H127" s="408">
        <v>17.159199250289724</v>
      </c>
      <c r="L127" s="482"/>
      <c r="M127" s="484"/>
      <c r="N127" s="489"/>
      <c r="O127" s="489"/>
      <c r="P127" s="484"/>
      <c r="Q127" s="487"/>
      <c r="R127" s="482"/>
      <c r="S127" s="482"/>
      <c r="T127" s="482"/>
      <c r="U127" s="482"/>
    </row>
    <row r="128" spans="1:21" outlineLevel="1">
      <c r="A128" s="496"/>
      <c r="B128" s="410">
        <v>47</v>
      </c>
      <c r="C128" s="385">
        <v>28.397934540424913</v>
      </c>
      <c r="D128" s="385">
        <v>25.990561308920434</v>
      </c>
      <c r="E128" s="385">
        <v>22.752044534373173</v>
      </c>
      <c r="F128" s="385">
        <v>20.116594207339972</v>
      </c>
      <c r="G128" s="385">
        <v>19.255349854082866</v>
      </c>
      <c r="H128" s="408">
        <v>17.011080615472515</v>
      </c>
      <c r="L128" s="482"/>
      <c r="M128" s="484"/>
      <c r="N128" s="504" t="s">
        <v>732</v>
      </c>
      <c r="O128" s="504" t="s">
        <v>591</v>
      </c>
      <c r="P128" s="504" t="s">
        <v>731</v>
      </c>
      <c r="Q128" s="500" t="s">
        <v>730</v>
      </c>
      <c r="R128" s="482"/>
      <c r="S128" s="482"/>
      <c r="T128" s="482"/>
      <c r="U128" s="482"/>
    </row>
    <row r="129" spans="1:21" outlineLevel="1">
      <c r="A129" s="496"/>
      <c r="B129" s="410">
        <v>48</v>
      </c>
      <c r="C129" s="385">
        <v>27.896000942849273</v>
      </c>
      <c r="D129" s="385">
        <v>25.575218275849178</v>
      </c>
      <c r="E129" s="385">
        <v>22.443013059981617</v>
      </c>
      <c r="F129" s="385">
        <v>19.884526560391457</v>
      </c>
      <c r="G129" s="385">
        <v>19.046406700953348</v>
      </c>
      <c r="H129" s="408">
        <v>16.85733174548686</v>
      </c>
      <c r="L129" s="482"/>
      <c r="M129" s="503">
        <v>44927</v>
      </c>
      <c r="N129" s="490">
        <f>ROUND(N36+N37,0)</f>
        <v>1833663</v>
      </c>
      <c r="O129" s="490">
        <f>ROUND(N35,0)</f>
        <v>1875870</v>
      </c>
      <c r="P129" s="490">
        <f>ROUND(O129-N129,0)</f>
        <v>42207</v>
      </c>
      <c r="Q129" s="489"/>
      <c r="R129" s="482"/>
      <c r="S129" s="482"/>
      <c r="T129" s="482"/>
      <c r="U129" s="482"/>
    </row>
    <row r="130" spans="1:21" outlineLevel="1">
      <c r="A130" s="496"/>
      <c r="B130" s="410">
        <v>49</v>
      </c>
      <c r="C130" s="385">
        <v>27.388042593693303</v>
      </c>
      <c r="D130" s="385">
        <v>25.15304105083684</v>
      </c>
      <c r="E130" s="385">
        <v>22.12675366527678</v>
      </c>
      <c r="F130" s="385">
        <v>19.645482244613866</v>
      </c>
      <c r="G130" s="385">
        <v>18.830674637449619</v>
      </c>
      <c r="H130" s="408">
        <v>16.697508192067218</v>
      </c>
      <c r="L130" s="482"/>
      <c r="M130" s="492" t="s">
        <v>729</v>
      </c>
      <c r="N130" s="502">
        <f>ROUND(N129*N125,0)</f>
        <v>91683</v>
      </c>
      <c r="O130" s="502">
        <f>ROUND(O129*N125,0)</f>
        <v>93794</v>
      </c>
      <c r="P130" s="490">
        <f>ROUND(O130-N130,0)</f>
        <v>2111</v>
      </c>
      <c r="Q130" s="484"/>
      <c r="R130" s="482"/>
      <c r="S130" s="482"/>
      <c r="T130" s="482"/>
      <c r="U130" s="482"/>
    </row>
    <row r="131" spans="1:21" outlineLevel="1">
      <c r="A131" s="496"/>
      <c r="B131" s="410">
        <v>50</v>
      </c>
      <c r="C131" s="385">
        <v>26.8740828314595</v>
      </c>
      <c r="D131" s="385">
        <v>24.724003842598723</v>
      </c>
      <c r="E131" s="385">
        <v>21.803170443692121</v>
      </c>
      <c r="F131" s="385">
        <v>19.399312413997322</v>
      </c>
      <c r="G131" s="385">
        <v>18.607989726320444</v>
      </c>
      <c r="H131" s="408">
        <v>16.531414990042283</v>
      </c>
      <c r="L131" s="482"/>
      <c r="M131" s="492" t="s">
        <v>728</v>
      </c>
      <c r="N131" s="490">
        <f>ROUND(0,0)</f>
        <v>0</v>
      </c>
      <c r="O131" s="490">
        <f>ROUND(0,0)</f>
        <v>0</v>
      </c>
      <c r="P131" s="490">
        <f>ROUND(O131-N131,0)</f>
        <v>0</v>
      </c>
      <c r="Q131" s="484"/>
      <c r="R131" s="482"/>
      <c r="S131" s="482"/>
      <c r="T131" s="482"/>
      <c r="U131" s="482"/>
    </row>
    <row r="132" spans="1:21" outlineLevel="1">
      <c r="A132" s="496"/>
      <c r="B132" s="410">
        <v>51</v>
      </c>
      <c r="C132" s="385">
        <v>26.353964035564374</v>
      </c>
      <c r="D132" s="385">
        <v>24.287918708990436</v>
      </c>
      <c r="E132" s="385">
        <v>21.472029696361105</v>
      </c>
      <c r="F132" s="385">
        <v>19.145749352959378</v>
      </c>
      <c r="G132" s="385">
        <v>18.378075173626478</v>
      </c>
      <c r="H132" s="408">
        <v>16.358759662999887</v>
      </c>
      <c r="L132" s="482"/>
      <c r="M132" s="492" t="s">
        <v>727</v>
      </c>
      <c r="N132" s="501">
        <f>ROUND(SUM(N129:N131),0)</f>
        <v>1925346</v>
      </c>
      <c r="O132" s="501">
        <f>ROUND(SUM(O129:O131),0)</f>
        <v>1969664</v>
      </c>
      <c r="P132" s="494">
        <f>ROUND(O132-N132,0)</f>
        <v>44318</v>
      </c>
      <c r="Q132" s="484"/>
      <c r="R132" s="482"/>
      <c r="S132" s="482"/>
      <c r="T132" s="482"/>
      <c r="U132" s="482"/>
    </row>
    <row r="133" spans="1:21" outlineLevel="1">
      <c r="A133" s="496"/>
      <c r="B133" s="410">
        <v>52</v>
      </c>
      <c r="C133" s="385">
        <v>25.827834766089861</v>
      </c>
      <c r="D133" s="385">
        <v>23.844876678843864</v>
      </c>
      <c r="E133" s="385">
        <v>21.133338804262319</v>
      </c>
      <c r="F133" s="385">
        <v>18.884734392288038</v>
      </c>
      <c r="G133" s="385">
        <v>18.14085253616247</v>
      </c>
      <c r="H133" s="408">
        <v>16.179419775760568</v>
      </c>
      <c r="L133" s="482"/>
      <c r="M133" s="484"/>
      <c r="N133" s="484"/>
      <c r="O133" s="484"/>
      <c r="P133" s="484"/>
      <c r="Q133" s="484"/>
      <c r="R133" s="482"/>
      <c r="S133" s="482"/>
      <c r="T133" s="482"/>
      <c r="U133" s="482"/>
    </row>
    <row r="134" spans="1:21" outlineLevel="1">
      <c r="A134" s="496"/>
      <c r="B134" s="410">
        <v>53</v>
      </c>
      <c r="C134" s="385">
        <v>25.296115465123382</v>
      </c>
      <c r="D134" s="385">
        <v>23.395218015580877</v>
      </c>
      <c r="E134" s="385">
        <v>20.787322212673683</v>
      </c>
      <c r="F134" s="385">
        <v>18.616398135283905</v>
      </c>
      <c r="G134" s="385">
        <v>17.896423242250933</v>
      </c>
      <c r="H134" s="408">
        <v>15.993427594984109</v>
      </c>
      <c r="L134" s="482"/>
      <c r="M134" s="492" t="s">
        <v>726</v>
      </c>
      <c r="N134" s="490">
        <f>ROUND('FRC-Spring24-Q2Ans'!N53*(1+'FRC-Spring24-Q2Ans'!$N$125),0)+1</f>
        <v>56015</v>
      </c>
      <c r="O134" s="490">
        <f>ROUND(('FRC-Spring24-Q2Ans'!C249+'FRC-Spring24-Q2Ans'!C250)*(1+$N$125)^0.5-O136-N154,0)</f>
        <v>243342</v>
      </c>
      <c r="P134" s="490">
        <f>ROUND(O134-N134,0)</f>
        <v>187327</v>
      </c>
      <c r="Q134" s="500" t="s">
        <v>725</v>
      </c>
      <c r="R134" s="482"/>
      <c r="S134" s="482"/>
      <c r="T134" s="482"/>
      <c r="U134" s="482"/>
    </row>
    <row r="135" spans="1:21" outlineLevel="1">
      <c r="A135" s="496"/>
      <c r="B135" s="410">
        <v>54</v>
      </c>
      <c r="C135" s="385">
        <v>24.759347589372194</v>
      </c>
      <c r="D135" s="385">
        <v>22.939394912272569</v>
      </c>
      <c r="E135" s="385">
        <v>20.434302323765522</v>
      </c>
      <c r="F135" s="385">
        <v>18.340956086525477</v>
      </c>
      <c r="G135" s="385">
        <v>17.644969015800953</v>
      </c>
      <c r="H135" s="408">
        <v>15.800882949194282</v>
      </c>
      <c r="L135" s="482"/>
      <c r="M135" s="492"/>
      <c r="N135" s="490"/>
      <c r="O135" s="490"/>
      <c r="P135" s="490"/>
      <c r="Q135" s="484"/>
      <c r="R135" s="482"/>
      <c r="S135" s="482"/>
      <c r="T135" s="482"/>
      <c r="U135" s="482"/>
    </row>
    <row r="136" spans="1:21" outlineLevel="1">
      <c r="A136" s="496"/>
      <c r="B136" s="410">
        <v>55</v>
      </c>
      <c r="C136" s="385">
        <v>24.218326636900361</v>
      </c>
      <c r="D136" s="385">
        <v>22.478092965221148</v>
      </c>
      <c r="E136" s="385">
        <v>20.074804909938123</v>
      </c>
      <c r="F136" s="385">
        <v>18.058800479373215</v>
      </c>
      <c r="G136" s="385">
        <v>17.386839149714298</v>
      </c>
      <c r="H136" s="408">
        <v>15.602028342322026</v>
      </c>
      <c r="L136" s="482"/>
      <c r="M136" s="492" t="s">
        <v>724</v>
      </c>
      <c r="N136" s="490">
        <f>ROUND(0,0)</f>
        <v>0</v>
      </c>
      <c r="O136" s="490">
        <f>ROUND(('FRC-Spring24-Q2Ans'!C59)*(1+'FRC-Spring24-Q2Ans'!$N$125)^0.5,0)</f>
        <v>10247</v>
      </c>
      <c r="P136" s="490"/>
      <c r="Q136" s="500"/>
      <c r="R136" s="482"/>
      <c r="S136" s="482"/>
      <c r="T136" s="482"/>
      <c r="U136" s="482"/>
    </row>
    <row r="137" spans="1:21" outlineLevel="1">
      <c r="A137" s="496"/>
      <c r="B137" s="410">
        <v>56</v>
      </c>
      <c r="C137" s="385">
        <v>23.673699741305192</v>
      </c>
      <c r="D137" s="385">
        <v>22.011864168085975</v>
      </c>
      <c r="E137" s="385">
        <v>19.709240491032084</v>
      </c>
      <c r="F137" s="385">
        <v>17.770221684027334</v>
      </c>
      <c r="G137" s="385">
        <v>17.12228512280489</v>
      </c>
      <c r="H137" s="408">
        <v>15.397018274784546</v>
      </c>
      <c r="L137" s="482"/>
      <c r="M137" s="492" t="s">
        <v>723</v>
      </c>
      <c r="N137" s="490">
        <f>ROUND(0,0)</f>
        <v>0</v>
      </c>
      <c r="O137" s="498">
        <f>ROUND('FRC-Spring24-Q2Ans'!C252*(1+'FRC-Spring24-Q2Ans'!$N$125)^0.5,0)</f>
        <v>-25617</v>
      </c>
      <c r="P137" s="490"/>
      <c r="Q137" s="484"/>
      <c r="R137" s="482"/>
      <c r="S137" s="482"/>
      <c r="T137" s="482"/>
      <c r="U137" s="482"/>
    </row>
    <row r="138" spans="1:21" outlineLevel="1">
      <c r="A138" s="496"/>
      <c r="B138" s="410">
        <v>57</v>
      </c>
      <c r="C138" s="385">
        <v>23.126126681303937</v>
      </c>
      <c r="D138" s="385">
        <v>21.541272987149959</v>
      </c>
      <c r="E138" s="385">
        <v>19.338030019435969</v>
      </c>
      <c r="F138" s="385">
        <v>17.475516984991486</v>
      </c>
      <c r="G138" s="385">
        <v>16.851563779011563</v>
      </c>
      <c r="H138" s="408">
        <v>15.186007639412828</v>
      </c>
      <c r="L138" s="482"/>
      <c r="M138" s="492" t="s">
        <v>722</v>
      </c>
      <c r="N138" s="490"/>
      <c r="O138" s="490"/>
      <c r="P138" s="490">
        <f>O137+O136</f>
        <v>-15370</v>
      </c>
      <c r="Q138" s="500" t="s">
        <v>721</v>
      </c>
      <c r="R138" s="482"/>
      <c r="S138" s="482"/>
      <c r="T138" s="482"/>
      <c r="U138" s="482"/>
    </row>
    <row r="139" spans="1:21" outlineLevel="1">
      <c r="A139" s="496"/>
      <c r="B139" s="410">
        <v>58</v>
      </c>
      <c r="C139" s="385">
        <v>22.575323419872888</v>
      </c>
      <c r="D139" s="385">
        <v>21.066018643993814</v>
      </c>
      <c r="E139" s="385">
        <v>18.960836400504753</v>
      </c>
      <c r="F139" s="385">
        <v>17.17431409211358</v>
      </c>
      <c r="G139" s="385">
        <v>16.574291550769235</v>
      </c>
      <c r="H139" s="408">
        <v>14.96858757396949</v>
      </c>
      <c r="L139" s="482"/>
      <c r="M139" s="492"/>
      <c r="N139" s="490"/>
      <c r="O139" s="490"/>
      <c r="P139" s="490"/>
      <c r="Q139" s="500"/>
      <c r="R139" s="482"/>
      <c r="S139" s="482"/>
      <c r="T139" s="482"/>
      <c r="U139" s="482"/>
    </row>
    <row r="140" spans="1:21" outlineLevel="1">
      <c r="A140" s="496"/>
      <c r="B140" s="410">
        <v>59</v>
      </c>
      <c r="C140" s="385">
        <v>22.02066682913318</v>
      </c>
      <c r="D140" s="385">
        <v>20.585485043453275</v>
      </c>
      <c r="E140" s="385">
        <v>18.577039699349719</v>
      </c>
      <c r="F140" s="385">
        <v>16.865984612372241</v>
      </c>
      <c r="G140" s="385">
        <v>16.289837563452423</v>
      </c>
      <c r="H140" s="408">
        <v>14.744125025607438</v>
      </c>
      <c r="L140" s="482"/>
      <c r="M140" s="484" t="s">
        <v>348</v>
      </c>
      <c r="N140" s="490">
        <f>ROUND(-N158,0)</f>
        <v>-34582</v>
      </c>
      <c r="O140" s="490">
        <f>ROUND(N154,0)</f>
        <v>4941</v>
      </c>
      <c r="P140" s="490">
        <f t="shared" ref="P140:P150" si="0">ROUND(O140-N140,0)</f>
        <v>39523</v>
      </c>
      <c r="Q140" s="500"/>
      <c r="R140" s="482"/>
      <c r="S140" s="482"/>
      <c r="T140" s="482"/>
      <c r="U140" s="482"/>
    </row>
    <row r="141" spans="1:21" outlineLevel="1">
      <c r="A141" s="496"/>
      <c r="B141" s="410">
        <v>60</v>
      </c>
      <c r="C141" s="385">
        <v>21.46126915298268</v>
      </c>
      <c r="D141" s="385">
        <v>20.098808188076372</v>
      </c>
      <c r="E141" s="385">
        <v>18.185795121136564</v>
      </c>
      <c r="F141" s="385">
        <v>16.549694389856938</v>
      </c>
      <c r="G141" s="385">
        <v>15.997371483990086</v>
      </c>
      <c r="H141" s="408">
        <v>14.511804113371721</v>
      </c>
      <c r="L141" s="482"/>
      <c r="M141" s="492" t="s">
        <v>720</v>
      </c>
      <c r="N141" s="490">
        <f>ROUND(-('Liability Calculation'!B123+'Liability Calculation'!B141)*(1+$N$125)^0.5,0)</f>
        <v>-79926</v>
      </c>
      <c r="O141" s="490">
        <f>ROUND('FRC-Spring24-Q2Ans'!C251*(1+'FRC-Spring24-Q2Ans'!$N$125)^0.5,0)</f>
        <v>-79926</v>
      </c>
      <c r="P141" s="490">
        <f t="shared" si="0"/>
        <v>0</v>
      </c>
      <c r="Q141" s="500"/>
      <c r="R141" s="482"/>
      <c r="S141" s="482"/>
      <c r="T141" s="482"/>
      <c r="U141" s="482"/>
    </row>
    <row r="142" spans="1:21" outlineLevel="1">
      <c r="A142" s="496"/>
      <c r="B142" s="410">
        <v>61</v>
      </c>
      <c r="C142" s="385">
        <v>20.896044968821148</v>
      </c>
      <c r="D142" s="385">
        <v>19.604935886325752</v>
      </c>
      <c r="E142" s="385">
        <v>17.786082906837979</v>
      </c>
      <c r="F142" s="385">
        <v>16.224445370976749</v>
      </c>
      <c r="G142" s="385">
        <v>15.695902752940864</v>
      </c>
      <c r="H142" s="408">
        <v>14.270658479359774</v>
      </c>
      <c r="L142" s="482"/>
      <c r="M142" s="492" t="s">
        <v>319</v>
      </c>
      <c r="N142" s="490">
        <f>ROUND(-N121,0)</f>
        <v>3155</v>
      </c>
      <c r="O142" s="490">
        <f>ROUND(0,0)</f>
        <v>0</v>
      </c>
      <c r="P142" s="490">
        <f t="shared" si="0"/>
        <v>-3155</v>
      </c>
      <c r="Q142" s="500" t="s">
        <v>719</v>
      </c>
      <c r="R142" s="482"/>
      <c r="S142" s="482"/>
      <c r="T142" s="482"/>
      <c r="U142" s="482"/>
    </row>
    <row r="143" spans="1:21" outlineLevel="1">
      <c r="A143" s="496"/>
      <c r="B143" s="410">
        <v>62</v>
      </c>
      <c r="C143" s="385">
        <v>20.32418381566281</v>
      </c>
      <c r="D143" s="385">
        <v>19.103064588838784</v>
      </c>
      <c r="E143" s="385">
        <v>17.377094945555285</v>
      </c>
      <c r="F143" s="385">
        <v>15.889419307240663</v>
      </c>
      <c r="G143" s="385">
        <v>15.384609814339793</v>
      </c>
      <c r="H143" s="408">
        <v>14.019861634877124</v>
      </c>
      <c r="L143" s="482"/>
      <c r="M143" s="492" t="s">
        <v>138</v>
      </c>
      <c r="N143" s="490">
        <f>ROUND(-N122,0)</f>
        <v>31697</v>
      </c>
      <c r="O143" s="490"/>
      <c r="P143" s="490">
        <f t="shared" si="0"/>
        <v>-31697</v>
      </c>
      <c r="Q143" s="500" t="s">
        <v>718</v>
      </c>
      <c r="R143" s="482"/>
      <c r="S143" s="482"/>
      <c r="T143" s="482"/>
      <c r="U143" s="482"/>
    </row>
    <row r="144" spans="1:21" outlineLevel="1">
      <c r="A144" s="496"/>
      <c r="B144" s="410">
        <v>63</v>
      </c>
      <c r="C144" s="385">
        <v>19.745153017148731</v>
      </c>
      <c r="D144" s="385">
        <v>18.5926451547708</v>
      </c>
      <c r="E144" s="385">
        <v>16.958244073332803</v>
      </c>
      <c r="F144" s="385">
        <v>15.543989452912088</v>
      </c>
      <c r="G144" s="385">
        <v>15.062852479677764</v>
      </c>
      <c r="H144" s="408">
        <v>13.758740720314552</v>
      </c>
      <c r="L144" s="482"/>
      <c r="M144" s="492" t="s">
        <v>579</v>
      </c>
      <c r="N144" s="490">
        <f>ROUND(-N123,0)</f>
        <v>-475741</v>
      </c>
      <c r="O144" s="490">
        <f>ROUND(0,0)</f>
        <v>0</v>
      </c>
      <c r="P144" s="490">
        <f t="shared" si="0"/>
        <v>475741</v>
      </c>
      <c r="Q144" s="500" t="s">
        <v>717</v>
      </c>
      <c r="R144" s="482"/>
      <c r="S144" s="482"/>
      <c r="T144" s="482"/>
      <c r="U144" s="482"/>
    </row>
    <row r="145" spans="1:21" outlineLevel="1">
      <c r="A145" s="496"/>
      <c r="B145" s="410">
        <v>64</v>
      </c>
      <c r="C145" s="385">
        <v>19.15938312259085</v>
      </c>
      <c r="D145" s="385">
        <v>18.074020441484301</v>
      </c>
      <c r="E145" s="385">
        <v>16.529733475817888</v>
      </c>
      <c r="F145" s="385">
        <v>15.188230670258092</v>
      </c>
      <c r="G145" s="385">
        <v>14.730661802038313</v>
      </c>
      <c r="H145" s="408">
        <v>13.487211414709467</v>
      </c>
      <c r="L145" s="482"/>
      <c r="M145" s="492" t="s">
        <v>578</v>
      </c>
      <c r="N145" s="490">
        <f>ROUND('Liability Calculation'!J49-('Liability Calculation'!J12+'Liability Calculation'!K12)*(1+'FRC-Spring24-Q2Ans'!$N$125),0)</f>
        <v>4672</v>
      </c>
      <c r="O145" s="490"/>
      <c r="P145" s="490">
        <f t="shared" si="0"/>
        <v>-4672</v>
      </c>
      <c r="Q145" s="500" t="s">
        <v>716</v>
      </c>
      <c r="R145" s="482"/>
      <c r="S145" s="482"/>
      <c r="T145" s="482"/>
      <c r="U145" s="482"/>
    </row>
    <row r="146" spans="1:21" outlineLevel="1">
      <c r="A146" s="496"/>
      <c r="B146" s="410">
        <v>65</v>
      </c>
      <c r="C146" s="385">
        <v>18.567411580420128</v>
      </c>
      <c r="D146" s="385">
        <v>17.547637260766546</v>
      </c>
      <c r="E146" s="385">
        <v>16.091863980080912</v>
      </c>
      <c r="F146" s="385">
        <v>14.822307598280929</v>
      </c>
      <c r="G146" s="385">
        <v>14.388155374480753</v>
      </c>
      <c r="H146" s="408">
        <v>13.205265663923768</v>
      </c>
      <c r="L146" s="482"/>
      <c r="M146" s="484" t="s">
        <v>715</v>
      </c>
      <c r="N146" s="490"/>
      <c r="O146" s="490"/>
      <c r="P146" s="490">
        <f t="shared" si="0"/>
        <v>0</v>
      </c>
      <c r="Q146" s="484"/>
      <c r="R146" s="482"/>
      <c r="S146" s="482"/>
      <c r="T146" s="482"/>
      <c r="U146" s="482"/>
    </row>
    <row r="147" spans="1:21" outlineLevel="1">
      <c r="A147" s="496"/>
      <c r="B147" s="410">
        <v>66</v>
      </c>
      <c r="C147" s="385">
        <v>17.969875808164304</v>
      </c>
      <c r="D147" s="385">
        <v>17.014041350136015</v>
      </c>
      <c r="E147" s="385">
        <v>15.645031647244632</v>
      </c>
      <c r="F147" s="385">
        <v>14.446474378915033</v>
      </c>
      <c r="G147" s="385">
        <v>14.03553773883954</v>
      </c>
      <c r="H147" s="408">
        <v>12.912973785768713</v>
      </c>
      <c r="L147" s="482"/>
      <c r="M147" s="484" t="s">
        <v>714</v>
      </c>
      <c r="N147" s="490"/>
      <c r="O147" s="490"/>
      <c r="P147" s="490">
        <f t="shared" si="0"/>
        <v>0</v>
      </c>
      <c r="Q147" s="484"/>
      <c r="R147" s="482"/>
      <c r="S147" s="482"/>
      <c r="T147" s="482"/>
      <c r="U147" s="482"/>
    </row>
    <row r="148" spans="1:21" outlineLevel="1">
      <c r="A148" s="496"/>
      <c r="B148" s="410">
        <v>67</v>
      </c>
      <c r="C148" s="385">
        <v>17.368145843808879</v>
      </c>
      <c r="D148" s="385">
        <v>16.474469124858778</v>
      </c>
      <c r="E148" s="385">
        <v>15.190261050173021</v>
      </c>
      <c r="F148" s="385">
        <v>14.061556830088911</v>
      </c>
      <c r="G148" s="385">
        <v>13.673565053451171</v>
      </c>
      <c r="H148" s="408">
        <v>12.610901354005371</v>
      </c>
      <c r="L148" s="482"/>
      <c r="M148" s="484" t="s">
        <v>713</v>
      </c>
      <c r="N148" s="490">
        <f>ROUND(0,0)</f>
        <v>0</v>
      </c>
      <c r="O148" s="490">
        <f>ROUND(O150-SUM(O132:O147),0)</f>
        <v>-697481</v>
      </c>
      <c r="P148" s="490">
        <f t="shared" si="0"/>
        <v>-697481</v>
      </c>
      <c r="Q148" s="500" t="s">
        <v>712</v>
      </c>
      <c r="R148" s="482"/>
      <c r="S148" s="482"/>
      <c r="T148" s="482"/>
      <c r="U148" s="482"/>
    </row>
    <row r="149" spans="1:21" outlineLevel="1">
      <c r="A149" s="496"/>
      <c r="B149" s="410">
        <v>68</v>
      </c>
      <c r="C149" s="385">
        <v>16.76318681915161</v>
      </c>
      <c r="D149" s="385">
        <v>15.929790269368048</v>
      </c>
      <c r="E149" s="385">
        <v>14.728261789917905</v>
      </c>
      <c r="F149" s="385">
        <v>13.668107721033428</v>
      </c>
      <c r="G149" s="385">
        <v>13.302733976312924</v>
      </c>
      <c r="H149" s="408">
        <v>12.299389106795655</v>
      </c>
      <c r="L149" s="482"/>
      <c r="M149" s="499" t="s">
        <v>711</v>
      </c>
      <c r="N149" s="498">
        <f>ROUND(N150-SUM(N132:N148),0)</f>
        <v>0</v>
      </c>
      <c r="O149" s="498">
        <f>ROUND(0,0)</f>
        <v>0</v>
      </c>
      <c r="P149" s="498">
        <f t="shared" si="0"/>
        <v>0</v>
      </c>
      <c r="Q149" s="497"/>
      <c r="R149" s="482"/>
      <c r="S149" s="482"/>
      <c r="T149" s="482"/>
      <c r="U149" s="482"/>
    </row>
    <row r="150" spans="1:21" outlineLevel="1">
      <c r="A150" s="496"/>
      <c r="B150" s="410">
        <v>69</v>
      </c>
      <c r="C150" s="385">
        <v>16.155890363367256</v>
      </c>
      <c r="D150" s="385">
        <v>15.380814551806299</v>
      </c>
      <c r="E150" s="385">
        <v>14.259700845853541</v>
      </c>
      <c r="F150" s="385">
        <v>13.266649688717552</v>
      </c>
      <c r="G150" s="385">
        <v>12.923514649156763</v>
      </c>
      <c r="H150" s="408">
        <v>11.978759209172248</v>
      </c>
      <c r="L150" s="482"/>
      <c r="M150" s="495" t="s">
        <v>710</v>
      </c>
      <c r="N150" s="494">
        <f>ROUND(N105+N106,0)</f>
        <v>1430636</v>
      </c>
      <c r="O150" s="494">
        <f>ROUND(N104,0)</f>
        <v>1425170</v>
      </c>
      <c r="P150" s="494">
        <f t="shared" si="0"/>
        <v>-5466</v>
      </c>
      <c r="Q150" s="489"/>
      <c r="R150" s="482"/>
      <c r="S150" s="482"/>
      <c r="T150" s="482"/>
      <c r="U150" s="482"/>
    </row>
    <row r="151" spans="1:21" outlineLevel="1">
      <c r="A151" s="407"/>
      <c r="B151" s="405">
        <v>70</v>
      </c>
      <c r="C151" s="403">
        <v>15.547462697979583</v>
      </c>
      <c r="D151" s="403">
        <v>14.828655649068057</v>
      </c>
      <c r="E151" s="403">
        <v>13.785531721641973</v>
      </c>
      <c r="F151" s="403">
        <v>12.85797407651053</v>
      </c>
      <c r="G151" s="403">
        <v>12.53663914963019</v>
      </c>
      <c r="H151" s="402">
        <v>11.649575321501109</v>
      </c>
      <c r="L151" s="482"/>
      <c r="M151" s="484"/>
      <c r="N151" s="489"/>
      <c r="O151" s="489"/>
      <c r="P151" s="484"/>
      <c r="Q151" s="487"/>
      <c r="R151" s="482"/>
      <c r="S151" s="482"/>
      <c r="T151" s="482"/>
      <c r="U151" s="482"/>
    </row>
    <row r="152" spans="1:21" outlineLevel="1">
      <c r="A152" s="407"/>
      <c r="B152" s="386"/>
      <c r="C152" s="385"/>
      <c r="D152" s="385"/>
      <c r="E152" s="385"/>
      <c r="F152" s="385"/>
      <c r="G152" s="385"/>
      <c r="H152" s="385"/>
      <c r="L152" s="482"/>
      <c r="M152" s="484"/>
      <c r="N152" s="489"/>
      <c r="O152" s="489"/>
      <c r="P152" s="493">
        <f>SUM(P132:P149)</f>
        <v>-5466</v>
      </c>
      <c r="Q152" s="487"/>
      <c r="R152" s="482"/>
      <c r="S152" s="482"/>
      <c r="T152" s="482"/>
      <c r="U152" s="482"/>
    </row>
    <row r="153" spans="1:21" outlineLevel="1">
      <c r="L153" s="482"/>
      <c r="M153" s="484" t="s">
        <v>709</v>
      </c>
      <c r="N153" s="490">
        <f>'FRC-Spring24-Q2Ans'!N37</f>
        <v>127064.00448881909</v>
      </c>
      <c r="O153" s="489"/>
      <c r="P153" s="484"/>
      <c r="Q153" s="487"/>
      <c r="R153" s="482"/>
      <c r="S153" s="482"/>
      <c r="T153" s="482"/>
      <c r="U153" s="482"/>
    </row>
    <row r="154" spans="1:21" outlineLevel="1">
      <c r="C154" s="1805" t="s">
        <v>708</v>
      </c>
      <c r="D154" s="1806"/>
      <c r="E154" s="1806"/>
      <c r="F154" s="1806"/>
      <c r="G154" s="1806"/>
      <c r="H154" s="1807"/>
      <c r="L154" s="482"/>
      <c r="M154" s="492" t="s">
        <v>707</v>
      </c>
      <c r="N154" s="490">
        <f>('FRC-Spring24-Q2Ans'!N54+'FRC-Spring24-Q2Ans'!N59)*(1+$N$125)^0.5</f>
        <v>4941.2062708598851</v>
      </c>
      <c r="O154" s="489"/>
      <c r="P154" s="484"/>
      <c r="Q154" s="487"/>
      <c r="R154" s="482"/>
      <c r="S154" s="482"/>
      <c r="T154" s="482"/>
      <c r="U154" s="482"/>
    </row>
    <row r="155" spans="1:21" outlineLevel="1">
      <c r="C155" s="1805" t="s">
        <v>421</v>
      </c>
      <c r="D155" s="1806"/>
      <c r="E155" s="1806"/>
      <c r="F155" s="1806"/>
      <c r="G155" s="1806"/>
      <c r="H155" s="1807"/>
      <c r="L155" s="482"/>
      <c r="M155" s="484" t="s">
        <v>706</v>
      </c>
      <c r="N155" s="490">
        <f>N153*N125</f>
        <v>6353.200224440955</v>
      </c>
      <c r="O155" s="484"/>
      <c r="P155" s="484"/>
      <c r="Q155" s="491"/>
      <c r="R155" s="482"/>
      <c r="S155" s="482"/>
      <c r="T155" s="482"/>
      <c r="U155" s="482"/>
    </row>
    <row r="156" spans="1:21" outlineLevel="1">
      <c r="B156" s="396" t="s">
        <v>252</v>
      </c>
      <c r="C156" s="417">
        <v>1.7000000000000001E-2</v>
      </c>
      <c r="D156" s="416">
        <v>2.1999999999999999E-2</v>
      </c>
      <c r="E156" s="416">
        <v>0.03</v>
      </c>
      <c r="F156" s="416">
        <v>3.7999999999999999E-2</v>
      </c>
      <c r="G156" s="416">
        <v>4.1000000000000002E-2</v>
      </c>
      <c r="H156" s="415">
        <v>0.05</v>
      </c>
      <c r="L156" s="482"/>
      <c r="M156" s="484" t="s">
        <v>705</v>
      </c>
      <c r="N156" s="490">
        <f>N153+N155</f>
        <v>133417.20471326006</v>
      </c>
      <c r="O156" s="489"/>
      <c r="P156" s="484"/>
      <c r="Q156" s="487"/>
      <c r="R156" s="482"/>
      <c r="S156" s="482"/>
      <c r="T156" s="482"/>
      <c r="U156" s="482"/>
    </row>
    <row r="157" spans="1:21" outlineLevel="1">
      <c r="A157" s="481"/>
      <c r="B157" s="414">
        <v>45</v>
      </c>
      <c r="C157" s="413">
        <v>13.711843252457847</v>
      </c>
      <c r="D157" s="412">
        <v>11.728488989884527</v>
      </c>
      <c r="E157" s="412">
        <v>9.179525541275833</v>
      </c>
      <c r="F157" s="412">
        <v>7.2265215491819541</v>
      </c>
      <c r="G157" s="412">
        <v>6.6160355707200775</v>
      </c>
      <c r="H157" s="411">
        <v>5.1000409883490931</v>
      </c>
      <c r="L157" s="482"/>
      <c r="M157" s="484" t="s">
        <v>704</v>
      </c>
      <c r="N157" s="490">
        <f>N101</f>
        <v>98835.175921350179</v>
      </c>
      <c r="O157" s="489"/>
      <c r="P157" s="484"/>
      <c r="Q157" s="487"/>
      <c r="R157" s="482"/>
      <c r="S157" s="482"/>
      <c r="T157" s="482"/>
      <c r="U157" s="482"/>
    </row>
    <row r="158" spans="1:21" outlineLevel="1">
      <c r="A158" s="481"/>
      <c r="B158" s="410">
        <v>46</v>
      </c>
      <c r="C158" s="409">
        <v>13.922446147679846</v>
      </c>
      <c r="D158" s="385">
        <v>11.968143572603882</v>
      </c>
      <c r="E158" s="385">
        <v>9.4415615932248222</v>
      </c>
      <c r="F158" s="385">
        <v>7.4913721168144738</v>
      </c>
      <c r="G158" s="385">
        <v>6.8786050253717486</v>
      </c>
      <c r="H158" s="408">
        <v>5.3488801927308547</v>
      </c>
      <c r="L158" s="482"/>
      <c r="M158" s="484" t="s">
        <v>703</v>
      </c>
      <c r="N158" s="490">
        <f>N156-N157</f>
        <v>34582.028791909877</v>
      </c>
      <c r="O158" s="489"/>
      <c r="P158" s="484"/>
      <c r="Q158" s="487"/>
      <c r="R158" s="482"/>
      <c r="S158" s="482"/>
      <c r="T158" s="482"/>
      <c r="U158" s="482"/>
    </row>
    <row r="159" spans="1:21" outlineLevel="1">
      <c r="A159" s="481"/>
      <c r="B159" s="410">
        <v>47</v>
      </c>
      <c r="C159" s="409">
        <v>14.136189073211638</v>
      </c>
      <c r="D159" s="385">
        <v>12.2126159648883</v>
      </c>
      <c r="E159" s="385">
        <v>9.7110178820674644</v>
      </c>
      <c r="F159" s="385">
        <v>7.765884057183607</v>
      </c>
      <c r="G159" s="385">
        <v>7.1515540884490836</v>
      </c>
      <c r="H159" s="408">
        <v>5.6098304142700961</v>
      </c>
      <c r="L159" s="482"/>
      <c r="M159" s="482"/>
      <c r="N159" s="488"/>
      <c r="O159" s="488"/>
      <c r="P159" s="482"/>
      <c r="Q159" s="487"/>
      <c r="R159" s="482"/>
      <c r="S159" s="482"/>
      <c r="T159" s="482"/>
      <c r="U159" s="482"/>
    </row>
    <row r="160" spans="1:21" outlineLevel="1">
      <c r="A160" s="481"/>
      <c r="B160" s="410">
        <v>48</v>
      </c>
      <c r="C160" s="409">
        <v>14.353116950183525</v>
      </c>
      <c r="D160" s="385">
        <v>12.46200103863811</v>
      </c>
      <c r="E160" s="385">
        <v>9.9881025528982761</v>
      </c>
      <c r="F160" s="385">
        <v>8.0504079338141032</v>
      </c>
      <c r="G160" s="385">
        <v>7.4352912622934753</v>
      </c>
      <c r="H160" s="408">
        <v>5.8834794796954775</v>
      </c>
      <c r="L160" s="482"/>
      <c r="M160" s="482"/>
      <c r="N160" s="482"/>
      <c r="O160" s="482"/>
      <c r="P160" s="482"/>
      <c r="Q160" s="482"/>
      <c r="R160" s="482"/>
      <c r="S160" s="482"/>
      <c r="T160" s="482"/>
      <c r="U160" s="482"/>
    </row>
    <row r="161" spans="1:21" outlineLevel="1">
      <c r="A161" s="481"/>
      <c r="B161" s="410">
        <v>49</v>
      </c>
      <c r="C161" s="409">
        <v>14.57327530666316</v>
      </c>
      <c r="D161" s="385">
        <v>12.716395486388292</v>
      </c>
      <c r="E161" s="385">
        <v>10.273029525549545</v>
      </c>
      <c r="F161" s="385">
        <v>8.3453069545388416</v>
      </c>
      <c r="G161" s="385">
        <v>7.730241047131142</v>
      </c>
      <c r="H161" s="408">
        <v>6.1704436611219844</v>
      </c>
      <c r="L161" s="486"/>
      <c r="M161" s="486" t="s">
        <v>702</v>
      </c>
      <c r="N161" s="486"/>
      <c r="O161" s="486"/>
      <c r="P161" s="486"/>
      <c r="Q161" s="486"/>
      <c r="R161" s="486"/>
      <c r="S161" s="486"/>
      <c r="T161" s="486"/>
      <c r="U161" s="486"/>
    </row>
    <row r="162" spans="1:21" ht="14.4" outlineLevel="1">
      <c r="A162" s="481"/>
      <c r="B162" s="410">
        <v>50</v>
      </c>
      <c r="C162" s="409">
        <v>14.796710285251516</v>
      </c>
      <c r="D162" s="385">
        <v>12.975897855173629</v>
      </c>
      <c r="E162" s="385">
        <v>10.566018652802816</v>
      </c>
      <c r="F162" s="385">
        <v>8.6509574245366085</v>
      </c>
      <c r="G162" s="385">
        <v>8.0368445641801891</v>
      </c>
      <c r="H162" s="408">
        <v>6.4713690480528552</v>
      </c>
      <c r="L162"/>
      <c r="M162" s="485"/>
      <c r="N162"/>
      <c r="O162"/>
      <c r="P162"/>
      <c r="Q162"/>
      <c r="R162"/>
      <c r="S162"/>
      <c r="T162"/>
      <c r="U162"/>
    </row>
    <row r="163" spans="1:21" ht="14.4" outlineLevel="1">
      <c r="A163" s="481"/>
      <c r="B163" s="410">
        <v>51</v>
      </c>
      <c r="C163" s="409">
        <v>15.023468650765903</v>
      </c>
      <c r="D163" s="385">
        <v>13.240608581002096</v>
      </c>
      <c r="E163" s="385">
        <v>10.867295882875029</v>
      </c>
      <c r="F163" s="385">
        <v>8.9677492154843801</v>
      </c>
      <c r="G163" s="385">
        <v>8.3555602028836358</v>
      </c>
      <c r="H163" s="408">
        <v>6.7869329853245031</v>
      </c>
      <c r="L163"/>
      <c r="M163"/>
      <c r="N163"/>
      <c r="O163"/>
      <c r="P163"/>
      <c r="Q163"/>
      <c r="R163"/>
      <c r="S163"/>
      <c r="T163"/>
      <c r="U163"/>
    </row>
    <row r="164" spans="1:21" outlineLevel="1">
      <c r="A164" s="481"/>
      <c r="B164" s="410">
        <v>52</v>
      </c>
      <c r="C164" s="409">
        <v>15.253597798010793</v>
      </c>
      <c r="D164" s="385">
        <v>13.510630023946781</v>
      </c>
      <c r="E164" s="385">
        <v>11.177093426293069</v>
      </c>
      <c r="F164" s="385">
        <v>9.2960862513929872</v>
      </c>
      <c r="G164" s="385">
        <v>8.6868642931968267</v>
      </c>
      <c r="H164" s="408">
        <v>7.1178455801520091</v>
      </c>
      <c r="L164" s="482"/>
      <c r="M164" s="484" t="s">
        <v>701</v>
      </c>
      <c r="N164" s="482"/>
      <c r="O164" s="482"/>
      <c r="P164" s="482"/>
      <c r="Q164" s="482"/>
      <c r="R164" s="482"/>
      <c r="S164" s="482"/>
      <c r="T164" s="482"/>
      <c r="U164" s="482"/>
    </row>
    <row r="165" spans="1:21" outlineLevel="1">
      <c r="A165" s="481"/>
      <c r="B165" s="410">
        <v>53</v>
      </c>
      <c r="C165" s="409">
        <v>15.487145759637624</v>
      </c>
      <c r="D165" s="385">
        <v>13.786066503867236</v>
      </c>
      <c r="E165" s="385">
        <v>11.495649927273561</v>
      </c>
      <c r="F165" s="385">
        <v>9.6363870117146178</v>
      </c>
      <c r="G165" s="385">
        <v>9.0312518038927809</v>
      </c>
      <c r="H165" s="408">
        <v>7.4648512815833641</v>
      </c>
      <c r="L165" s="482"/>
      <c r="M165" s="483" t="s">
        <v>700</v>
      </c>
      <c r="N165" s="482"/>
      <c r="O165" s="482"/>
      <c r="P165" s="482"/>
      <c r="Q165" s="482"/>
      <c r="R165" s="482"/>
      <c r="S165" s="482"/>
      <c r="T165" s="482"/>
      <c r="U165" s="482"/>
    </row>
    <row r="166" spans="1:21" outlineLevel="1">
      <c r="A166" s="481"/>
      <c r="B166" s="410">
        <v>54</v>
      </c>
      <c r="C166" s="409">
        <v>15.724161214094378</v>
      </c>
      <c r="D166" s="385">
        <v>14.067024336771166</v>
      </c>
      <c r="E166" s="385">
        <v>11.82321063972765</v>
      </c>
      <c r="F166" s="385">
        <v>9.9890850523316956</v>
      </c>
      <c r="G166" s="385">
        <v>9.3892370678861941</v>
      </c>
      <c r="H166" s="408">
        <v>7.8287305358283561</v>
      </c>
      <c r="L166" s="482"/>
      <c r="M166" s="484" t="s">
        <v>699</v>
      </c>
      <c r="N166" s="482"/>
      <c r="O166" s="482"/>
      <c r="P166" s="482"/>
      <c r="Q166" s="482"/>
      <c r="R166" s="482"/>
      <c r="S166" s="482"/>
      <c r="T166" s="482"/>
      <c r="U166" s="482"/>
    </row>
    <row r="167" spans="1:21" outlineLevel="1">
      <c r="A167" s="481"/>
      <c r="B167" s="410">
        <v>55</v>
      </c>
      <c r="C167" s="409">
        <v>15.964693493666141</v>
      </c>
      <c r="D167" s="385">
        <v>14.353611871827539</v>
      </c>
      <c r="E167" s="385">
        <v>12.160027608013994</v>
      </c>
      <c r="F167" s="385">
        <v>10.354629545057568</v>
      </c>
      <c r="G167" s="385">
        <v>9.7613545356146876</v>
      </c>
      <c r="H167" s="408">
        <v>8.2103015210932995</v>
      </c>
      <c r="L167" s="482"/>
      <c r="M167" s="483" t="s">
        <v>698</v>
      </c>
      <c r="N167" s="482"/>
      <c r="O167" s="482"/>
      <c r="P167" s="482"/>
      <c r="Q167" s="482"/>
      <c r="R167" s="482"/>
      <c r="S167" s="482"/>
      <c r="T167" s="482"/>
      <c r="U167" s="482"/>
    </row>
    <row r="168" spans="1:21" outlineLevel="1">
      <c r="A168" s="481"/>
      <c r="B168" s="410">
        <v>56</v>
      </c>
      <c r="C168" s="409">
        <v>16.208792592607345</v>
      </c>
      <c r="D168" s="385">
        <v>14.645939529042368</v>
      </c>
      <c r="E168" s="385">
        <v>12.506359852565982</v>
      </c>
      <c r="F168" s="385">
        <v>10.733485836301707</v>
      </c>
      <c r="G168" s="385">
        <v>10.148159557555909</v>
      </c>
      <c r="H168" s="408">
        <v>8.6104219657260117</v>
      </c>
      <c r="L168" s="482"/>
      <c r="M168" s="483" t="s">
        <v>697</v>
      </c>
      <c r="N168" s="482"/>
      <c r="O168" s="482"/>
      <c r="P168" s="482"/>
      <c r="Q168" s="482"/>
      <c r="R168" s="482"/>
      <c r="S168" s="482"/>
      <c r="T168" s="482"/>
      <c r="U168" s="482"/>
    </row>
    <row r="169" spans="1:21" outlineLevel="1">
      <c r="A169" s="481"/>
      <c r="B169" s="410">
        <v>57</v>
      </c>
      <c r="C169" s="409">
        <v>16.456509175367213</v>
      </c>
      <c r="D169" s="385">
        <v>14.944119837608772</v>
      </c>
      <c r="E169" s="385">
        <v>12.862473560522881</v>
      </c>
      <c r="F169" s="385">
        <v>11.126136025575036</v>
      </c>
      <c r="G169" s="385">
        <v>10.550229196999965</v>
      </c>
      <c r="H169" s="408">
        <v>9.0299910536563104</v>
      </c>
      <c r="L169" s="482"/>
      <c r="M169" s="483" t="s">
        <v>696</v>
      </c>
      <c r="N169" s="482"/>
      <c r="O169" s="482"/>
      <c r="P169" s="482"/>
      <c r="Q169" s="482"/>
      <c r="R169" s="482"/>
      <c r="S169" s="482"/>
      <c r="T169" s="482"/>
      <c r="U169" s="482"/>
    </row>
    <row r="170" spans="1:21" outlineLevel="1">
      <c r="A170" s="481"/>
      <c r="B170" s="410">
        <v>58</v>
      </c>
      <c r="C170" s="409">
        <v>16.707894584908878</v>
      </c>
      <c r="D170" s="385">
        <v>15.248267474943038</v>
      </c>
      <c r="E170" s="385">
        <v>13.228642281497716</v>
      </c>
      <c r="F170" s="385">
        <v>11.533079564534354</v>
      </c>
      <c r="G170" s="385">
        <v>10.968163074239728</v>
      </c>
      <c r="H170" s="408">
        <v>9.469951421307961</v>
      </c>
      <c r="L170" s="482"/>
      <c r="M170" s="483" t="s">
        <v>695</v>
      </c>
      <c r="N170" s="482"/>
      <c r="O170" s="482"/>
      <c r="P170" s="482"/>
      <c r="Q170" s="482"/>
      <c r="R170" s="482"/>
      <c r="S170" s="482"/>
      <c r="T170" s="482"/>
      <c r="U170" s="482"/>
    </row>
    <row r="171" spans="1:21" outlineLevel="1">
      <c r="A171" s="481"/>
      <c r="B171" s="410">
        <v>59</v>
      </c>
      <c r="C171" s="409">
        <v>16.963000851123617</v>
      </c>
      <c r="D171" s="385">
        <v>15.558499306418268</v>
      </c>
      <c r="E171" s="385">
        <v>13.605147128618537</v>
      </c>
      <c r="F171" s="385">
        <v>11.954833877289543</v>
      </c>
      <c r="G171" s="385">
        <v>11.402584243385579</v>
      </c>
      <c r="H171" s="408">
        <v>9.9312912503561321</v>
      </c>
      <c r="L171" s="482"/>
      <c r="N171" s="482"/>
      <c r="O171" s="482"/>
      <c r="P171" s="482"/>
      <c r="Q171" s="482"/>
      <c r="R171" s="482"/>
      <c r="S171" s="482"/>
      <c r="T171" s="482"/>
      <c r="U171" s="482"/>
    </row>
    <row r="172" spans="1:21" outlineLevel="1">
      <c r="A172" s="481"/>
      <c r="B172" s="410">
        <v>60</v>
      </c>
      <c r="C172" s="409">
        <v>17.221774645789424</v>
      </c>
      <c r="D172" s="385">
        <v>15.874838217994258</v>
      </c>
      <c r="E172" s="385">
        <v>13.992194386832169</v>
      </c>
      <c r="F172" s="385">
        <v>12.39186380594623</v>
      </c>
      <c r="G172" s="385">
        <v>11.854072697023812</v>
      </c>
      <c r="H172" s="408">
        <v>10.414989080233889</v>
      </c>
    </row>
    <row r="173" spans="1:21" outlineLevel="1">
      <c r="A173" s="481"/>
      <c r="B173" s="410">
        <v>61</v>
      </c>
      <c r="C173" s="409">
        <v>17.484145004586278</v>
      </c>
      <c r="D173" s="385">
        <v>16.197290722619655</v>
      </c>
      <c r="E173" s="385">
        <v>14.389979565198299</v>
      </c>
      <c r="F173" s="385">
        <v>12.844634933165329</v>
      </c>
      <c r="G173" s="385">
        <v>12.323215324659872</v>
      </c>
      <c r="H173" s="408">
        <v>10.922055682285206</v>
      </c>
    </row>
    <row r="174" spans="1:21" outlineLevel="1">
      <c r="A174" s="481"/>
      <c r="B174" s="410">
        <v>62</v>
      </c>
      <c r="C174" s="409">
        <v>17.750021736585769</v>
      </c>
      <c r="D174" s="385">
        <v>16.52584509512004</v>
      </c>
      <c r="E174" s="385">
        <v>14.798685257873109</v>
      </c>
      <c r="F174" s="385">
        <v>13.31361152107057</v>
      </c>
      <c r="G174" s="385">
        <v>12.810604012767005</v>
      </c>
      <c r="H174" s="408">
        <v>11.453533235799858</v>
      </c>
    </row>
    <row r="175" spans="1:21" outlineLevel="1">
      <c r="A175" s="481"/>
      <c r="B175" s="410">
        <v>63</v>
      </c>
      <c r="C175" s="409">
        <v>18.01929114019412</v>
      </c>
      <c r="D175" s="385">
        <v>16.860466977000257</v>
      </c>
      <c r="E175" s="385">
        <v>15.218476690417525</v>
      </c>
      <c r="F175" s="385">
        <v>13.799252313232406</v>
      </c>
      <c r="G175" s="385">
        <v>13.316831670105838</v>
      </c>
      <c r="H175" s="408">
        <v>12.010492623241252</v>
      </c>
    </row>
    <row r="176" spans="1:21" outlineLevel="1">
      <c r="A176" s="481"/>
      <c r="B176" s="410">
        <v>64</v>
      </c>
      <c r="C176" s="409">
        <v>18.291810643448024</v>
      </c>
      <c r="D176" s="385">
        <v>17.201093860837858</v>
      </c>
      <c r="E176" s="385">
        <v>15.649496074476893</v>
      </c>
      <c r="F176" s="385">
        <v>14.302005083415544</v>
      </c>
      <c r="G176" s="385">
        <v>13.842486982603724</v>
      </c>
      <c r="H176" s="408">
        <v>12.594029440264238</v>
      </c>
    </row>
    <row r="177" spans="1:8" outlineLevel="1">
      <c r="A177" s="481"/>
      <c r="B177" s="405">
        <v>65</v>
      </c>
      <c r="C177" s="404">
        <v>18.567411580420128</v>
      </c>
      <c r="D177" s="403">
        <v>17.547637260766546</v>
      </c>
      <c r="E177" s="403">
        <v>16.091863980080912</v>
      </c>
      <c r="F177" s="403">
        <v>14.822307598280929</v>
      </c>
      <c r="G177" s="403">
        <v>14.388155374480753</v>
      </c>
      <c r="H177" s="402">
        <v>13.205265663923768</v>
      </c>
    </row>
    <row r="178" spans="1:8" outlineLevel="1">
      <c r="A178" s="387"/>
      <c r="B178" s="386"/>
      <c r="C178" s="385"/>
      <c r="D178" s="385"/>
      <c r="E178" s="385"/>
      <c r="F178" s="385"/>
      <c r="G178" s="385"/>
      <c r="H178" s="385"/>
    </row>
    <row r="179" spans="1:8" outlineLevel="1">
      <c r="A179" s="387"/>
      <c r="B179" s="401"/>
      <c r="C179" s="385"/>
      <c r="D179" s="385"/>
      <c r="E179" s="385"/>
      <c r="F179" s="385"/>
      <c r="G179" s="385"/>
      <c r="H179" s="385"/>
    </row>
    <row r="180" spans="1:8" outlineLevel="1">
      <c r="A180" s="387"/>
      <c r="C180" s="1799" t="s">
        <v>694</v>
      </c>
      <c r="D180" s="1800"/>
      <c r="E180" s="1800"/>
      <c r="F180" s="1801"/>
      <c r="G180" s="385"/>
      <c r="H180" s="385"/>
    </row>
    <row r="181" spans="1:8" outlineLevel="1">
      <c r="A181" s="387"/>
      <c r="B181" s="400"/>
      <c r="C181" s="1805" t="s">
        <v>626</v>
      </c>
      <c r="D181" s="1807"/>
      <c r="E181" s="1805" t="s">
        <v>625</v>
      </c>
      <c r="F181" s="1807"/>
      <c r="G181" s="385"/>
      <c r="H181" s="385"/>
    </row>
    <row r="182" spans="1:8" outlineLevel="1">
      <c r="A182" s="387"/>
      <c r="B182" s="360"/>
      <c r="C182" s="1805" t="s">
        <v>693</v>
      </c>
      <c r="D182" s="1807"/>
      <c r="E182" s="1805" t="s">
        <v>693</v>
      </c>
      <c r="F182" s="1807"/>
      <c r="H182" s="385"/>
    </row>
    <row r="183" spans="1:8" outlineLevel="1">
      <c r="A183" s="387"/>
      <c r="B183" s="396" t="s">
        <v>692</v>
      </c>
      <c r="C183" s="395">
        <v>2.1999999999999999E-2</v>
      </c>
      <c r="D183" s="394">
        <v>4.1000000000000002E-2</v>
      </c>
      <c r="E183" s="395">
        <v>2.1999999999999999E-2</v>
      </c>
      <c r="F183" s="394">
        <v>4.1000000000000002E-2</v>
      </c>
      <c r="H183" s="385"/>
    </row>
    <row r="184" spans="1:8" outlineLevel="1">
      <c r="A184" s="387"/>
      <c r="B184" s="393">
        <v>55</v>
      </c>
      <c r="C184" s="392">
        <v>19.994859508637305</v>
      </c>
      <c r="D184" s="391">
        <v>13.833505281564696</v>
      </c>
      <c r="E184" s="392">
        <v>20.410413852837273</v>
      </c>
      <c r="F184" s="391">
        <v>14.387684765584229</v>
      </c>
      <c r="H184" s="385"/>
    </row>
    <row r="185" spans="1:8" outlineLevel="1">
      <c r="A185" s="387"/>
      <c r="B185" s="393">
        <f t="shared" ref="B185:B194" si="1">B184+1</f>
        <v>56</v>
      </c>
      <c r="C185" s="392">
        <v>19.196652557398306</v>
      </c>
      <c r="D185" s="391">
        <v>13.108933277985999</v>
      </c>
      <c r="E185" s="392">
        <v>19.595172042320197</v>
      </c>
      <c r="F185" s="391">
        <v>13.633770516166727</v>
      </c>
      <c r="H185" s="385"/>
    </row>
    <row r="186" spans="1:8" outlineLevel="1">
      <c r="A186" s="387"/>
      <c r="B186" s="393">
        <f t="shared" si="1"/>
        <v>57</v>
      </c>
      <c r="C186" s="392">
        <v>18.419653758855745</v>
      </c>
      <c r="D186" s="391">
        <v>12.415652623159414</v>
      </c>
      <c r="E186" s="392">
        <v>18.801591602606727</v>
      </c>
      <c r="F186" s="391">
        <v>12.912417912529969</v>
      </c>
      <c r="H186" s="385"/>
    </row>
    <row r="187" spans="1:8" outlineLevel="1">
      <c r="A187" s="387"/>
      <c r="B187" s="393">
        <f t="shared" si="1"/>
        <v>58</v>
      </c>
      <c r="C187" s="392">
        <v>17.663205071579419</v>
      </c>
      <c r="D187" s="391">
        <v>11.75227937637278</v>
      </c>
      <c r="E187" s="392">
        <v>18.029025916623009</v>
      </c>
      <c r="F187" s="391">
        <v>12.222202063508929</v>
      </c>
      <c r="H187" s="385"/>
    </row>
    <row r="188" spans="1:8" outlineLevel="1">
      <c r="A188" s="387"/>
      <c r="B188" s="393">
        <f t="shared" si="1"/>
        <v>59</v>
      </c>
      <c r="C188" s="392">
        <v>16.926541376338999</v>
      </c>
      <c r="D188" s="391">
        <v>11.117420837837575</v>
      </c>
      <c r="E188" s="392">
        <v>17.276690532989882</v>
      </c>
      <c r="F188" s="391">
        <v>11.561671460080543</v>
      </c>
      <c r="H188" s="385"/>
    </row>
    <row r="189" spans="1:8" outlineLevel="1">
      <c r="A189" s="387"/>
      <c r="B189" s="393">
        <f t="shared" si="1"/>
        <v>60</v>
      </c>
      <c r="C189" s="392">
        <v>16.073074984694621</v>
      </c>
      <c r="D189" s="391">
        <v>10.413817205571789</v>
      </c>
      <c r="E189" s="392">
        <v>16.403891510131277</v>
      </c>
      <c r="F189" s="391">
        <v>10.828784587297935</v>
      </c>
      <c r="H189" s="385"/>
    </row>
    <row r="190" spans="1:8" outlineLevel="1">
      <c r="A190" s="387"/>
      <c r="B190" s="393">
        <f t="shared" si="1"/>
        <v>61</v>
      </c>
      <c r="C190" s="392">
        <v>15.369184733377216</v>
      </c>
      <c r="D190" s="391">
        <v>9.8306763508921922</v>
      </c>
      <c r="E190" s="392">
        <v>15.685028857944916</v>
      </c>
      <c r="F190" s="391">
        <v>10.222080525321077</v>
      </c>
      <c r="G190" s="385"/>
      <c r="H190" s="385"/>
    </row>
    <row r="191" spans="1:8" outlineLevel="1">
      <c r="A191" s="387"/>
      <c r="B191" s="393">
        <f t="shared" si="1"/>
        <v>62</v>
      </c>
      <c r="C191" s="392">
        <v>14.681990760584304</v>
      </c>
      <c r="D191" s="391">
        <v>9.2717222966171331</v>
      </c>
      <c r="E191" s="392">
        <v>14.983226817419624</v>
      </c>
      <c r="F191" s="391">
        <v>9.6405484370109455</v>
      </c>
      <c r="G191" s="385"/>
      <c r="H191" s="385"/>
    </row>
    <row r="192" spans="1:8" outlineLevel="1">
      <c r="A192" s="387"/>
      <c r="B192" s="393">
        <f t="shared" si="1"/>
        <v>63</v>
      </c>
      <c r="C192" s="392">
        <v>14.010824108949006</v>
      </c>
      <c r="D192" s="391">
        <v>8.7358162562845507</v>
      </c>
      <c r="E192" s="392">
        <v>14.297799812399642</v>
      </c>
      <c r="F192" s="391">
        <v>9.0830018355527429</v>
      </c>
      <c r="G192" s="385"/>
      <c r="H192" s="385"/>
    </row>
    <row r="193" spans="1:8" outlineLevel="1">
      <c r="A193" s="387"/>
      <c r="B193" s="393">
        <f t="shared" si="1"/>
        <v>64</v>
      </c>
      <c r="C193" s="392">
        <v>13.355630961796692</v>
      </c>
      <c r="D193" s="391">
        <v>8.2222196274561608</v>
      </c>
      <c r="E193" s="392">
        <v>13.628694829930447</v>
      </c>
      <c r="F193" s="391">
        <v>8.5486732811719435</v>
      </c>
      <c r="G193" s="385"/>
      <c r="H193" s="385"/>
    </row>
    <row r="194" spans="1:8" outlineLevel="1">
      <c r="A194" s="387"/>
      <c r="B194" s="390">
        <f t="shared" si="1"/>
        <v>65</v>
      </c>
      <c r="C194" s="389">
        <v>12.716395486388292</v>
      </c>
      <c r="D194" s="388">
        <v>7.730241047131142</v>
      </c>
      <c r="E194" s="389">
        <v>12.975897855173629</v>
      </c>
      <c r="F194" s="388">
        <v>8.0368445641801891</v>
      </c>
      <c r="G194" s="385"/>
      <c r="H194" s="385"/>
    </row>
    <row r="195" spans="1:8" outlineLevel="1">
      <c r="A195" s="387"/>
      <c r="B195" s="386"/>
      <c r="C195" s="385"/>
      <c r="D195" s="385"/>
      <c r="E195" s="385"/>
      <c r="F195" s="385"/>
      <c r="G195" s="385"/>
      <c r="H195" s="385"/>
    </row>
    <row r="196" spans="1:8" outlineLevel="1">
      <c r="A196" s="387"/>
      <c r="B196" s="386"/>
      <c r="C196" s="385"/>
      <c r="D196" s="385"/>
      <c r="E196" s="385"/>
      <c r="F196" s="385"/>
      <c r="G196" s="385"/>
      <c r="H196" s="385"/>
    </row>
    <row r="197" spans="1:8" outlineLevel="1">
      <c r="A197" s="387"/>
      <c r="B197" s="386"/>
      <c r="C197" s="1799" t="s">
        <v>694</v>
      </c>
      <c r="D197" s="1800"/>
      <c r="E197" s="1800"/>
      <c r="F197" s="1801"/>
      <c r="G197" s="385"/>
      <c r="H197" s="385"/>
    </row>
    <row r="198" spans="1:8" outlineLevel="1">
      <c r="A198" s="387"/>
      <c r="B198" s="360"/>
      <c r="C198" s="1802" t="s">
        <v>261</v>
      </c>
      <c r="D198" s="1802"/>
      <c r="E198" s="1802" t="s">
        <v>623</v>
      </c>
      <c r="F198" s="1802"/>
      <c r="G198" s="385"/>
      <c r="H198" s="385"/>
    </row>
    <row r="199" spans="1:8" outlineLevel="1">
      <c r="A199" s="387"/>
      <c r="B199" s="360"/>
      <c r="C199" s="1803" t="s">
        <v>693</v>
      </c>
      <c r="D199" s="1804"/>
      <c r="E199" s="1803" t="s">
        <v>421</v>
      </c>
      <c r="F199" s="1804"/>
      <c r="G199" s="385"/>
      <c r="H199" s="385"/>
    </row>
    <row r="200" spans="1:8" outlineLevel="1">
      <c r="A200" s="387"/>
      <c r="B200" s="396" t="s">
        <v>692</v>
      </c>
      <c r="C200" s="395">
        <v>2.1999999999999999E-2</v>
      </c>
      <c r="D200" s="394">
        <v>4.1000000000000002E-2</v>
      </c>
      <c r="E200" s="395">
        <v>2.1999999999999999E-2</v>
      </c>
      <c r="F200" s="394">
        <v>4.1000000000000002E-2</v>
      </c>
      <c r="G200" s="385"/>
      <c r="H200" s="385"/>
    </row>
    <row r="201" spans="1:8" outlineLevel="1">
      <c r="A201" s="387"/>
      <c r="B201" s="393">
        <v>60</v>
      </c>
      <c r="C201" s="392">
        <v>20.098808188076372</v>
      </c>
      <c r="D201" s="391">
        <v>15.997371483990086</v>
      </c>
      <c r="E201" s="392" t="s">
        <v>435</v>
      </c>
      <c r="F201" s="391" t="s">
        <v>435</v>
      </c>
      <c r="G201" s="385"/>
      <c r="H201" s="385"/>
    </row>
    <row r="202" spans="1:8" outlineLevel="1">
      <c r="A202" s="387"/>
      <c r="B202" s="393">
        <v>61</v>
      </c>
      <c r="C202" s="392">
        <v>19.213592319822862</v>
      </c>
      <c r="D202" s="391">
        <v>15.097361356889113</v>
      </c>
      <c r="E202" s="392">
        <v>19.604935886325752</v>
      </c>
      <c r="F202" s="391">
        <v>15.695902752940864</v>
      </c>
      <c r="G202" s="385"/>
      <c r="H202" s="385"/>
    </row>
    <row r="203" spans="1:8" outlineLevel="1">
      <c r="A203" s="387"/>
      <c r="B203" s="393">
        <v>62</v>
      </c>
      <c r="C203" s="392">
        <v>18.349064291042303</v>
      </c>
      <c r="D203" s="391">
        <v>14.234486655273169</v>
      </c>
      <c r="E203" s="392">
        <v>18.722684225774454</v>
      </c>
      <c r="F203" s="391">
        <v>14.798683246605215</v>
      </c>
      <c r="G203" s="385"/>
      <c r="H203" s="385"/>
    </row>
    <row r="204" spans="1:8" outlineLevel="1">
      <c r="A204" s="387"/>
      <c r="B204" s="393">
        <v>63</v>
      </c>
      <c r="C204" s="392">
        <v>17.504396507534203</v>
      </c>
      <c r="D204" s="391">
        <v>13.407007033611622</v>
      </c>
      <c r="E204" s="392">
        <v>17.860626722044394</v>
      </c>
      <c r="F204" s="391">
        <v>13.938215938238642</v>
      </c>
      <c r="G204" s="385"/>
      <c r="H204" s="385"/>
    </row>
    <row r="205" spans="1:8" outlineLevel="1">
      <c r="A205" s="387"/>
      <c r="B205" s="393">
        <v>64</v>
      </c>
      <c r="C205" s="392">
        <v>16.679623754777438</v>
      </c>
      <c r="D205" s="391">
        <v>12.613863400389496</v>
      </c>
      <c r="E205" s="392">
        <v>17.018797008326828</v>
      </c>
      <c r="F205" s="391">
        <v>13.113399627791745</v>
      </c>
      <c r="G205" s="385"/>
      <c r="H205" s="385"/>
    </row>
    <row r="206" spans="1:8" outlineLevel="1">
      <c r="A206" s="387"/>
      <c r="B206" s="390">
        <v>65</v>
      </c>
      <c r="C206" s="389">
        <v>15.874838217994258</v>
      </c>
      <c r="D206" s="388">
        <v>11.854072697023812</v>
      </c>
      <c r="E206" s="389">
        <v>16.197290722619655</v>
      </c>
      <c r="F206" s="388">
        <v>12.323215324659872</v>
      </c>
      <c r="G206" s="385"/>
      <c r="H206" s="385"/>
    </row>
    <row r="207" spans="1:8" outlineLevel="1">
      <c r="A207" s="387"/>
      <c r="B207" s="386"/>
      <c r="C207" s="385"/>
      <c r="D207" s="385"/>
      <c r="E207" s="385"/>
      <c r="F207" s="385"/>
      <c r="G207" s="385"/>
      <c r="H207" s="385"/>
    </row>
    <row r="210" spans="1:5">
      <c r="A210" s="360" t="s">
        <v>691</v>
      </c>
      <c r="B210" s="360" t="s">
        <v>690</v>
      </c>
    </row>
    <row r="211" spans="1:5">
      <c r="A211" s="360"/>
      <c r="B211" s="360"/>
    </row>
    <row r="212" spans="1:5" ht="15.6">
      <c r="A212" s="360"/>
      <c r="B212" s="368" t="s">
        <v>343</v>
      </c>
      <c r="C212" s="367"/>
      <c r="D212" s="367"/>
      <c r="E212" s="367"/>
    </row>
    <row r="214" spans="1:5">
      <c r="B214" s="360" t="s">
        <v>592</v>
      </c>
    </row>
    <row r="215" spans="1:5">
      <c r="B215" s="354" t="s">
        <v>591</v>
      </c>
      <c r="C215" s="381">
        <f>'FRC-Spring24-Q2Ans'!N35</f>
        <v>1875870</v>
      </c>
    </row>
    <row r="216" spans="1:5">
      <c r="B216" s="354" t="s">
        <v>590</v>
      </c>
      <c r="C216" s="381">
        <f>ROUND('FRC-Spring24-Q2Ans'!N36,0)</f>
        <v>1706599</v>
      </c>
    </row>
    <row r="217" spans="1:5">
      <c r="B217" s="354" t="s">
        <v>589</v>
      </c>
      <c r="C217" s="381">
        <f>'FRC-Spring24-Q2Ans'!N37</f>
        <v>127064.00448881909</v>
      </c>
      <c r="D217" s="383">
        <f>C217*0.05</f>
        <v>6353.200224440955</v>
      </c>
      <c r="E217" s="362">
        <f>'FRC-Spring24-Q2Ans'!N154</f>
        <v>4941.2062708598851</v>
      </c>
    </row>
    <row r="218" spans="1:5">
      <c r="C218" s="382"/>
      <c r="E218" s="384">
        <f>C272</f>
        <v>98835.175921350179</v>
      </c>
    </row>
    <row r="219" spans="1:5">
      <c r="B219" s="360" t="s">
        <v>618</v>
      </c>
      <c r="C219" s="381">
        <f>ROUND('FRC-Spring24-Q2Ans'!N38,0)</f>
        <v>42207</v>
      </c>
    </row>
    <row r="220" spans="1:5">
      <c r="C220" s="380"/>
      <c r="E220" s="383">
        <f>C217+D217+E217-E218</f>
        <v>39523.235062769774</v>
      </c>
    </row>
    <row r="221" spans="1:5">
      <c r="B221" s="360" t="s">
        <v>617</v>
      </c>
    </row>
    <row r="222" spans="1:5">
      <c r="B222" s="354" t="s">
        <v>591</v>
      </c>
      <c r="C222" s="381">
        <f>'FRC-Spring24-Q2Ans'!O42</f>
        <v>1875870</v>
      </c>
      <c r="E222" s="363"/>
    </row>
    <row r="223" spans="1:5">
      <c r="B223" s="354" t="s">
        <v>615</v>
      </c>
      <c r="C223" s="381">
        <f>'FRC-Spring24-Q2Ans'!O43</f>
        <v>200000</v>
      </c>
    </row>
    <row r="224" spans="1:5">
      <c r="B224" s="354" t="s">
        <v>614</v>
      </c>
      <c r="C224" s="381">
        <f>'FRC-Spring24-Q2Ans'!O45</f>
        <v>1463425.7074049127</v>
      </c>
    </row>
    <row r="225" spans="1:5">
      <c r="C225" s="382"/>
    </row>
    <row r="226" spans="1:5">
      <c r="B226" s="360" t="s">
        <v>407</v>
      </c>
      <c r="C226" s="381">
        <f>C222-C223-C224</f>
        <v>212444.29259508732</v>
      </c>
    </row>
    <row r="227" spans="1:5">
      <c r="B227" s="360"/>
      <c r="C227" s="360"/>
    </row>
    <row r="228" spans="1:5">
      <c r="B228" s="360" t="s">
        <v>616</v>
      </c>
    </row>
    <row r="229" spans="1:5">
      <c r="B229" s="354" t="s">
        <v>591</v>
      </c>
      <c r="C229" s="381">
        <f>'FRC-Spring24-Q2Ans'!N42</f>
        <v>1875870</v>
      </c>
    </row>
    <row r="230" spans="1:5">
      <c r="B230" s="354" t="s">
        <v>615</v>
      </c>
      <c r="C230" s="381">
        <f>'FRC-Spring24-Q2Ans'!N43</f>
        <v>200000</v>
      </c>
    </row>
    <row r="231" spans="1:5">
      <c r="B231" s="354" t="s">
        <v>614</v>
      </c>
      <c r="C231" s="381">
        <f>'FRC-Spring24-Q2Ans'!N45</f>
        <v>1869271.6133337086</v>
      </c>
    </row>
    <row r="232" spans="1:5">
      <c r="C232" s="382"/>
    </row>
    <row r="233" spans="1:5">
      <c r="B233" s="360" t="s">
        <v>613</v>
      </c>
      <c r="C233" s="381">
        <f>'FRC-Spring24-Q2Ans'!N46</f>
        <v>-193401.61333370861</v>
      </c>
    </row>
    <row r="234" spans="1:5">
      <c r="B234" s="360"/>
      <c r="C234" s="360"/>
    </row>
    <row r="236" spans="1:5">
      <c r="A236" s="360" t="s">
        <v>689</v>
      </c>
      <c r="B236" s="360" t="s">
        <v>688</v>
      </c>
    </row>
    <row r="237" spans="1:5">
      <c r="A237" s="360"/>
      <c r="B237" s="360"/>
    </row>
    <row r="238" spans="1:5" ht="15.6">
      <c r="A238" s="360"/>
      <c r="B238" s="368" t="s">
        <v>343</v>
      </c>
      <c r="C238" s="367"/>
      <c r="D238" s="367"/>
      <c r="E238" s="367"/>
    </row>
    <row r="241" spans="1:5">
      <c r="B241" s="360" t="s">
        <v>392</v>
      </c>
      <c r="C241" s="355">
        <f>'FRC-Spring24-Q2Ans'!N64</f>
        <v>10361.702216946047</v>
      </c>
      <c r="E241" s="363"/>
    </row>
    <row r="242" spans="1:5">
      <c r="B242" s="360"/>
      <c r="C242" s="380"/>
    </row>
    <row r="243" spans="1:5">
      <c r="B243" s="360" t="s">
        <v>610</v>
      </c>
      <c r="C243" s="379">
        <f>'FRC-Spring24-Q2Ans'!N69</f>
        <v>245970.19715270255</v>
      </c>
    </row>
    <row r="245" spans="1:5">
      <c r="A245" s="360"/>
      <c r="B245" s="360" t="s">
        <v>609</v>
      </c>
    </row>
    <row r="246" spans="1:5">
      <c r="B246" s="373"/>
    </row>
    <row r="247" spans="1:5">
      <c r="B247" s="375" t="s">
        <v>608</v>
      </c>
    </row>
    <row r="248" spans="1:5">
      <c r="B248" s="373" t="s">
        <v>607</v>
      </c>
      <c r="C248" s="478">
        <f>D21</f>
        <v>1875870</v>
      </c>
      <c r="E248" s="378"/>
    </row>
    <row r="249" spans="1:5">
      <c r="B249" s="373" t="s">
        <v>687</v>
      </c>
      <c r="C249" s="480">
        <v>240000</v>
      </c>
    </row>
    <row r="250" spans="1:5">
      <c r="B250" s="373" t="s">
        <v>365</v>
      </c>
      <c r="C250" s="480">
        <v>12300</v>
      </c>
    </row>
    <row r="251" spans="1:5">
      <c r="B251" s="373" t="s">
        <v>364</v>
      </c>
      <c r="C251" s="480">
        <f>-(E35+F35)</f>
        <v>-78000</v>
      </c>
      <c r="D251" s="378"/>
    </row>
    <row r="252" spans="1:5">
      <c r="B252" s="373" t="s">
        <v>686</v>
      </c>
      <c r="C252" s="480">
        <v>-25000</v>
      </c>
    </row>
    <row r="253" spans="1:5">
      <c r="B253" s="373" t="s">
        <v>360</v>
      </c>
      <c r="C253" s="479">
        <v>-600000</v>
      </c>
    </row>
    <row r="254" spans="1:5">
      <c r="B254" s="373" t="s">
        <v>601</v>
      </c>
      <c r="C254" s="478">
        <f>SUM(C248:C253)</f>
        <v>1425170</v>
      </c>
    </row>
    <row r="255" spans="1:5">
      <c r="B255" s="373"/>
    </row>
    <row r="256" spans="1:5">
      <c r="B256" s="375" t="s">
        <v>600</v>
      </c>
    </row>
    <row r="257" spans="1:5">
      <c r="B257" s="373" t="s">
        <v>685</v>
      </c>
    </row>
    <row r="258" spans="1:5">
      <c r="B258" s="373" t="s">
        <v>684</v>
      </c>
      <c r="C258" s="374"/>
    </row>
    <row r="259" spans="1:5">
      <c r="B259" s="373" t="s">
        <v>597</v>
      </c>
    </row>
    <row r="260" spans="1:5">
      <c r="B260" s="373" t="s">
        <v>596</v>
      </c>
    </row>
    <row r="261" spans="1:5">
      <c r="B261" s="373"/>
    </row>
    <row r="262" spans="1:5">
      <c r="B262" s="373" t="s">
        <v>683</v>
      </c>
    </row>
    <row r="263" spans="1:5">
      <c r="B263" s="373"/>
    </row>
    <row r="264" spans="1:5">
      <c r="A264" s="360" t="s">
        <v>682</v>
      </c>
      <c r="B264" s="371" t="s">
        <v>681</v>
      </c>
    </row>
    <row r="265" spans="1:5">
      <c r="B265" s="371"/>
    </row>
    <row r="266" spans="1:5" ht="15.6">
      <c r="B266" s="368" t="s">
        <v>343</v>
      </c>
      <c r="C266" s="367"/>
      <c r="D266" s="367"/>
      <c r="E266" s="367"/>
    </row>
    <row r="268" spans="1:5">
      <c r="B268" s="360" t="s">
        <v>592</v>
      </c>
    </row>
    <row r="269" spans="1:5">
      <c r="B269" s="360"/>
    </row>
    <row r="270" spans="1:5">
      <c r="B270" s="354" t="s">
        <v>591</v>
      </c>
      <c r="C270" s="355">
        <f>'FRC-Spring24-Q2Ans'!N104</f>
        <v>1425170</v>
      </c>
    </row>
    <row r="271" spans="1:5">
      <c r="B271" s="354" t="s">
        <v>590</v>
      </c>
      <c r="C271" s="355">
        <f>'FRC-Spring24-Q2Ans'!N105</f>
        <v>1331800.9541576183</v>
      </c>
    </row>
    <row r="272" spans="1:5">
      <c r="B272" s="370" t="s">
        <v>589</v>
      </c>
      <c r="C272" s="355">
        <f>'FRC-Spring24-Q2Ans'!N106</f>
        <v>98835.175921350179</v>
      </c>
    </row>
    <row r="273" spans="1:5">
      <c r="B273" s="370"/>
      <c r="C273" s="369"/>
    </row>
    <row r="274" spans="1:5">
      <c r="B274" s="354" t="s">
        <v>346</v>
      </c>
      <c r="C274" s="355">
        <f>'FRC-Spring24-Q2Ans'!N107</f>
        <v>-5466.1300789685192</v>
      </c>
    </row>
    <row r="277" spans="1:5" ht="52.8">
      <c r="A277" s="360" t="s">
        <v>680</v>
      </c>
      <c r="B277" s="477" t="s">
        <v>679</v>
      </c>
    </row>
    <row r="279" spans="1:5" ht="15.6">
      <c r="B279" s="368" t="s">
        <v>343</v>
      </c>
      <c r="C279" s="367"/>
      <c r="D279" s="367"/>
      <c r="E279" s="367"/>
    </row>
    <row r="280" spans="1:5" ht="15.6">
      <c r="B280" s="366"/>
      <c r="C280" s="364"/>
      <c r="D280" s="365"/>
      <c r="E280" s="364"/>
    </row>
    <row r="281" spans="1:5">
      <c r="B281" s="475" t="s">
        <v>584</v>
      </c>
      <c r="C281" s="355">
        <f>'FRC-Spring24-Q2Ans'!P129</f>
        <v>42207</v>
      </c>
      <c r="E281" s="363"/>
    </row>
    <row r="282" spans="1:5">
      <c r="B282" s="358" t="s">
        <v>339</v>
      </c>
      <c r="C282" s="355">
        <f>'FRC-Spring24-Q2Ans'!P130</f>
        <v>2111</v>
      </c>
    </row>
    <row r="283" spans="1:5" hidden="1">
      <c r="B283" s="358" t="s">
        <v>338</v>
      </c>
      <c r="C283" s="355"/>
    </row>
    <row r="284" spans="1:5">
      <c r="B284" s="358" t="s">
        <v>583</v>
      </c>
      <c r="C284" s="355">
        <f>'FRC-Spring24-Q2Ans'!P131</f>
        <v>0</v>
      </c>
    </row>
    <row r="285" spans="1:5">
      <c r="B285" s="475" t="s">
        <v>582</v>
      </c>
      <c r="C285" s="355">
        <f>'FRC-Spring24-Q2Ans'!P132</f>
        <v>44318</v>
      </c>
    </row>
    <row r="286" spans="1:5">
      <c r="C286" s="362"/>
    </row>
    <row r="287" spans="1:5">
      <c r="B287" s="360" t="s">
        <v>581</v>
      </c>
      <c r="C287" s="360"/>
    </row>
    <row r="288" spans="1:5">
      <c r="B288" s="359" t="s">
        <v>580</v>
      </c>
      <c r="C288" s="355">
        <f>'FRC-Spring24-Q2Ans'!P148</f>
        <v>-697481</v>
      </c>
    </row>
    <row r="289" spans="1:3">
      <c r="B289" s="359" t="s">
        <v>319</v>
      </c>
      <c r="C289" s="355">
        <f>'FRC-Spring24-Q2Ans'!P142</f>
        <v>-3155</v>
      </c>
    </row>
    <row r="290" spans="1:3">
      <c r="B290" s="359" t="s">
        <v>138</v>
      </c>
      <c r="C290" s="355">
        <f>'FRC-Spring24-Q2Ans'!P143</f>
        <v>-31697</v>
      </c>
    </row>
    <row r="291" spans="1:3">
      <c r="B291" s="359" t="s">
        <v>579</v>
      </c>
      <c r="C291" s="355">
        <f>'FRC-Spring24-Q2Ans'!P144</f>
        <v>475741</v>
      </c>
    </row>
    <row r="292" spans="1:3">
      <c r="B292" s="359" t="s">
        <v>578</v>
      </c>
      <c r="C292" s="355">
        <f>'FRC-Spring24-Q2Ans'!P145</f>
        <v>-4672</v>
      </c>
    </row>
    <row r="293" spans="1:3">
      <c r="B293" s="359" t="s">
        <v>577</v>
      </c>
      <c r="C293" s="355">
        <f>'FRC-Spring24-Q2Ans'!P138</f>
        <v>-15370</v>
      </c>
    </row>
    <row r="294" spans="1:3">
      <c r="B294" s="359" t="s">
        <v>348</v>
      </c>
      <c r="C294" s="355">
        <f>'FRC-Spring24-Q2Ans'!P140</f>
        <v>39523</v>
      </c>
    </row>
    <row r="295" spans="1:3">
      <c r="B295" s="359" t="s">
        <v>576</v>
      </c>
      <c r="C295" s="355">
        <f>'FRC-Spring24-Q2Ans'!P134</f>
        <v>187327</v>
      </c>
    </row>
    <row r="296" spans="1:3">
      <c r="B296" s="476" t="s">
        <v>335</v>
      </c>
      <c r="C296" s="355">
        <f>SUM(C288:C295)</f>
        <v>-49784</v>
      </c>
    </row>
    <row r="297" spans="1:3">
      <c r="B297" s="357"/>
    </row>
    <row r="298" spans="1:3">
      <c r="B298" s="475" t="s">
        <v>575</v>
      </c>
      <c r="C298" s="355">
        <f>C296+C285</f>
        <v>-5466</v>
      </c>
    </row>
    <row r="299" spans="1:3">
      <c r="B299" s="357"/>
    </row>
    <row r="300" spans="1:3">
      <c r="B300" s="357"/>
    </row>
    <row r="301" spans="1:3">
      <c r="B301" s="360" t="s">
        <v>574</v>
      </c>
    </row>
    <row r="303" spans="1:3">
      <c r="A303" s="360" t="s">
        <v>678</v>
      </c>
      <c r="B303" s="360" t="s">
        <v>677</v>
      </c>
    </row>
    <row r="305" spans="2:2">
      <c r="B305" s="355" t="s">
        <v>676</v>
      </c>
    </row>
  </sheetData>
  <mergeCells count="38">
    <mergeCell ref="C182:D182"/>
    <mergeCell ref="E182:F182"/>
    <mergeCell ref="C197:F197"/>
    <mergeCell ref="C198:D198"/>
    <mergeCell ref="E198:F198"/>
    <mergeCell ref="C199:D199"/>
    <mergeCell ref="E199:F199"/>
    <mergeCell ref="C180:F180"/>
    <mergeCell ref="C181:D181"/>
    <mergeCell ref="E181:F181"/>
    <mergeCell ref="B78:C78"/>
    <mergeCell ref="D78:E78"/>
    <mergeCell ref="B79:C79"/>
    <mergeCell ref="D79:E79"/>
    <mergeCell ref="B80:C80"/>
    <mergeCell ref="D80:E80"/>
    <mergeCell ref="C91:H91"/>
    <mergeCell ref="C123:H123"/>
    <mergeCell ref="B73:E73"/>
    <mergeCell ref="B74:C74"/>
    <mergeCell ref="D74:E74"/>
    <mergeCell ref="C154:H154"/>
    <mergeCell ref="C155:H155"/>
    <mergeCell ref="B70:E70"/>
    <mergeCell ref="B71:C71"/>
    <mergeCell ref="D71:E71"/>
    <mergeCell ref="B72:C72"/>
    <mergeCell ref="D72:E72"/>
    <mergeCell ref="B75:C75"/>
    <mergeCell ref="D75:E75"/>
    <mergeCell ref="B76:E76"/>
    <mergeCell ref="B77:C77"/>
    <mergeCell ref="D77:E77"/>
    <mergeCell ref="B3:F3"/>
    <mergeCell ref="C56:D57"/>
    <mergeCell ref="C58:D58"/>
    <mergeCell ref="B69:C69"/>
    <mergeCell ref="D69:E6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F30E-2CE2-40D3-88A7-4DE587A72BF7}">
  <dimension ref="A1:U151"/>
  <sheetViews>
    <sheetView topLeftCell="A115" zoomScale="85" zoomScaleNormal="85" workbookViewId="0">
      <selection activeCell="O14" sqref="O14"/>
    </sheetView>
  </sheetViews>
  <sheetFormatPr defaultColWidth="8.6640625" defaultRowHeight="11.4" outlineLevelRow="1"/>
  <cols>
    <col min="1" max="1" width="11.5546875" style="507" customWidth="1"/>
    <col min="2" max="2" width="15.33203125" style="507" bestFit="1" customWidth="1"/>
    <col min="3" max="3" width="15.6640625" style="507" bestFit="1" customWidth="1"/>
    <col min="4" max="4" width="17.5546875" style="507" bestFit="1" customWidth="1"/>
    <col min="5" max="6" width="11.5546875" style="507" customWidth="1"/>
    <col min="7" max="7" width="15.33203125" style="507" bestFit="1" customWidth="1"/>
    <col min="8" max="8" width="19.33203125" style="507" bestFit="1" customWidth="1"/>
    <col min="9" max="11" width="11.5546875" style="507" customWidth="1"/>
    <col min="12" max="12" width="13.109375" style="507" bestFit="1" customWidth="1"/>
    <col min="13" max="13" width="13.6640625" style="507" bestFit="1" customWidth="1"/>
    <col min="14" max="16" width="11.5546875" style="507" customWidth="1"/>
    <col min="17" max="18" width="11.33203125" style="507" bestFit="1" customWidth="1"/>
    <col min="19" max="19" width="8.6640625" style="507"/>
    <col min="20" max="20" width="7.5546875" style="507" bestFit="1" customWidth="1"/>
    <col min="21" max="22" width="11.33203125" style="507" bestFit="1" customWidth="1"/>
    <col min="23" max="16384" width="8.6640625" style="507"/>
  </cols>
  <sheetData>
    <row r="1" spans="1:19" s="536" customFormat="1" ht="12">
      <c r="A1" s="486" t="s">
        <v>820</v>
      </c>
    </row>
    <row r="2" spans="1:19">
      <c r="A2" s="555"/>
      <c r="B2" s="555"/>
    </row>
    <row r="3" spans="1:19" ht="12">
      <c r="A3" s="551" t="s">
        <v>798</v>
      </c>
      <c r="B3" s="555"/>
    </row>
    <row r="4" spans="1:19" ht="12">
      <c r="A4" s="551"/>
      <c r="B4" s="555"/>
    </row>
    <row r="5" spans="1:19" outlineLevel="1">
      <c r="A5" s="542" t="s">
        <v>790</v>
      </c>
    </row>
    <row r="6" spans="1:19" outlineLevel="1"/>
    <row r="7" spans="1:19" ht="14.4" outlineLevel="1">
      <c r="I7" s="1828" t="s">
        <v>757</v>
      </c>
      <c r="J7" s="1828"/>
      <c r="K7" s="1828"/>
      <c r="L7" s="1828" t="s">
        <v>819</v>
      </c>
      <c r="M7" s="1828"/>
      <c r="N7" s="1828"/>
      <c r="Q7" s="542" t="s">
        <v>814</v>
      </c>
      <c r="R7"/>
      <c r="S7"/>
    </row>
    <row r="8" spans="1:19" s="540" customFormat="1" ht="12" outlineLevel="1">
      <c r="A8" s="540" t="s">
        <v>806</v>
      </c>
      <c r="B8" s="540" t="s">
        <v>813</v>
      </c>
      <c r="C8" s="540" t="s">
        <v>812</v>
      </c>
      <c r="D8" s="540" t="s">
        <v>805</v>
      </c>
      <c r="E8" s="540" t="s">
        <v>320</v>
      </c>
      <c r="F8" s="540" t="s">
        <v>811</v>
      </c>
      <c r="G8" s="540" t="s">
        <v>810</v>
      </c>
      <c r="H8" s="540" t="s">
        <v>809</v>
      </c>
      <c r="I8" s="540" t="s">
        <v>94</v>
      </c>
      <c r="J8" s="539" t="s">
        <v>788</v>
      </c>
      <c r="K8" s="539" t="s">
        <v>808</v>
      </c>
      <c r="L8" s="540" t="s">
        <v>94</v>
      </c>
      <c r="M8" s="539" t="s">
        <v>788</v>
      </c>
      <c r="N8" s="539" t="s">
        <v>808</v>
      </c>
    </row>
    <row r="9" spans="1:19" outlineLevel="1">
      <c r="A9" s="540">
        <v>49</v>
      </c>
      <c r="B9" s="540" t="s">
        <v>578</v>
      </c>
      <c r="C9" s="507">
        <f>A9-$Q$14</f>
        <v>0</v>
      </c>
      <c r="D9" s="548">
        <f>AVERAGE(R10:R14)</f>
        <v>68000</v>
      </c>
      <c r="E9" s="577">
        <f>'FRC-Spring24-Q2Ans'!$C$34</f>
        <v>15</v>
      </c>
      <c r="F9" s="566">
        <f>2%*E9*D9</f>
        <v>20400</v>
      </c>
      <c r="G9" s="568">
        <f>(1+'FRC-Spring24-Q2Ans'!$C$44)^-C9</f>
        <v>1</v>
      </c>
      <c r="H9" s="583">
        <f>'FRC-Spring24-Q2Ans'!D54</f>
        <v>0.05</v>
      </c>
      <c r="I9" s="566">
        <f>'FRC-Spring24-Q2Ans'!E161</f>
        <v>10.273029525549545</v>
      </c>
      <c r="J9" s="582">
        <f>H9*I9*F9*G9</f>
        <v>10478.490116060535</v>
      </c>
      <c r="K9" s="548">
        <f>J9/E9</f>
        <v>698.56600773736898</v>
      </c>
      <c r="L9" s="557">
        <f>'FRC-Spring24-Q2Ans'!H161</f>
        <v>6.1704436611219844</v>
      </c>
      <c r="M9" s="564">
        <f>H9*L9*F9*G9</f>
        <v>6293.8525343444244</v>
      </c>
      <c r="N9" s="575">
        <f>M9/E9</f>
        <v>419.59016895629497</v>
      </c>
      <c r="Q9" s="562" t="s">
        <v>252</v>
      </c>
      <c r="R9" s="562" t="s">
        <v>319</v>
      </c>
    </row>
    <row r="10" spans="1:19" outlineLevel="1">
      <c r="A10" s="540">
        <v>64</v>
      </c>
      <c r="B10" s="540" t="s">
        <v>807</v>
      </c>
      <c r="C10" s="507">
        <f>A10-$Q$14</f>
        <v>15</v>
      </c>
      <c r="D10" s="548">
        <f>AVERAGE(R25:R29)</f>
        <v>125072.69602954303</v>
      </c>
      <c r="E10" s="577">
        <f>'FRC-Spring24-Q2Ans'!$C$34</f>
        <v>15</v>
      </c>
      <c r="F10" s="566">
        <f>2%*E10*D10</f>
        <v>37521.808808862908</v>
      </c>
      <c r="G10" s="568">
        <f>(1+'FRC-Spring24-Q2Ans'!$C$44)^-C10</f>
        <v>0.48101709809097021</v>
      </c>
      <c r="H10" s="583">
        <f>(1-H9)*'FRC-Spring24-Q2Ans'!D51</f>
        <v>0.47499999999999998</v>
      </c>
      <c r="I10" s="566">
        <f>'FRC-Spring24-Q2Ans'!E145</f>
        <v>16.529733475817888</v>
      </c>
      <c r="J10" s="582">
        <f>H10*I10*F10*G10</f>
        <v>141711.05813546578</v>
      </c>
      <c r="K10" s="548">
        <f>J10/E10</f>
        <v>9447.4038756977188</v>
      </c>
      <c r="L10" s="557">
        <f>'FRC-Spring24-Q2Ans'!H145</f>
        <v>13.487211414709467</v>
      </c>
      <c r="M10" s="564">
        <f>H10*L10*F10*G10</f>
        <v>115627.21223976908</v>
      </c>
      <c r="N10" s="575">
        <f>M10/E10</f>
        <v>7708.4808159846052</v>
      </c>
      <c r="R10" s="558">
        <f>'FRC-Spring24-Q2Ans'!C29</f>
        <v>63000</v>
      </c>
    </row>
    <row r="11" spans="1:19" outlineLevel="1">
      <c r="A11" s="542">
        <v>65</v>
      </c>
      <c r="B11" s="541" t="s">
        <v>807</v>
      </c>
      <c r="C11" s="542">
        <f>A11-$Q$14</f>
        <v>16</v>
      </c>
      <c r="D11" s="565">
        <f>AVERAGE(R26:R30)</f>
        <v>130075.60387072476</v>
      </c>
      <c r="E11" s="570">
        <f>'FRC-Spring24-Q2Ans'!$C$34</f>
        <v>15</v>
      </c>
      <c r="F11" s="569">
        <f>2%*E11*D11</f>
        <v>39022.681161217428</v>
      </c>
      <c r="G11" s="568">
        <f>(1+'FRC-Spring24-Q2Ans'!$C$44)^-C11</f>
        <v>0.45811152199140021</v>
      </c>
      <c r="H11" s="581">
        <f>(1-H9)*(1-'FRC-Spring24-Q2Ans'!D51)*'FRC-Spring24-Q2Ans'!$D$52</f>
        <v>0.47499999999999998</v>
      </c>
      <c r="I11" s="566">
        <f>'FRC-Spring24-Q2Ans'!E146</f>
        <v>16.091863980080912</v>
      </c>
      <c r="J11" s="580">
        <f>H11*I11*F11*G11</f>
        <v>136643.28145332274</v>
      </c>
      <c r="K11" s="565">
        <f>J11/E11</f>
        <v>9109.5520968881829</v>
      </c>
      <c r="L11" s="557">
        <f>'FRC-Spring24-Q2Ans'!H146</f>
        <v>13.205265663923768</v>
      </c>
      <c r="M11" s="564">
        <f>H11*L11*F11*G11</f>
        <v>112131.87204509054</v>
      </c>
      <c r="N11" s="563">
        <f>M11/E11</f>
        <v>7475.458136339369</v>
      </c>
      <c r="R11" s="558">
        <f>'FRC-Spring24-Q2Ans'!C30</f>
        <v>65000</v>
      </c>
    </row>
    <row r="12" spans="1:19" ht="12" outlineLevel="1">
      <c r="J12" s="579">
        <f>SUM(J9:J11)</f>
        <v>288832.82970484905</v>
      </c>
      <c r="K12" s="544">
        <f>SUM(K9:K11)</f>
        <v>19255.521980323269</v>
      </c>
      <c r="M12" s="561">
        <f>SUM(M9:M11)</f>
        <v>234052.93681920404</v>
      </c>
      <c r="N12" s="561">
        <f>SUM(N9:N11)</f>
        <v>15603.529121280269</v>
      </c>
      <c r="R12" s="558">
        <f>'FRC-Spring24-Q2Ans'!C31</f>
        <v>67000</v>
      </c>
    </row>
    <row r="13" spans="1:19" outlineLevel="1">
      <c r="J13" s="573"/>
      <c r="R13" s="558">
        <f>'FRC-Spring24-Q2Ans'!C32</f>
        <v>70000</v>
      </c>
    </row>
    <row r="14" spans="1:19" outlineLevel="1">
      <c r="A14" s="542" t="s">
        <v>789</v>
      </c>
      <c r="Q14" s="560">
        <f>'FRC-Spring24-Q2Ans'!C28</f>
        <v>49</v>
      </c>
      <c r="R14" s="559">
        <f>'FRC-Spring24-Q2Ans'!C33</f>
        <v>75000</v>
      </c>
    </row>
    <row r="15" spans="1:19" outlineLevel="1">
      <c r="G15" s="1829" t="s">
        <v>757</v>
      </c>
      <c r="H15" s="1829"/>
      <c r="I15" s="1829" t="s">
        <v>756</v>
      </c>
      <c r="J15" s="1829"/>
      <c r="Q15" s="555">
        <f t="shared" ref="Q15:Q30" si="0">Q14+1</f>
        <v>50</v>
      </c>
      <c r="R15" s="554">
        <f>R14*(1+'FRC-Spring24-Q2Ans'!$C$46)</f>
        <v>78000</v>
      </c>
    </row>
    <row r="16" spans="1:19" outlineLevel="1">
      <c r="A16" s="540" t="s">
        <v>806</v>
      </c>
      <c r="B16" s="540" t="s">
        <v>805</v>
      </c>
      <c r="C16" s="540" t="s">
        <v>804</v>
      </c>
      <c r="D16" s="540" t="s">
        <v>803</v>
      </c>
      <c r="E16" s="540" t="s">
        <v>63</v>
      </c>
      <c r="F16" s="540" t="s">
        <v>802</v>
      </c>
      <c r="G16" s="540" t="s">
        <v>94</v>
      </c>
      <c r="H16" s="540" t="s">
        <v>788</v>
      </c>
      <c r="I16" s="540" t="s">
        <v>94</v>
      </c>
      <c r="J16" s="540" t="s">
        <v>788</v>
      </c>
      <c r="Q16" s="555">
        <f t="shared" si="0"/>
        <v>51</v>
      </c>
      <c r="R16" s="554">
        <f>R15*(1+'FRC-Spring24-Q2Ans'!$C$46)</f>
        <v>81120</v>
      </c>
    </row>
    <row r="17" spans="1:18" outlineLevel="1">
      <c r="A17" s="555">
        <v>55</v>
      </c>
      <c r="B17" s="554">
        <f t="shared" ref="B17:B27" si="1">AVERAGE($R$10:$R$14)</f>
        <v>68000</v>
      </c>
      <c r="C17" s="507">
        <f>'FRC-Spring24-Q2Ans'!$C$34</f>
        <v>15</v>
      </c>
      <c r="D17" s="555">
        <f t="shared" ref="D17:D27" si="2">A17-$Q$14+C17</f>
        <v>21</v>
      </c>
      <c r="E17" s="507">
        <f t="shared" ref="E17:E27" si="3">MIN(1-($D$26-D17)*3%,1)</f>
        <v>0.73</v>
      </c>
      <c r="F17" s="558">
        <f t="shared" ref="F17:F27" si="4">2%*B17*C17*E17</f>
        <v>14892</v>
      </c>
      <c r="G17" s="574">
        <f>'FRC-Spring24-Q2Ans'!C184</f>
        <v>19.994859508637305</v>
      </c>
      <c r="H17" s="553">
        <f t="shared" ref="H17:H27" si="5">F17*G17</f>
        <v>297763.44780262676</v>
      </c>
      <c r="I17" s="574">
        <f>'FRC-Spring24-Q2Ans'!D184</f>
        <v>13.833505281564696</v>
      </c>
      <c r="J17" s="553">
        <f t="shared" ref="J17:J27" si="6">F17*I17</f>
        <v>206008.56065306146</v>
      </c>
      <c r="Q17" s="555">
        <f t="shared" si="0"/>
        <v>52</v>
      </c>
      <c r="R17" s="554">
        <f>R16*(1+'FRC-Spring24-Q2Ans'!$C$46)</f>
        <v>84364.800000000003</v>
      </c>
    </row>
    <row r="18" spans="1:18" outlineLevel="1">
      <c r="A18" s="555">
        <f t="shared" ref="A18:A27" si="7">A17+1</f>
        <v>56</v>
      </c>
      <c r="B18" s="554">
        <f t="shared" si="1"/>
        <v>68000</v>
      </c>
      <c r="C18" s="507">
        <f>'FRC-Spring24-Q2Ans'!$C$34</f>
        <v>15</v>
      </c>
      <c r="D18" s="555">
        <f t="shared" si="2"/>
        <v>22</v>
      </c>
      <c r="E18" s="507">
        <f t="shared" si="3"/>
        <v>0.76</v>
      </c>
      <c r="F18" s="558">
        <f t="shared" si="4"/>
        <v>15504</v>
      </c>
      <c r="G18" s="574">
        <f>'FRC-Spring24-Q2Ans'!C185</f>
        <v>19.196652557398306</v>
      </c>
      <c r="H18" s="553">
        <f t="shared" si="5"/>
        <v>297624.90124990331</v>
      </c>
      <c r="I18" s="574">
        <f>'FRC-Spring24-Q2Ans'!D185</f>
        <v>13.108933277985999</v>
      </c>
      <c r="J18" s="553">
        <f t="shared" si="6"/>
        <v>203240.90154189494</v>
      </c>
      <c r="Q18" s="555">
        <f t="shared" si="0"/>
        <v>53</v>
      </c>
      <c r="R18" s="554">
        <f>R17*(1+'FRC-Spring24-Q2Ans'!$C$46)</f>
        <v>87739.392000000007</v>
      </c>
    </row>
    <row r="19" spans="1:18" outlineLevel="1">
      <c r="A19" s="555">
        <f t="shared" si="7"/>
        <v>57</v>
      </c>
      <c r="B19" s="554">
        <f t="shared" si="1"/>
        <v>68000</v>
      </c>
      <c r="C19" s="507">
        <f>'FRC-Spring24-Q2Ans'!$C$34</f>
        <v>15</v>
      </c>
      <c r="D19" s="555">
        <f t="shared" si="2"/>
        <v>23</v>
      </c>
      <c r="E19" s="507">
        <f t="shared" si="3"/>
        <v>0.79</v>
      </c>
      <c r="F19" s="558">
        <f t="shared" si="4"/>
        <v>16116</v>
      </c>
      <c r="G19" s="574">
        <f>'FRC-Spring24-Q2Ans'!C186</f>
        <v>18.419653758855745</v>
      </c>
      <c r="H19" s="553">
        <f t="shared" si="5"/>
        <v>296851.13997771917</v>
      </c>
      <c r="I19" s="574">
        <f>'FRC-Spring24-Q2Ans'!D186</f>
        <v>12.415652623159414</v>
      </c>
      <c r="J19" s="553">
        <f t="shared" si="6"/>
        <v>200090.6576748371</v>
      </c>
      <c r="Q19" s="555">
        <f t="shared" si="0"/>
        <v>54</v>
      </c>
      <c r="R19" s="554">
        <f>R18*(1+'FRC-Spring24-Q2Ans'!$C$46)</f>
        <v>91248.967680000016</v>
      </c>
    </row>
    <row r="20" spans="1:18" outlineLevel="1">
      <c r="A20" s="555">
        <f t="shared" si="7"/>
        <v>58</v>
      </c>
      <c r="B20" s="554">
        <f t="shared" si="1"/>
        <v>68000</v>
      </c>
      <c r="C20" s="507">
        <f>'FRC-Spring24-Q2Ans'!$C$34</f>
        <v>15</v>
      </c>
      <c r="D20" s="555">
        <f t="shared" si="2"/>
        <v>24</v>
      </c>
      <c r="E20" s="507">
        <f t="shared" si="3"/>
        <v>0.82000000000000006</v>
      </c>
      <c r="F20" s="558">
        <f t="shared" si="4"/>
        <v>16728</v>
      </c>
      <c r="G20" s="574">
        <f>'FRC-Spring24-Q2Ans'!C187</f>
        <v>17.663205071579419</v>
      </c>
      <c r="H20" s="553">
        <f t="shared" si="5"/>
        <v>295470.09443738055</v>
      </c>
      <c r="I20" s="574">
        <f>'FRC-Spring24-Q2Ans'!D187</f>
        <v>11.75227937637278</v>
      </c>
      <c r="J20" s="553">
        <f t="shared" si="6"/>
        <v>196592.12940796386</v>
      </c>
      <c r="Q20" s="555">
        <f t="shared" si="0"/>
        <v>55</v>
      </c>
      <c r="R20" s="554">
        <f>R19*(1+'FRC-Spring24-Q2Ans'!$C$46)</f>
        <v>94898.926387200016</v>
      </c>
    </row>
    <row r="21" spans="1:18" outlineLevel="1">
      <c r="A21" s="555">
        <f t="shared" si="7"/>
        <v>59</v>
      </c>
      <c r="B21" s="554">
        <f t="shared" si="1"/>
        <v>68000</v>
      </c>
      <c r="C21" s="507">
        <f>'FRC-Spring24-Q2Ans'!$C$34</f>
        <v>15</v>
      </c>
      <c r="D21" s="555">
        <f t="shared" si="2"/>
        <v>25</v>
      </c>
      <c r="E21" s="507">
        <f t="shared" si="3"/>
        <v>0.85</v>
      </c>
      <c r="F21" s="558">
        <f t="shared" si="4"/>
        <v>17340</v>
      </c>
      <c r="G21" s="574">
        <f>'FRC-Spring24-Q2Ans'!C188</f>
        <v>16.926541376338999</v>
      </c>
      <c r="H21" s="553">
        <f t="shared" si="5"/>
        <v>293506.22746571823</v>
      </c>
      <c r="I21" s="574">
        <f>'FRC-Spring24-Q2Ans'!D188</f>
        <v>11.117420837837575</v>
      </c>
      <c r="J21" s="553">
        <f t="shared" si="6"/>
        <v>192776.07732810354</v>
      </c>
      <c r="Q21" s="555">
        <f t="shared" si="0"/>
        <v>56</v>
      </c>
      <c r="R21" s="554">
        <f>R20*(1+'FRC-Spring24-Q2Ans'!$C$46)</f>
        <v>98694.88344268802</v>
      </c>
    </row>
    <row r="22" spans="1:18" outlineLevel="1">
      <c r="A22" s="555">
        <f t="shared" si="7"/>
        <v>60</v>
      </c>
      <c r="B22" s="554">
        <f t="shared" si="1"/>
        <v>68000</v>
      </c>
      <c r="C22" s="507">
        <f>'FRC-Spring24-Q2Ans'!$C$34</f>
        <v>15</v>
      </c>
      <c r="D22" s="555">
        <f t="shared" si="2"/>
        <v>26</v>
      </c>
      <c r="E22" s="507">
        <f t="shared" si="3"/>
        <v>0.88</v>
      </c>
      <c r="F22" s="558">
        <f t="shared" si="4"/>
        <v>17952</v>
      </c>
      <c r="G22" s="574">
        <f>'FRC-Spring24-Q2Ans'!C189</f>
        <v>16.073074984694621</v>
      </c>
      <c r="H22" s="553">
        <f t="shared" si="5"/>
        <v>288543.84212523786</v>
      </c>
      <c r="I22" s="574">
        <f>'FRC-Spring24-Q2Ans'!D189</f>
        <v>10.413817205571789</v>
      </c>
      <c r="J22" s="553">
        <f t="shared" si="6"/>
        <v>186948.84647442476</v>
      </c>
      <c r="Q22" s="555">
        <f t="shared" si="0"/>
        <v>57</v>
      </c>
      <c r="R22" s="554">
        <f>R21*(1+'FRC-Spring24-Q2Ans'!$C$46)</f>
        <v>102642.67878039554</v>
      </c>
    </row>
    <row r="23" spans="1:18" outlineLevel="1">
      <c r="A23" s="555">
        <f t="shared" si="7"/>
        <v>61</v>
      </c>
      <c r="B23" s="554">
        <f t="shared" si="1"/>
        <v>68000</v>
      </c>
      <c r="C23" s="507">
        <f>'FRC-Spring24-Q2Ans'!$C$34</f>
        <v>15</v>
      </c>
      <c r="D23" s="555">
        <f t="shared" si="2"/>
        <v>27</v>
      </c>
      <c r="E23" s="507">
        <f t="shared" si="3"/>
        <v>0.91</v>
      </c>
      <c r="F23" s="558">
        <f t="shared" si="4"/>
        <v>18564</v>
      </c>
      <c r="G23" s="574">
        <f>'FRC-Spring24-Q2Ans'!C190</f>
        <v>15.369184733377216</v>
      </c>
      <c r="H23" s="553">
        <f t="shared" si="5"/>
        <v>285313.54539041466</v>
      </c>
      <c r="I23" s="574">
        <f>'FRC-Spring24-Q2Ans'!D190</f>
        <v>9.8306763508921922</v>
      </c>
      <c r="J23" s="553">
        <f t="shared" si="6"/>
        <v>182496.67577796266</v>
      </c>
      <c r="Q23" s="555">
        <f t="shared" si="0"/>
        <v>58</v>
      </c>
      <c r="R23" s="554">
        <f>R22*(1+'FRC-Spring24-Q2Ans'!$C$46)</f>
        <v>106748.38593161137</v>
      </c>
    </row>
    <row r="24" spans="1:18" outlineLevel="1">
      <c r="A24" s="555">
        <f t="shared" si="7"/>
        <v>62</v>
      </c>
      <c r="B24" s="554">
        <f t="shared" si="1"/>
        <v>68000</v>
      </c>
      <c r="C24" s="507">
        <f>'FRC-Spring24-Q2Ans'!$C$34</f>
        <v>15</v>
      </c>
      <c r="D24" s="555">
        <f t="shared" si="2"/>
        <v>28</v>
      </c>
      <c r="E24" s="507">
        <f t="shared" si="3"/>
        <v>0.94</v>
      </c>
      <c r="F24" s="558">
        <f t="shared" si="4"/>
        <v>19176</v>
      </c>
      <c r="G24" s="574">
        <f>'FRC-Spring24-Q2Ans'!C191</f>
        <v>14.681990760584304</v>
      </c>
      <c r="H24" s="553">
        <f t="shared" si="5"/>
        <v>281541.8548249646</v>
      </c>
      <c r="I24" s="574">
        <f>'FRC-Spring24-Q2Ans'!D191</f>
        <v>9.2717222966171331</v>
      </c>
      <c r="J24" s="553">
        <f t="shared" si="6"/>
        <v>177794.54675993015</v>
      </c>
      <c r="Q24" s="555">
        <f t="shared" si="0"/>
        <v>59</v>
      </c>
      <c r="R24" s="554">
        <f>R23*(1+'FRC-Spring24-Q2Ans'!$C$46)</f>
        <v>111018.32136887583</v>
      </c>
    </row>
    <row r="25" spans="1:18" outlineLevel="1">
      <c r="A25" s="555">
        <f t="shared" si="7"/>
        <v>63</v>
      </c>
      <c r="B25" s="554">
        <f t="shared" si="1"/>
        <v>68000</v>
      </c>
      <c r="C25" s="507">
        <f>'FRC-Spring24-Q2Ans'!$C$34</f>
        <v>15</v>
      </c>
      <c r="D25" s="555">
        <f t="shared" si="2"/>
        <v>29</v>
      </c>
      <c r="E25" s="507">
        <f t="shared" si="3"/>
        <v>0.97</v>
      </c>
      <c r="F25" s="558">
        <f t="shared" si="4"/>
        <v>19788</v>
      </c>
      <c r="G25" s="574">
        <f>'FRC-Spring24-Q2Ans'!C192</f>
        <v>14.010824108949006</v>
      </c>
      <c r="H25" s="553">
        <f t="shared" si="5"/>
        <v>277246.18746788293</v>
      </c>
      <c r="I25" s="574">
        <f>'FRC-Spring24-Q2Ans'!D192</f>
        <v>8.7358162562845507</v>
      </c>
      <c r="J25" s="553">
        <f t="shared" si="6"/>
        <v>172864.33207935869</v>
      </c>
      <c r="Q25" s="555">
        <f t="shared" si="0"/>
        <v>60</v>
      </c>
      <c r="R25" s="554">
        <f>R24*(1+'FRC-Spring24-Q2Ans'!$C$46)</f>
        <v>115459.05422363087</v>
      </c>
    </row>
    <row r="26" spans="1:18" outlineLevel="1">
      <c r="A26" s="555">
        <f t="shared" si="7"/>
        <v>64</v>
      </c>
      <c r="B26" s="554">
        <f t="shared" si="1"/>
        <v>68000</v>
      </c>
      <c r="C26" s="507">
        <f>'FRC-Spring24-Q2Ans'!$C$34</f>
        <v>15</v>
      </c>
      <c r="D26" s="555">
        <f t="shared" si="2"/>
        <v>30</v>
      </c>
      <c r="E26" s="507">
        <f t="shared" si="3"/>
        <v>1</v>
      </c>
      <c r="F26" s="558">
        <f t="shared" si="4"/>
        <v>20400</v>
      </c>
      <c r="G26" s="574">
        <f>'FRC-Spring24-Q2Ans'!C193</f>
        <v>13.355630961796692</v>
      </c>
      <c r="H26" s="553">
        <f t="shared" si="5"/>
        <v>272454.8716206525</v>
      </c>
      <c r="I26" s="574">
        <f>'FRC-Spring24-Q2Ans'!D193</f>
        <v>8.2222196274561608</v>
      </c>
      <c r="J26" s="553">
        <f t="shared" si="6"/>
        <v>167733.28040010569</v>
      </c>
      <c r="Q26" s="555">
        <f t="shared" si="0"/>
        <v>61</v>
      </c>
      <c r="R26" s="554">
        <f>R25*(1+'FRC-Spring24-Q2Ans'!$C$46)</f>
        <v>120077.41639257611</v>
      </c>
    </row>
    <row r="27" spans="1:18" outlineLevel="1">
      <c r="A27" s="555">
        <f t="shared" si="7"/>
        <v>65</v>
      </c>
      <c r="B27" s="554">
        <f t="shared" si="1"/>
        <v>68000</v>
      </c>
      <c r="C27" s="507">
        <f>'FRC-Spring24-Q2Ans'!$C$34</f>
        <v>15</v>
      </c>
      <c r="D27" s="555">
        <f t="shared" si="2"/>
        <v>31</v>
      </c>
      <c r="E27" s="507">
        <f t="shared" si="3"/>
        <v>1</v>
      </c>
      <c r="F27" s="558">
        <f t="shared" si="4"/>
        <v>20400</v>
      </c>
      <c r="G27" s="574">
        <f>'FRC-Spring24-Q2Ans'!C194</f>
        <v>12.716395486388292</v>
      </c>
      <c r="H27" s="553">
        <f t="shared" si="5"/>
        <v>259414.46792232114</v>
      </c>
      <c r="I27" s="574">
        <f>'FRC-Spring24-Q2Ans'!D194</f>
        <v>7.730241047131142</v>
      </c>
      <c r="J27" s="553">
        <f t="shared" si="6"/>
        <v>157696.91736147529</v>
      </c>
      <c r="Q27" s="555">
        <f t="shared" si="0"/>
        <v>62</v>
      </c>
      <c r="R27" s="554">
        <f>R26*(1+'FRC-Spring24-Q2Ans'!$C$46)</f>
        <v>124880.51304827916</v>
      </c>
    </row>
    <row r="28" spans="1:18" outlineLevel="1">
      <c r="H28" s="553"/>
      <c r="J28" s="553"/>
      <c r="Q28" s="555">
        <f t="shared" si="0"/>
        <v>63</v>
      </c>
      <c r="R28" s="554">
        <f>R27*(1+'FRC-Spring24-Q2Ans'!$C$46)</f>
        <v>129875.73357021033</v>
      </c>
    </row>
    <row r="29" spans="1:18" outlineLevel="1">
      <c r="G29" s="507" t="s">
        <v>801</v>
      </c>
      <c r="H29" s="553">
        <f>MAX(H17:H27)</f>
        <v>297763.44780262676</v>
      </c>
      <c r="J29" s="553">
        <f>MAX(J17:J27)</f>
        <v>206008.56065306146</v>
      </c>
      <c r="Q29" s="555">
        <f t="shared" si="0"/>
        <v>64</v>
      </c>
      <c r="R29" s="554">
        <f>R28*(1+'FRC-Spring24-Q2Ans'!$C$46)</f>
        <v>135070.76291301876</v>
      </c>
    </row>
    <row r="30" spans="1:18" outlineLevel="1">
      <c r="G30" s="507" t="s">
        <v>42</v>
      </c>
      <c r="H30" s="553">
        <f>H26</f>
        <v>272454.8716206525</v>
      </c>
      <c r="J30" s="553">
        <f>J26</f>
        <v>167733.28040010569</v>
      </c>
      <c r="Q30" s="555">
        <f t="shared" si="0"/>
        <v>65</v>
      </c>
      <c r="R30" s="554">
        <f>R29*(1+'FRC-Spring24-Q2Ans'!$C$46)</f>
        <v>140473.5934295395</v>
      </c>
    </row>
    <row r="31" spans="1:18" ht="12" outlineLevel="1">
      <c r="G31" s="552" t="s">
        <v>41</v>
      </c>
      <c r="H31" s="544">
        <f>AVERAGE(H29:H30)</f>
        <v>285109.15971163963</v>
      </c>
      <c r="I31" s="552"/>
      <c r="J31" s="544">
        <f>AVERAGE(J29:J30)</f>
        <v>186870.92052658356</v>
      </c>
    </row>
    <row r="32" spans="1:18" ht="12" outlineLevel="1">
      <c r="G32" s="552"/>
      <c r="H32" s="572"/>
      <c r="I32" s="552"/>
      <c r="J32" s="572"/>
    </row>
    <row r="33" spans="1:21" ht="12" outlineLevel="1">
      <c r="A33" s="551" t="s">
        <v>797</v>
      </c>
      <c r="H33" s="573"/>
      <c r="K33" s="573"/>
      <c r="M33" s="573"/>
    </row>
    <row r="34" spans="1:21" outlineLevel="1">
      <c r="K34" s="573"/>
      <c r="M34" s="573"/>
      <c r="Q34" s="542" t="s">
        <v>814</v>
      </c>
    </row>
    <row r="35" spans="1:21" outlineLevel="1">
      <c r="A35" s="507" t="s">
        <v>818</v>
      </c>
      <c r="C35" s="550">
        <v>0.05</v>
      </c>
      <c r="K35" s="573"/>
      <c r="M35" s="573"/>
      <c r="Q35" s="540" t="s">
        <v>795</v>
      </c>
      <c r="R35" s="540"/>
      <c r="T35" s="540" t="s">
        <v>794</v>
      </c>
    </row>
    <row r="36" spans="1:21" outlineLevel="1">
      <c r="K36" s="573"/>
      <c r="M36" s="573"/>
      <c r="Q36" s="562" t="s">
        <v>252</v>
      </c>
      <c r="R36" s="562" t="s">
        <v>319</v>
      </c>
      <c r="T36" s="562" t="s">
        <v>252</v>
      </c>
      <c r="U36" s="562" t="s">
        <v>319</v>
      </c>
    </row>
    <row r="37" spans="1:21" outlineLevel="1">
      <c r="A37" s="542" t="s">
        <v>790</v>
      </c>
      <c r="K37" s="573"/>
      <c r="M37" s="573"/>
      <c r="Q37" s="562"/>
      <c r="R37" s="562"/>
      <c r="T37" s="562"/>
      <c r="U37" s="562"/>
    </row>
    <row r="38" spans="1:21" outlineLevel="1">
      <c r="K38" s="573"/>
      <c r="M38" s="573"/>
      <c r="Q38" s="562"/>
      <c r="R38" s="562"/>
      <c r="T38" s="562"/>
      <c r="U38" s="562"/>
    </row>
    <row r="39" spans="1:21" ht="12" outlineLevel="1">
      <c r="A39" s="578" t="s">
        <v>795</v>
      </c>
      <c r="I39" s="1828" t="s">
        <v>757</v>
      </c>
      <c r="J39" s="1828"/>
      <c r="K39" s="1828"/>
      <c r="L39" s="1828" t="s">
        <v>107</v>
      </c>
      <c r="M39" s="1828"/>
      <c r="N39" s="1828"/>
      <c r="R39" s="558">
        <f>R11</f>
        <v>65000</v>
      </c>
      <c r="U39" s="558">
        <f>R39</f>
        <v>65000</v>
      </c>
    </row>
    <row r="40" spans="1:21" ht="12" outlineLevel="1">
      <c r="A40" s="540" t="s">
        <v>806</v>
      </c>
      <c r="B40" s="540" t="s">
        <v>813</v>
      </c>
      <c r="C40" s="540" t="s">
        <v>812</v>
      </c>
      <c r="D40" s="540" t="s">
        <v>805</v>
      </c>
      <c r="E40" s="540" t="s">
        <v>320</v>
      </c>
      <c r="F40" s="540" t="s">
        <v>811</v>
      </c>
      <c r="G40" s="540" t="s">
        <v>810</v>
      </c>
      <c r="H40" s="540" t="s">
        <v>809</v>
      </c>
      <c r="I40" s="540" t="s">
        <v>94</v>
      </c>
      <c r="J40" s="539" t="s">
        <v>788</v>
      </c>
      <c r="K40" s="539" t="s">
        <v>808</v>
      </c>
      <c r="L40" s="540" t="s">
        <v>94</v>
      </c>
      <c r="M40" s="539" t="s">
        <v>788</v>
      </c>
      <c r="N40" s="539" t="s">
        <v>808</v>
      </c>
      <c r="R40" s="558">
        <f>R12</f>
        <v>67000</v>
      </c>
      <c r="U40" s="558">
        <f>R40</f>
        <v>67000</v>
      </c>
    </row>
    <row r="41" spans="1:21" outlineLevel="1">
      <c r="A41" s="540">
        <v>64</v>
      </c>
      <c r="B41" s="540" t="s">
        <v>807</v>
      </c>
      <c r="C41" s="507">
        <f>A41-$Q$43</f>
        <v>14</v>
      </c>
      <c r="D41" s="548">
        <f>AVERAGE(R53:R57)</f>
        <v>126275.31810675022</v>
      </c>
      <c r="E41" s="577">
        <f>'FRC-Spring24-Q2Ans'!$C$34+1</f>
        <v>16</v>
      </c>
      <c r="F41" s="548">
        <f>2%*E41*D41</f>
        <v>40408.101794160073</v>
      </c>
      <c r="G41" s="568">
        <f>(1+'FRC-Spring24-Q2Ans'!$C$44)^-C41</f>
        <v>0.50506795299551888</v>
      </c>
      <c r="H41" s="576">
        <f>'FRC-Spring24-Q2Ans'!$D$51</f>
        <v>0.5</v>
      </c>
      <c r="I41" s="566">
        <f>$I$10</f>
        <v>16.529733475817888</v>
      </c>
      <c r="J41" s="548">
        <f>H41*I41*F41*G41</f>
        <v>168676.32020982582</v>
      </c>
      <c r="K41" s="548">
        <f>J41/E41</f>
        <v>10542.270013114114</v>
      </c>
      <c r="L41" s="557">
        <f>$L$10</f>
        <v>13.487211414709467</v>
      </c>
      <c r="M41" s="564">
        <f>H41*L41*F41*G41</f>
        <v>137629.15141089936</v>
      </c>
      <c r="N41" s="575">
        <f>M41/E41</f>
        <v>8601.8219631812099</v>
      </c>
      <c r="R41" s="558">
        <f>R13</f>
        <v>70000</v>
      </c>
      <c r="U41" s="558">
        <f>R41</f>
        <v>70000</v>
      </c>
    </row>
    <row r="42" spans="1:21" outlineLevel="1">
      <c r="A42" s="542">
        <v>65</v>
      </c>
      <c r="B42" s="541" t="s">
        <v>807</v>
      </c>
      <c r="C42" s="542">
        <f>A42-$Q$43</f>
        <v>15</v>
      </c>
      <c r="D42" s="565">
        <f>AVERAGE(R54:R58)</f>
        <v>131326.3308310202</v>
      </c>
      <c r="E42" s="570">
        <f>'FRC-Spring24-Q2Ans'!$C$34+1</f>
        <v>16</v>
      </c>
      <c r="F42" s="565">
        <f>2%*E42*D42</f>
        <v>42024.425865926467</v>
      </c>
      <c r="G42" s="568">
        <f>(1+'FRC-Spring24-Q2Ans'!$C$44)^-C42</f>
        <v>0.48101709809097021</v>
      </c>
      <c r="H42" s="567">
        <f>(1-H41)*'FRC-Spring24-Q2Ans'!$D$52</f>
        <v>0.5</v>
      </c>
      <c r="I42" s="566">
        <f>$I$11</f>
        <v>16.091863980080912</v>
      </c>
      <c r="J42" s="565">
        <f>H42*I42*F42*G42</f>
        <v>162644.2297460603</v>
      </c>
      <c r="K42" s="565">
        <f>J42/E42</f>
        <v>10165.264359128769</v>
      </c>
      <c r="L42" s="557">
        <f>$L$11</f>
        <v>13.205265663923768</v>
      </c>
      <c r="M42" s="564">
        <f>H42*L42*F42*G42</f>
        <v>133468.70599699041</v>
      </c>
      <c r="N42" s="563">
        <f>M42/E42</f>
        <v>8341.7941248119005</v>
      </c>
      <c r="R42" s="558">
        <f>R14</f>
        <v>75000</v>
      </c>
      <c r="U42" s="558">
        <f>R42</f>
        <v>75000</v>
      </c>
    </row>
    <row r="43" spans="1:21" ht="12" outlineLevel="1">
      <c r="F43" s="553"/>
      <c r="J43" s="544">
        <f>SUM(J41:J42)</f>
        <v>331320.54995588609</v>
      </c>
      <c r="K43" s="544">
        <f>SUM(K41:K42)</f>
        <v>20707.534372242881</v>
      </c>
      <c r="M43" s="561">
        <f>SUM(M41:M42)</f>
        <v>271097.85740788979</v>
      </c>
      <c r="N43" s="561">
        <f>SUM(N41:N42)</f>
        <v>16943.616087993112</v>
      </c>
      <c r="Q43" s="560">
        <f>Q14+1</f>
        <v>50</v>
      </c>
      <c r="R43" s="559">
        <f>R14*(1+$C$35)</f>
        <v>78750</v>
      </c>
      <c r="T43" s="560">
        <f t="shared" ref="T43:T58" si="8">Q43</f>
        <v>50</v>
      </c>
      <c r="U43" s="559">
        <f>U42*(1+'FRC-Spring24-Q2Ans'!$C$46)</f>
        <v>78000</v>
      </c>
    </row>
    <row r="44" spans="1:21" outlineLevel="1">
      <c r="A44" s="578" t="s">
        <v>794</v>
      </c>
      <c r="F44" s="553"/>
      <c r="Q44" s="555">
        <f t="shared" ref="Q44:Q58" si="9">Q43+1</f>
        <v>51</v>
      </c>
      <c r="R44" s="554">
        <f>R43*(1+'FRC-Spring24-Q2Ans'!$C$46)</f>
        <v>81900</v>
      </c>
      <c r="T44" s="555">
        <f t="shared" si="8"/>
        <v>51</v>
      </c>
      <c r="U44" s="554">
        <f>U43*(1+'FRC-Spring24-Q2Ans'!$C$46)</f>
        <v>81120</v>
      </c>
    </row>
    <row r="45" spans="1:21" ht="12" outlineLevel="1">
      <c r="F45" s="553"/>
      <c r="I45" s="1828" t="s">
        <v>757</v>
      </c>
      <c r="J45" s="1828"/>
      <c r="K45" s="1828"/>
      <c r="L45" s="1828" t="s">
        <v>107</v>
      </c>
      <c r="M45" s="1828"/>
      <c r="N45" s="1828"/>
      <c r="Q45" s="555">
        <f t="shared" si="9"/>
        <v>52</v>
      </c>
      <c r="R45" s="554">
        <f>R44*(1+'FRC-Spring24-Q2Ans'!$C$46)</f>
        <v>85176</v>
      </c>
      <c r="T45" s="555">
        <f t="shared" si="8"/>
        <v>52</v>
      </c>
      <c r="U45" s="554">
        <f>U44*(1+'FRC-Spring24-Q2Ans'!$C$46)</f>
        <v>84364.800000000003</v>
      </c>
    </row>
    <row r="46" spans="1:21" ht="12" outlineLevel="1">
      <c r="A46" s="540" t="s">
        <v>806</v>
      </c>
      <c r="B46" s="540" t="s">
        <v>813</v>
      </c>
      <c r="C46" s="540" t="s">
        <v>812</v>
      </c>
      <c r="D46" s="540" t="s">
        <v>805</v>
      </c>
      <c r="E46" s="540" t="s">
        <v>320</v>
      </c>
      <c r="F46" s="548" t="s">
        <v>811</v>
      </c>
      <c r="G46" s="540" t="s">
        <v>810</v>
      </c>
      <c r="H46" s="540" t="s">
        <v>809</v>
      </c>
      <c r="I46" s="540" t="s">
        <v>94</v>
      </c>
      <c r="J46" s="539" t="s">
        <v>788</v>
      </c>
      <c r="K46" s="539" t="s">
        <v>808</v>
      </c>
      <c r="L46" s="540" t="s">
        <v>94</v>
      </c>
      <c r="M46" s="539" t="s">
        <v>788</v>
      </c>
      <c r="N46" s="539" t="s">
        <v>808</v>
      </c>
      <c r="Q46" s="555">
        <f t="shared" si="9"/>
        <v>53</v>
      </c>
      <c r="R46" s="554">
        <f>R45*(1+'FRC-Spring24-Q2Ans'!$C$46)</f>
        <v>88583.040000000008</v>
      </c>
      <c r="T46" s="555">
        <f t="shared" si="8"/>
        <v>53</v>
      </c>
      <c r="U46" s="554">
        <f>U45*(1+'FRC-Spring24-Q2Ans'!$C$46)</f>
        <v>87739.392000000007</v>
      </c>
    </row>
    <row r="47" spans="1:21" outlineLevel="1">
      <c r="A47" s="540">
        <v>64</v>
      </c>
      <c r="B47" s="540" t="s">
        <v>807</v>
      </c>
      <c r="C47" s="507">
        <f>A47-$Q$43</f>
        <v>14</v>
      </c>
      <c r="D47" s="548">
        <f>AVERAGE(U53:U57)</f>
        <v>125072.69602954303</v>
      </c>
      <c r="E47" s="577">
        <f>'FRC-Spring24-Q2Ans'!$C$34+1</f>
        <v>16</v>
      </c>
      <c r="F47" s="548">
        <f>2%*E47*D47</f>
        <v>40023.262729453774</v>
      </c>
      <c r="G47" s="568">
        <f>(1+'FRC-Spring24-Q2Ans'!$C$44)^-C47</f>
        <v>0.50506795299551888</v>
      </c>
      <c r="H47" s="576">
        <f>'FRC-Spring24-Q2Ans'!$D$51</f>
        <v>0.5</v>
      </c>
      <c r="I47" s="566">
        <f>$I$10</f>
        <v>16.529733475817888</v>
      </c>
      <c r="J47" s="548">
        <f>H47*I47*F47*G47</f>
        <v>167069.87906497027</v>
      </c>
      <c r="K47" s="548">
        <f>J47/E47</f>
        <v>10441.867441560642</v>
      </c>
      <c r="L47" s="557">
        <f>$L$10</f>
        <v>13.487211414709467</v>
      </c>
      <c r="M47" s="564">
        <f>H47*L47*F47*G47</f>
        <v>136318.39758793835</v>
      </c>
      <c r="N47" s="575">
        <f>M47/E47</f>
        <v>8519.8998492461469</v>
      </c>
      <c r="Q47" s="555">
        <f t="shared" si="9"/>
        <v>54</v>
      </c>
      <c r="R47" s="554">
        <f>R46*(1+'FRC-Spring24-Q2Ans'!$C$46)</f>
        <v>92126.361600000018</v>
      </c>
      <c r="T47" s="555">
        <f t="shared" si="8"/>
        <v>54</v>
      </c>
      <c r="U47" s="554">
        <f>U46*(1+'FRC-Spring24-Q2Ans'!$C$46)</f>
        <v>91248.967680000016</v>
      </c>
    </row>
    <row r="48" spans="1:21" outlineLevel="1">
      <c r="A48" s="542">
        <v>65</v>
      </c>
      <c r="B48" s="541" t="s">
        <v>807</v>
      </c>
      <c r="C48" s="542">
        <f>A48-$Q$43</f>
        <v>15</v>
      </c>
      <c r="D48" s="565">
        <f>AVERAGE(U54:U58)</f>
        <v>130075.60387072476</v>
      </c>
      <c r="E48" s="570">
        <f>'FRC-Spring24-Q2Ans'!$C$34+1</f>
        <v>16</v>
      </c>
      <c r="F48" s="565">
        <f>2%*E48*D48</f>
        <v>41624.193238631924</v>
      </c>
      <c r="G48" s="568">
        <f>(1+'FRC-Spring24-Q2Ans'!$C$44)^-C48</f>
        <v>0.48101709809097021</v>
      </c>
      <c r="H48" s="567">
        <f>(1-H47)*'FRC-Spring24-Q2Ans'!$D$52</f>
        <v>0.5</v>
      </c>
      <c r="I48" s="566">
        <f>$I$11</f>
        <v>16.091863980080912</v>
      </c>
      <c r="J48" s="565">
        <f>H48*I48*F48*G48</f>
        <v>161095.23708181208</v>
      </c>
      <c r="K48" s="565">
        <f>J48/E48</f>
        <v>10068.452317613255</v>
      </c>
      <c r="L48" s="557">
        <f>$L$11</f>
        <v>13.205265663923768</v>
      </c>
      <c r="M48" s="564">
        <f>H48*L48*F48*G48</f>
        <v>132197.5754636857</v>
      </c>
      <c r="N48" s="563">
        <f>M48/E48</f>
        <v>8262.3484664803564</v>
      </c>
      <c r="Q48" s="555">
        <f t="shared" si="9"/>
        <v>55</v>
      </c>
      <c r="R48" s="554">
        <f>R47*(1+'FRC-Spring24-Q2Ans'!$C$46)</f>
        <v>95811.416064000019</v>
      </c>
      <c r="T48" s="555">
        <f t="shared" si="8"/>
        <v>55</v>
      </c>
      <c r="U48" s="554">
        <f>U47*(1+'FRC-Spring24-Q2Ans'!$C$46)</f>
        <v>94898.926387200016</v>
      </c>
    </row>
    <row r="49" spans="1:21" ht="12" outlineLevel="1">
      <c r="J49" s="544">
        <f>SUM(J47:J48)</f>
        <v>328165.11614678235</v>
      </c>
      <c r="K49" s="544">
        <f>SUM(K47:K48)</f>
        <v>20510.319759173897</v>
      </c>
      <c r="M49" s="561">
        <f>SUM(M47:M48)</f>
        <v>268515.97305162402</v>
      </c>
      <c r="N49" s="561">
        <f>SUM(N47:N48)</f>
        <v>16782.248315726501</v>
      </c>
      <c r="Q49" s="555">
        <f t="shared" si="9"/>
        <v>56</v>
      </c>
      <c r="R49" s="554">
        <f>R48*(1+'FRC-Spring24-Q2Ans'!$C$46)</f>
        <v>99643.872706560025</v>
      </c>
      <c r="T49" s="555">
        <f t="shared" si="8"/>
        <v>56</v>
      </c>
      <c r="U49" s="554">
        <f>U48*(1+'FRC-Spring24-Q2Ans'!$C$46)</f>
        <v>98694.88344268802</v>
      </c>
    </row>
    <row r="50" spans="1:21" outlineLevel="1">
      <c r="K50" s="573"/>
      <c r="M50" s="573"/>
      <c r="Q50" s="555">
        <f t="shared" si="9"/>
        <v>57</v>
      </c>
      <c r="R50" s="554">
        <f>R49*(1+'FRC-Spring24-Q2Ans'!$C$46)</f>
        <v>103629.62761482243</v>
      </c>
      <c r="T50" s="555">
        <f t="shared" si="8"/>
        <v>57</v>
      </c>
      <c r="U50" s="554">
        <f>U49*(1+'FRC-Spring24-Q2Ans'!$C$46)</f>
        <v>102642.67878039554</v>
      </c>
    </row>
    <row r="51" spans="1:21" outlineLevel="1">
      <c r="J51" s="573"/>
      <c r="K51" s="573"/>
      <c r="M51" s="573"/>
      <c r="Q51" s="555">
        <f t="shared" si="9"/>
        <v>58</v>
      </c>
      <c r="R51" s="554">
        <f>R50*(1+'FRC-Spring24-Q2Ans'!$C$46)</f>
        <v>107774.81271941533</v>
      </c>
      <c r="T51" s="555">
        <f t="shared" si="8"/>
        <v>58</v>
      </c>
      <c r="U51" s="554">
        <f>U50*(1+'FRC-Spring24-Q2Ans'!$C$46)</f>
        <v>106748.38593161137</v>
      </c>
    </row>
    <row r="52" spans="1:21" outlineLevel="1">
      <c r="A52" s="542" t="s">
        <v>789</v>
      </c>
      <c r="K52" s="573"/>
      <c r="M52" s="573"/>
      <c r="Q52" s="555">
        <f t="shared" si="9"/>
        <v>59</v>
      </c>
      <c r="R52" s="554">
        <f>R51*(1+'FRC-Spring24-Q2Ans'!$C$46)</f>
        <v>112085.80522819195</v>
      </c>
      <c r="T52" s="555">
        <f t="shared" si="8"/>
        <v>59</v>
      </c>
      <c r="U52" s="554">
        <f>U51*(1+'FRC-Spring24-Q2Ans'!$C$46)</f>
        <v>111018.32136887583</v>
      </c>
    </row>
    <row r="53" spans="1:21" ht="12" outlineLevel="1">
      <c r="G53" s="1828" t="s">
        <v>757</v>
      </c>
      <c r="H53" s="1828"/>
      <c r="I53" s="1828" t="s">
        <v>756</v>
      </c>
      <c r="J53" s="1828"/>
      <c r="K53" s="573"/>
      <c r="M53" s="573"/>
      <c r="Q53" s="555">
        <f t="shared" si="9"/>
        <v>60</v>
      </c>
      <c r="R53" s="554">
        <f>R52*(1+'FRC-Spring24-Q2Ans'!$C$46)</f>
        <v>116569.23743731964</v>
      </c>
      <c r="T53" s="555">
        <f t="shared" si="8"/>
        <v>60</v>
      </c>
      <c r="U53" s="554">
        <f>U52*(1+'FRC-Spring24-Q2Ans'!$C$46)</f>
        <v>115459.05422363087</v>
      </c>
    </row>
    <row r="54" spans="1:21" ht="12" outlineLevel="1">
      <c r="A54" s="540" t="s">
        <v>806</v>
      </c>
      <c r="B54" s="540" t="s">
        <v>805</v>
      </c>
      <c r="C54" s="540" t="s">
        <v>804</v>
      </c>
      <c r="D54" s="540" t="s">
        <v>803</v>
      </c>
      <c r="E54" s="540" t="s">
        <v>63</v>
      </c>
      <c r="F54" s="540" t="s">
        <v>802</v>
      </c>
      <c r="G54" s="540" t="s">
        <v>94</v>
      </c>
      <c r="H54" s="539" t="s">
        <v>788</v>
      </c>
      <c r="I54" s="540" t="s">
        <v>94</v>
      </c>
      <c r="J54" s="539" t="s">
        <v>788</v>
      </c>
      <c r="K54" s="573"/>
      <c r="M54" s="573"/>
      <c r="Q54" s="555">
        <f t="shared" si="9"/>
        <v>61</v>
      </c>
      <c r="R54" s="554">
        <f>R53*(1+'FRC-Spring24-Q2Ans'!$C$46)</f>
        <v>121232.00693481242</v>
      </c>
      <c r="T54" s="555">
        <f t="shared" si="8"/>
        <v>61</v>
      </c>
      <c r="U54" s="554">
        <f>U53*(1+'FRC-Spring24-Q2Ans'!$C$46)</f>
        <v>120077.41639257611</v>
      </c>
    </row>
    <row r="55" spans="1:21" outlineLevel="1">
      <c r="A55" s="555">
        <v>55</v>
      </c>
      <c r="B55" s="554">
        <f>AVERAGE(R39:R43)</f>
        <v>71150</v>
      </c>
      <c r="C55" s="507">
        <f>'FRC-Spring24-Q2Ans'!$C$34+1</f>
        <v>16</v>
      </c>
      <c r="D55" s="555">
        <f t="shared" ref="D55:D65" si="10">A55-$Q$43+C55</f>
        <v>21</v>
      </c>
      <c r="E55" s="507">
        <f t="shared" ref="E55:E65" si="11">MIN(1-($D$26-D55)*3%,1)</f>
        <v>0.73</v>
      </c>
      <c r="F55" s="558">
        <f t="shared" ref="F55:F65" si="12">2%*B55*C55*E55</f>
        <v>16620.64</v>
      </c>
      <c r="G55" s="574">
        <f>'FRC-Spring24-Q2Ans'!E184</f>
        <v>20.410413852837273</v>
      </c>
      <c r="H55" s="553">
        <f t="shared" ref="H55:H65" si="13">F55*G55</f>
        <v>339234.14089902129</v>
      </c>
      <c r="I55" s="574">
        <f>'FRC-Spring24-Q2Ans'!F184</f>
        <v>14.387684765584229</v>
      </c>
      <c r="J55" s="553">
        <f t="shared" ref="J55:J65" si="14">F55*I55</f>
        <v>239132.52892225987</v>
      </c>
      <c r="K55" s="573"/>
      <c r="M55" s="573"/>
      <c r="Q55" s="555">
        <f t="shared" si="9"/>
        <v>62</v>
      </c>
      <c r="R55" s="554">
        <f>R54*(1+'FRC-Spring24-Q2Ans'!$C$46)</f>
        <v>126081.28721220493</v>
      </c>
      <c r="T55" s="555">
        <f t="shared" si="8"/>
        <v>62</v>
      </c>
      <c r="U55" s="554">
        <f>U54*(1+'FRC-Spring24-Q2Ans'!$C$46)</f>
        <v>124880.51304827916</v>
      </c>
    </row>
    <row r="56" spans="1:21" outlineLevel="1">
      <c r="A56" s="555">
        <f t="shared" ref="A56:A65" si="15">A55+1</f>
        <v>56</v>
      </c>
      <c r="B56" s="554">
        <f t="shared" ref="B56:B65" si="16">B55</f>
        <v>71150</v>
      </c>
      <c r="C56" s="507">
        <f>'FRC-Spring24-Q2Ans'!$C$34+1</f>
        <v>16</v>
      </c>
      <c r="D56" s="555">
        <f t="shared" si="10"/>
        <v>22</v>
      </c>
      <c r="E56" s="507">
        <f t="shared" si="11"/>
        <v>0.76</v>
      </c>
      <c r="F56" s="558">
        <f t="shared" si="12"/>
        <v>17303.68</v>
      </c>
      <c r="G56" s="574">
        <f>'FRC-Spring24-Q2Ans'!E185</f>
        <v>19.595172042320197</v>
      </c>
      <c r="H56" s="553">
        <f t="shared" si="13"/>
        <v>339068.58656525513</v>
      </c>
      <c r="I56" s="574">
        <f>'FRC-Spring24-Q2Ans'!F185</f>
        <v>13.633770516166727</v>
      </c>
      <c r="J56" s="553">
        <f t="shared" si="14"/>
        <v>235914.40220518387</v>
      </c>
      <c r="K56" s="573"/>
      <c r="M56" s="573"/>
      <c r="Q56" s="555">
        <f t="shared" si="9"/>
        <v>63</v>
      </c>
      <c r="R56" s="554">
        <f>R55*(1+'FRC-Spring24-Q2Ans'!$C$46)</f>
        <v>131124.53870069314</v>
      </c>
      <c r="T56" s="555">
        <f t="shared" si="8"/>
        <v>63</v>
      </c>
      <c r="U56" s="554">
        <f>U55*(1+'FRC-Spring24-Q2Ans'!$C$46)</f>
        <v>129875.73357021033</v>
      </c>
    </row>
    <row r="57" spans="1:21" outlineLevel="1">
      <c r="A57" s="555">
        <f t="shared" si="15"/>
        <v>57</v>
      </c>
      <c r="B57" s="554">
        <f t="shared" si="16"/>
        <v>71150</v>
      </c>
      <c r="C57" s="507">
        <f>'FRC-Spring24-Q2Ans'!$C$34+1</f>
        <v>16</v>
      </c>
      <c r="D57" s="555">
        <f t="shared" si="10"/>
        <v>23</v>
      </c>
      <c r="E57" s="507">
        <f t="shared" si="11"/>
        <v>0.79</v>
      </c>
      <c r="F57" s="558">
        <f t="shared" si="12"/>
        <v>17986.72</v>
      </c>
      <c r="G57" s="574">
        <f>'FRC-Spring24-Q2Ans'!E186</f>
        <v>18.801591602606727</v>
      </c>
      <c r="H57" s="553">
        <f t="shared" si="13"/>
        <v>338178.96371043852</v>
      </c>
      <c r="I57" s="574">
        <f>'FRC-Spring24-Q2Ans'!F186</f>
        <v>12.912417912529969</v>
      </c>
      <c r="J57" s="553">
        <f t="shared" si="14"/>
        <v>232252.04551566107</v>
      </c>
      <c r="K57" s="573"/>
      <c r="M57" s="573"/>
      <c r="Q57" s="555">
        <f t="shared" si="9"/>
        <v>64</v>
      </c>
      <c r="R57" s="554">
        <f>R56*(1+'FRC-Spring24-Q2Ans'!$C$46)</f>
        <v>136369.52024872086</v>
      </c>
      <c r="T57" s="555">
        <f t="shared" si="8"/>
        <v>64</v>
      </c>
      <c r="U57" s="554">
        <f>U56*(1+'FRC-Spring24-Q2Ans'!$C$46)</f>
        <v>135070.76291301876</v>
      </c>
    </row>
    <row r="58" spans="1:21" outlineLevel="1">
      <c r="A58" s="555">
        <f t="shared" si="15"/>
        <v>58</v>
      </c>
      <c r="B58" s="554">
        <f t="shared" si="16"/>
        <v>71150</v>
      </c>
      <c r="C58" s="507">
        <f>'FRC-Spring24-Q2Ans'!$C$34+1</f>
        <v>16</v>
      </c>
      <c r="D58" s="555">
        <f t="shared" si="10"/>
        <v>24</v>
      </c>
      <c r="E58" s="507">
        <f t="shared" si="11"/>
        <v>0.82000000000000006</v>
      </c>
      <c r="F58" s="558">
        <f t="shared" si="12"/>
        <v>18669.760000000002</v>
      </c>
      <c r="G58" s="574">
        <f>'FRC-Spring24-Q2Ans'!E187</f>
        <v>18.029025916623009</v>
      </c>
      <c r="H58" s="553">
        <f t="shared" si="13"/>
        <v>336597.58689713164</v>
      </c>
      <c r="I58" s="574">
        <f>'FRC-Spring24-Q2Ans'!F187</f>
        <v>12.222202063508929</v>
      </c>
      <c r="J58" s="553">
        <f t="shared" si="14"/>
        <v>228185.57919721649</v>
      </c>
      <c r="K58" s="573"/>
      <c r="M58" s="573"/>
      <c r="Q58" s="555">
        <f t="shared" si="9"/>
        <v>65</v>
      </c>
      <c r="R58" s="554">
        <f>R57*(1+'FRC-Spring24-Q2Ans'!$C$46)</f>
        <v>141824.30105866969</v>
      </c>
      <c r="T58" s="555">
        <f t="shared" si="8"/>
        <v>65</v>
      </c>
      <c r="U58" s="554">
        <f>U57*(1+'FRC-Spring24-Q2Ans'!$C$46)</f>
        <v>140473.5934295395</v>
      </c>
    </row>
    <row r="59" spans="1:21" outlineLevel="1">
      <c r="A59" s="555">
        <f t="shared" si="15"/>
        <v>59</v>
      </c>
      <c r="B59" s="554">
        <f t="shared" si="16"/>
        <v>71150</v>
      </c>
      <c r="C59" s="507">
        <f>'FRC-Spring24-Q2Ans'!$C$34+1</f>
        <v>16</v>
      </c>
      <c r="D59" s="555">
        <f t="shared" si="10"/>
        <v>25</v>
      </c>
      <c r="E59" s="507">
        <f t="shared" si="11"/>
        <v>0.85</v>
      </c>
      <c r="F59" s="558">
        <f t="shared" si="12"/>
        <v>19352.8</v>
      </c>
      <c r="G59" s="574">
        <f>'FRC-Spring24-Q2Ans'!E188</f>
        <v>17.276690532989882</v>
      </c>
      <c r="H59" s="553">
        <f t="shared" si="13"/>
        <v>334352.33654684655</v>
      </c>
      <c r="I59" s="574">
        <f>'FRC-Spring24-Q2Ans'!F188</f>
        <v>11.561671460080543</v>
      </c>
      <c r="J59" s="553">
        <f t="shared" si="14"/>
        <v>223750.71543264671</v>
      </c>
      <c r="K59" s="573"/>
      <c r="M59" s="573"/>
      <c r="O59" s="555"/>
      <c r="P59" s="554"/>
    </row>
    <row r="60" spans="1:21" outlineLevel="1">
      <c r="A60" s="555">
        <f t="shared" si="15"/>
        <v>60</v>
      </c>
      <c r="B60" s="554">
        <f t="shared" si="16"/>
        <v>71150</v>
      </c>
      <c r="C60" s="507">
        <f>'FRC-Spring24-Q2Ans'!$C$34+1</f>
        <v>16</v>
      </c>
      <c r="D60" s="555">
        <f t="shared" si="10"/>
        <v>26</v>
      </c>
      <c r="E60" s="507">
        <f t="shared" si="11"/>
        <v>0.88</v>
      </c>
      <c r="F60" s="558">
        <f t="shared" si="12"/>
        <v>20035.84</v>
      </c>
      <c r="G60" s="574">
        <f>'FRC-Spring24-Q2Ans'!E189</f>
        <v>16.403891510131277</v>
      </c>
      <c r="H60" s="553">
        <f t="shared" si="13"/>
        <v>328665.74567434867</v>
      </c>
      <c r="I60" s="574">
        <f>'FRC-Spring24-Q2Ans'!F189</f>
        <v>10.828784587297935</v>
      </c>
      <c r="J60" s="553">
        <f t="shared" si="14"/>
        <v>216963.79538556747</v>
      </c>
      <c r="K60" s="573"/>
      <c r="M60" s="573"/>
      <c r="O60" s="555"/>
      <c r="P60" s="554"/>
    </row>
    <row r="61" spans="1:21" outlineLevel="1">
      <c r="A61" s="555">
        <f t="shared" si="15"/>
        <v>61</v>
      </c>
      <c r="B61" s="554">
        <f t="shared" si="16"/>
        <v>71150</v>
      </c>
      <c r="C61" s="507">
        <f>'FRC-Spring24-Q2Ans'!$C$34+1</f>
        <v>16</v>
      </c>
      <c r="D61" s="555">
        <f t="shared" si="10"/>
        <v>27</v>
      </c>
      <c r="E61" s="507">
        <f t="shared" si="11"/>
        <v>0.91</v>
      </c>
      <c r="F61" s="558">
        <f t="shared" si="12"/>
        <v>20718.88</v>
      </c>
      <c r="G61" s="574">
        <f>'FRC-Spring24-Q2Ans'!E190</f>
        <v>15.685028857944916</v>
      </c>
      <c r="H61" s="553">
        <f t="shared" si="13"/>
        <v>324976.23070429778</v>
      </c>
      <c r="I61" s="574">
        <f>'FRC-Spring24-Q2Ans'!F190</f>
        <v>10.222080525321077</v>
      </c>
      <c r="J61" s="553">
        <f t="shared" si="14"/>
        <v>211790.05975446437</v>
      </c>
      <c r="K61" s="573"/>
      <c r="M61" s="573"/>
      <c r="O61" s="555"/>
      <c r="P61" s="554"/>
    </row>
    <row r="62" spans="1:21" outlineLevel="1">
      <c r="A62" s="555">
        <f t="shared" si="15"/>
        <v>62</v>
      </c>
      <c r="B62" s="554">
        <f t="shared" si="16"/>
        <v>71150</v>
      </c>
      <c r="C62" s="507">
        <f>'FRC-Spring24-Q2Ans'!$C$34+1</f>
        <v>16</v>
      </c>
      <c r="D62" s="555">
        <f t="shared" si="10"/>
        <v>28</v>
      </c>
      <c r="E62" s="507">
        <f t="shared" si="11"/>
        <v>0.94</v>
      </c>
      <c r="F62" s="558">
        <f t="shared" si="12"/>
        <v>21401.919999999998</v>
      </c>
      <c r="G62" s="574">
        <f>'FRC-Spring24-Q2Ans'!E191</f>
        <v>14.983226817419624</v>
      </c>
      <c r="H62" s="553">
        <f t="shared" si="13"/>
        <v>320669.82168826938</v>
      </c>
      <c r="I62" s="574">
        <f>'FRC-Spring24-Q2Ans'!F191</f>
        <v>9.6405484370109455</v>
      </c>
      <c r="J62" s="553">
        <f t="shared" si="14"/>
        <v>206326.24640503328</v>
      </c>
      <c r="K62" s="573"/>
      <c r="M62" s="573"/>
      <c r="O62" s="555"/>
      <c r="P62" s="554"/>
    </row>
    <row r="63" spans="1:21" outlineLevel="1">
      <c r="A63" s="555">
        <f t="shared" si="15"/>
        <v>63</v>
      </c>
      <c r="B63" s="554">
        <f t="shared" si="16"/>
        <v>71150</v>
      </c>
      <c r="C63" s="507">
        <f>'FRC-Spring24-Q2Ans'!$C$34+1</f>
        <v>16</v>
      </c>
      <c r="D63" s="555">
        <f t="shared" si="10"/>
        <v>29</v>
      </c>
      <c r="E63" s="507">
        <f t="shared" si="11"/>
        <v>0.97</v>
      </c>
      <c r="F63" s="558">
        <f t="shared" si="12"/>
        <v>22084.959999999999</v>
      </c>
      <c r="G63" s="574">
        <f>'FRC-Spring24-Q2Ans'!E192</f>
        <v>14.297799812399642</v>
      </c>
      <c r="H63" s="553">
        <f t="shared" si="13"/>
        <v>315766.3369448536</v>
      </c>
      <c r="I63" s="574">
        <f>'FRC-Spring24-Q2Ans'!F192</f>
        <v>9.0830018355527429</v>
      </c>
      <c r="J63" s="553">
        <f t="shared" si="14"/>
        <v>200597.7322181089</v>
      </c>
      <c r="K63" s="573"/>
      <c r="M63" s="573"/>
      <c r="O63" s="555"/>
      <c r="P63" s="554"/>
    </row>
    <row r="64" spans="1:21" outlineLevel="1">
      <c r="A64" s="555">
        <f t="shared" si="15"/>
        <v>64</v>
      </c>
      <c r="B64" s="554">
        <f t="shared" si="16"/>
        <v>71150</v>
      </c>
      <c r="C64" s="507">
        <f>'FRC-Spring24-Q2Ans'!$C$34+1</f>
        <v>16</v>
      </c>
      <c r="D64" s="555">
        <f t="shared" si="10"/>
        <v>30</v>
      </c>
      <c r="E64" s="507">
        <f t="shared" si="11"/>
        <v>1</v>
      </c>
      <c r="F64" s="558">
        <f t="shared" si="12"/>
        <v>22768</v>
      </c>
      <c r="G64" s="574">
        <f>'FRC-Spring24-Q2Ans'!E193</f>
        <v>13.628694829930447</v>
      </c>
      <c r="H64" s="553">
        <f t="shared" si="13"/>
        <v>310298.12388785643</v>
      </c>
      <c r="I64" s="574">
        <f>'FRC-Spring24-Q2Ans'!F193</f>
        <v>8.5486732811719435</v>
      </c>
      <c r="J64" s="553">
        <f t="shared" si="14"/>
        <v>194636.1932657228</v>
      </c>
      <c r="K64" s="573"/>
      <c r="M64" s="573"/>
      <c r="O64" s="555"/>
      <c r="P64" s="554"/>
    </row>
    <row r="65" spans="1:18" outlineLevel="1">
      <c r="A65" s="555">
        <f t="shared" si="15"/>
        <v>65</v>
      </c>
      <c r="B65" s="554">
        <f t="shared" si="16"/>
        <v>71150</v>
      </c>
      <c r="C65" s="507">
        <f>'FRC-Spring24-Q2Ans'!$C$34+1</f>
        <v>16</v>
      </c>
      <c r="D65" s="555">
        <f t="shared" si="10"/>
        <v>31</v>
      </c>
      <c r="E65" s="507">
        <f t="shared" si="11"/>
        <v>1</v>
      </c>
      <c r="F65" s="558">
        <f t="shared" si="12"/>
        <v>22768</v>
      </c>
      <c r="G65" s="574">
        <f>'FRC-Spring24-Q2Ans'!E194</f>
        <v>12.975897855173629</v>
      </c>
      <c r="H65" s="553">
        <f t="shared" si="13"/>
        <v>295435.24236659321</v>
      </c>
      <c r="I65" s="574">
        <f>'FRC-Spring24-Q2Ans'!F194</f>
        <v>8.0368445641801891</v>
      </c>
      <c r="J65" s="553">
        <f t="shared" si="14"/>
        <v>182982.87703725454</v>
      </c>
      <c r="K65" s="573"/>
      <c r="M65" s="573"/>
      <c r="O65" s="555"/>
      <c r="P65" s="554"/>
    </row>
    <row r="66" spans="1:18" outlineLevel="1">
      <c r="H66" s="553"/>
      <c r="J66" s="553"/>
      <c r="K66" s="573"/>
      <c r="M66" s="573"/>
      <c r="O66" s="555"/>
      <c r="P66" s="554"/>
    </row>
    <row r="67" spans="1:18" outlineLevel="1">
      <c r="G67" s="507" t="s">
        <v>801</v>
      </c>
      <c r="H67" s="553">
        <f>MAX(H55:H65)</f>
        <v>339234.14089902129</v>
      </c>
      <c r="J67" s="553">
        <f>MAX(J55:J65)</f>
        <v>239132.52892225987</v>
      </c>
      <c r="K67" s="573"/>
      <c r="M67" s="573"/>
      <c r="O67" s="555"/>
      <c r="P67" s="554"/>
    </row>
    <row r="68" spans="1:18" outlineLevel="1">
      <c r="G68" s="507" t="s">
        <v>42</v>
      </c>
      <c r="H68" s="553">
        <f>H64</f>
        <v>310298.12388785643</v>
      </c>
      <c r="J68" s="553">
        <f>J64</f>
        <v>194636.1932657228</v>
      </c>
      <c r="K68" s="573"/>
      <c r="M68" s="573"/>
      <c r="O68" s="555"/>
      <c r="P68" s="554"/>
    </row>
    <row r="69" spans="1:18" ht="12" outlineLevel="1">
      <c r="G69" s="552" t="s">
        <v>41</v>
      </c>
      <c r="H69" s="544">
        <f>AVERAGE(H67:H68)</f>
        <v>324766.13239343883</v>
      </c>
      <c r="I69" s="552"/>
      <c r="J69" s="544">
        <f>AVERAGE(J67:J68)</f>
        <v>216884.36109399132</v>
      </c>
      <c r="K69" s="573"/>
      <c r="M69" s="573"/>
      <c r="O69" s="555"/>
      <c r="P69" s="554"/>
    </row>
    <row r="70" spans="1:18" outlineLevel="1">
      <c r="K70" s="573"/>
      <c r="M70" s="573"/>
      <c r="O70" s="555"/>
      <c r="P70" s="554"/>
    </row>
    <row r="71" spans="1:18" outlineLevel="1">
      <c r="O71" s="555"/>
      <c r="P71" s="554"/>
    </row>
    <row r="72" spans="1:18" ht="12">
      <c r="J72" s="552"/>
      <c r="K72" s="572"/>
      <c r="L72" s="552"/>
      <c r="M72" s="572"/>
      <c r="O72" s="555"/>
      <c r="P72" s="554"/>
    </row>
    <row r="73" spans="1:18" s="536" customFormat="1" ht="12">
      <c r="A73" s="486" t="s">
        <v>817</v>
      </c>
    </row>
    <row r="75" spans="1:18" ht="12">
      <c r="A75" s="551"/>
    </row>
    <row r="76" spans="1:18" ht="12" outlineLevel="1">
      <c r="A76" s="551" t="s">
        <v>816</v>
      </c>
    </row>
    <row r="77" spans="1:18" outlineLevel="1">
      <c r="A77" s="542" t="s">
        <v>790</v>
      </c>
    </row>
    <row r="78" spans="1:18" ht="12" outlineLevel="1">
      <c r="I78" s="1828" t="s">
        <v>757</v>
      </c>
      <c r="J78" s="1828"/>
      <c r="K78" s="1828"/>
      <c r="L78" s="1828" t="s">
        <v>107</v>
      </c>
      <c r="M78" s="1828"/>
      <c r="N78" s="1828"/>
      <c r="Q78" s="542" t="s">
        <v>814</v>
      </c>
    </row>
    <row r="79" spans="1:18" ht="12" outlineLevel="1">
      <c r="A79" s="540" t="s">
        <v>806</v>
      </c>
      <c r="B79" s="540" t="s">
        <v>813</v>
      </c>
      <c r="C79" s="507" t="s">
        <v>812</v>
      </c>
      <c r="D79" s="540" t="s">
        <v>805</v>
      </c>
      <c r="E79" s="540" t="s">
        <v>320</v>
      </c>
      <c r="F79" s="540" t="s">
        <v>811</v>
      </c>
      <c r="G79" s="540" t="s">
        <v>810</v>
      </c>
      <c r="H79" s="540" t="s">
        <v>809</v>
      </c>
      <c r="I79" s="540" t="s">
        <v>94</v>
      </c>
      <c r="J79" s="539" t="s">
        <v>788</v>
      </c>
      <c r="K79" s="539" t="s">
        <v>808</v>
      </c>
      <c r="L79" s="540" t="s">
        <v>94</v>
      </c>
      <c r="M79" s="539" t="s">
        <v>788</v>
      </c>
      <c r="N79" s="539" t="s">
        <v>808</v>
      </c>
    </row>
    <row r="80" spans="1:18" outlineLevel="1">
      <c r="A80" s="542">
        <v>65</v>
      </c>
      <c r="B80" s="541" t="s">
        <v>807</v>
      </c>
      <c r="C80" s="542">
        <f>A80-Q85</f>
        <v>5</v>
      </c>
      <c r="D80" s="571">
        <f>AVERAGE(R86:R90)</f>
        <v>135191.41109760001</v>
      </c>
      <c r="E80" s="570">
        <f>'FRC-Spring24-Q2Ans'!$D$34</f>
        <v>8</v>
      </c>
      <c r="F80" s="569">
        <f>2%*E80*D80</f>
        <v>21630.625775616001</v>
      </c>
      <c r="G80" s="568">
        <f>(1+'FRC-Spring24-Q2Ans'!$C$44)^-C80</f>
        <v>0.78352616646845896</v>
      </c>
      <c r="H80" s="567">
        <f>'FRC-Spring24-Q2Ans'!$D$52</f>
        <v>1</v>
      </c>
      <c r="I80" s="566">
        <f>'FRC-Spring24-Q2Ans'!E146</f>
        <v>16.091863980080912</v>
      </c>
      <c r="J80" s="565">
        <f>H80*I80*F80*G80</f>
        <v>272727.50622787816</v>
      </c>
      <c r="K80" s="565">
        <f>J80/E80</f>
        <v>34090.938278484769</v>
      </c>
      <c r="L80" s="557">
        <f>'FRC-Spring24-Q2Ans'!H146</f>
        <v>13.205265663923768</v>
      </c>
      <c r="M80" s="564">
        <f>H80*L80*F80*G80</f>
        <v>223804.97237961661</v>
      </c>
      <c r="N80" s="563">
        <f>M80/E80</f>
        <v>27975.621547452076</v>
      </c>
      <c r="Q80" s="562" t="s">
        <v>252</v>
      </c>
      <c r="R80" s="562" t="s">
        <v>319</v>
      </c>
    </row>
    <row r="81" spans="1:18" ht="12" outlineLevel="1">
      <c r="J81" s="561">
        <f>SUM(J80:J80)</f>
        <v>272727.50622787816</v>
      </c>
      <c r="K81" s="544">
        <f>SUM(K80:K80)</f>
        <v>34090.938278484769</v>
      </c>
      <c r="M81" s="561">
        <f>SUM(M80:M80)</f>
        <v>223804.97237961661</v>
      </c>
      <c r="N81" s="561">
        <f>SUM(N80:N80)</f>
        <v>27975.621547452076</v>
      </c>
      <c r="R81" s="558">
        <f>'FRC-Spring24-Q2Ans'!D29</f>
        <v>96000</v>
      </c>
    </row>
    <row r="82" spans="1:18" outlineLevel="1">
      <c r="R82" s="558">
        <f>'FRC-Spring24-Q2Ans'!D30</f>
        <v>97000</v>
      </c>
    </row>
    <row r="83" spans="1:18" outlineLevel="1">
      <c r="A83" s="542" t="s">
        <v>789</v>
      </c>
      <c r="R83" s="558">
        <f>'FRC-Spring24-Q2Ans'!D31</f>
        <v>105000</v>
      </c>
    </row>
    <row r="84" spans="1:18" outlineLevel="1">
      <c r="G84" s="1829" t="s">
        <v>757</v>
      </c>
      <c r="H84" s="1829"/>
      <c r="I84" s="1829" t="s">
        <v>756</v>
      </c>
      <c r="J84" s="1829"/>
      <c r="M84" s="573"/>
      <c r="R84" s="558">
        <f>'FRC-Spring24-Q2Ans'!D32</f>
        <v>110000</v>
      </c>
    </row>
    <row r="85" spans="1:18" outlineLevel="1">
      <c r="A85" s="555" t="s">
        <v>806</v>
      </c>
      <c r="B85" s="555" t="s">
        <v>805</v>
      </c>
      <c r="C85" s="507" t="s">
        <v>804</v>
      </c>
      <c r="D85" s="555" t="s">
        <v>803</v>
      </c>
      <c r="E85" s="507" t="s">
        <v>63</v>
      </c>
      <c r="F85" s="507" t="s">
        <v>802</v>
      </c>
      <c r="G85" s="507" t="s">
        <v>94</v>
      </c>
      <c r="H85" s="507" t="s">
        <v>788</v>
      </c>
      <c r="I85" s="507" t="s">
        <v>94</v>
      </c>
      <c r="J85" s="507" t="s">
        <v>788</v>
      </c>
      <c r="M85" s="573"/>
      <c r="Q85" s="560">
        <f>'FRC-Spring24-Q2Ans'!D28</f>
        <v>60</v>
      </c>
      <c r="R85" s="559">
        <f>'FRC-Spring24-Q2Ans'!D33</f>
        <v>120000</v>
      </c>
    </row>
    <row r="86" spans="1:18" outlineLevel="1">
      <c r="A86" s="555">
        <f>Q85</f>
        <v>60</v>
      </c>
      <c r="B86" s="554">
        <f t="shared" ref="B86:B91" si="17">AVERAGE($R$81:$R$85)</f>
        <v>105600</v>
      </c>
      <c r="C86" s="507">
        <f>'FRC-Spring24-Q2Ans'!$D$34</f>
        <v>8</v>
      </c>
      <c r="D86" s="555">
        <f t="shared" ref="D86:D91" si="18">A86-$Q$85+C86</f>
        <v>8</v>
      </c>
      <c r="E86" s="507">
        <f t="shared" ref="E86:E91" si="19">MIN(1-($A$91-A86)*3%,1)</f>
        <v>0.85</v>
      </c>
      <c r="F86" s="558">
        <f t="shared" ref="F86:F91" si="20">2%*B86*C86*E86</f>
        <v>14361.6</v>
      </c>
      <c r="G86" s="557">
        <f>'FRC-Spring24-Q2Ans'!C201</f>
        <v>20.098808188076372</v>
      </c>
      <c r="H86" s="553">
        <f t="shared" ref="H86:H91" si="21">F86*G86</f>
        <v>288651.04367387766</v>
      </c>
      <c r="I86" s="557">
        <f>'FRC-Spring24-Q2Ans'!D201</f>
        <v>15.997371483990086</v>
      </c>
      <c r="J86" s="553">
        <f t="shared" ref="J86:J91" si="22">F86*I86</f>
        <v>229747.85030447203</v>
      </c>
      <c r="Q86" s="555">
        <f>Q85+1</f>
        <v>61</v>
      </c>
      <c r="R86" s="554">
        <f>R85*(1+'FRC-Spring24-Q2Ans'!$C$46)</f>
        <v>124800</v>
      </c>
    </row>
    <row r="87" spans="1:18" outlineLevel="1">
      <c r="A87" s="555">
        <f>A86+1</f>
        <v>61</v>
      </c>
      <c r="B87" s="554">
        <f t="shared" si="17"/>
        <v>105600</v>
      </c>
      <c r="C87" s="507">
        <f>'FRC-Spring24-Q2Ans'!$D$34</f>
        <v>8</v>
      </c>
      <c r="D87" s="555">
        <f t="shared" si="18"/>
        <v>9</v>
      </c>
      <c r="E87" s="507">
        <f t="shared" si="19"/>
        <v>0.88</v>
      </c>
      <c r="F87" s="558">
        <f t="shared" si="20"/>
        <v>14868.48</v>
      </c>
      <c r="G87" s="557">
        <f>'FRC-Spring24-Q2Ans'!C202</f>
        <v>19.213592319822862</v>
      </c>
      <c r="H87" s="553">
        <f t="shared" si="21"/>
        <v>285676.9131354398</v>
      </c>
      <c r="I87" s="557">
        <f>'FRC-Spring24-Q2Ans'!D202</f>
        <v>15.097361356889113</v>
      </c>
      <c r="J87" s="553">
        <f t="shared" si="22"/>
        <v>224474.81538767862</v>
      </c>
      <c r="K87" s="556"/>
      <c r="Q87" s="555">
        <f>Q86+1</f>
        <v>62</v>
      </c>
      <c r="R87" s="554">
        <f>R86*(1+'FRC-Spring24-Q2Ans'!$C$46)</f>
        <v>129792</v>
      </c>
    </row>
    <row r="88" spans="1:18" outlineLevel="1">
      <c r="A88" s="555">
        <f>A87+1</f>
        <v>62</v>
      </c>
      <c r="B88" s="554">
        <f t="shared" si="17"/>
        <v>105600</v>
      </c>
      <c r="C88" s="507">
        <f>'FRC-Spring24-Q2Ans'!$D$34</f>
        <v>8</v>
      </c>
      <c r="D88" s="555">
        <f t="shared" si="18"/>
        <v>10</v>
      </c>
      <c r="E88" s="507">
        <f t="shared" si="19"/>
        <v>0.91</v>
      </c>
      <c r="F88" s="558">
        <f t="shared" si="20"/>
        <v>15375.36</v>
      </c>
      <c r="G88" s="557">
        <f>'FRC-Spring24-Q2Ans'!C203</f>
        <v>18.349064291042303</v>
      </c>
      <c r="H88" s="553">
        <f t="shared" si="21"/>
        <v>282123.46913792018</v>
      </c>
      <c r="I88" s="557">
        <f>'FRC-Spring24-Q2Ans'!D203</f>
        <v>14.234486655273169</v>
      </c>
      <c r="J88" s="553">
        <f t="shared" si="22"/>
        <v>218860.35674002088</v>
      </c>
      <c r="K88" s="556"/>
      <c r="Q88" s="555">
        <f>Q87+1</f>
        <v>63</v>
      </c>
      <c r="R88" s="554">
        <f>R87*(1+'FRC-Spring24-Q2Ans'!$C$46)</f>
        <v>134983.67999999999</v>
      </c>
    </row>
    <row r="89" spans="1:18" outlineLevel="1">
      <c r="A89" s="555">
        <f>A88+1</f>
        <v>63</v>
      </c>
      <c r="B89" s="554">
        <f t="shared" si="17"/>
        <v>105600</v>
      </c>
      <c r="C89" s="507">
        <f>'FRC-Spring24-Q2Ans'!$D$34</f>
        <v>8</v>
      </c>
      <c r="D89" s="555">
        <f t="shared" si="18"/>
        <v>11</v>
      </c>
      <c r="E89" s="507">
        <f t="shared" si="19"/>
        <v>0.94</v>
      </c>
      <c r="F89" s="558">
        <f t="shared" si="20"/>
        <v>15882.24</v>
      </c>
      <c r="G89" s="557">
        <f>'FRC-Spring24-Q2Ans'!C204</f>
        <v>17.504396507534203</v>
      </c>
      <c r="H89" s="553">
        <f t="shared" si="21"/>
        <v>278009.02638782002</v>
      </c>
      <c r="I89" s="557">
        <f>'FRC-Spring24-Q2Ans'!D204</f>
        <v>13.407007033611622</v>
      </c>
      <c r="J89" s="553">
        <f t="shared" si="22"/>
        <v>212933.30338950784</v>
      </c>
      <c r="K89" s="556"/>
      <c r="Q89" s="555">
        <f>Q88+1</f>
        <v>64</v>
      </c>
      <c r="R89" s="554">
        <f>R88*(1+'FRC-Spring24-Q2Ans'!$C$46)</f>
        <v>140383.02720000001</v>
      </c>
    </row>
    <row r="90" spans="1:18" outlineLevel="1">
      <c r="A90" s="555">
        <f>A89+1</f>
        <v>64</v>
      </c>
      <c r="B90" s="554">
        <f t="shared" si="17"/>
        <v>105600</v>
      </c>
      <c r="C90" s="507">
        <f>'FRC-Spring24-Q2Ans'!$D$34</f>
        <v>8</v>
      </c>
      <c r="D90" s="555">
        <f t="shared" si="18"/>
        <v>12</v>
      </c>
      <c r="E90" s="507">
        <f t="shared" si="19"/>
        <v>0.97</v>
      </c>
      <c r="F90" s="558">
        <f t="shared" si="20"/>
        <v>16389.12</v>
      </c>
      <c r="G90" s="557">
        <f>'FRC-Spring24-Q2Ans'!C205</f>
        <v>16.679623754777438</v>
      </c>
      <c r="H90" s="553">
        <f t="shared" si="21"/>
        <v>273364.35527189798</v>
      </c>
      <c r="I90" s="557">
        <f>'FRC-Spring24-Q2Ans'!D205</f>
        <v>12.613863400389496</v>
      </c>
      <c r="J90" s="553">
        <f t="shared" si="22"/>
        <v>206730.1209325915</v>
      </c>
      <c r="K90" s="556"/>
      <c r="Q90" s="555">
        <f>Q89+1</f>
        <v>65</v>
      </c>
      <c r="R90" s="554">
        <f>R89*(1+'FRC-Spring24-Q2Ans'!$C$46)</f>
        <v>145998.34828800001</v>
      </c>
    </row>
    <row r="91" spans="1:18" outlineLevel="1">
      <c r="A91" s="555">
        <f>A90+1</f>
        <v>65</v>
      </c>
      <c r="B91" s="554">
        <f t="shared" si="17"/>
        <v>105600</v>
      </c>
      <c r="C91" s="507">
        <f>'FRC-Spring24-Q2Ans'!$D$34</f>
        <v>8</v>
      </c>
      <c r="D91" s="555">
        <f t="shared" si="18"/>
        <v>13</v>
      </c>
      <c r="E91" s="507">
        <f t="shared" si="19"/>
        <v>1</v>
      </c>
      <c r="F91" s="558">
        <f t="shared" si="20"/>
        <v>16896</v>
      </c>
      <c r="G91" s="557">
        <f>'FRC-Spring24-Q2Ans'!C206</f>
        <v>15.874838217994258</v>
      </c>
      <c r="H91" s="553">
        <f t="shared" si="21"/>
        <v>268221.266531231</v>
      </c>
      <c r="I91" s="557">
        <f>'FRC-Spring24-Q2Ans'!D206</f>
        <v>11.854072697023812</v>
      </c>
      <c r="J91" s="553">
        <f t="shared" si="22"/>
        <v>200286.41228891432</v>
      </c>
      <c r="K91" s="556"/>
    </row>
    <row r="92" spans="1:18" outlineLevel="1">
      <c r="H92" s="553"/>
      <c r="J92" s="553"/>
    </row>
    <row r="93" spans="1:18" outlineLevel="1">
      <c r="G93" s="507" t="s">
        <v>801</v>
      </c>
      <c r="H93" s="553">
        <f>MAX(H86:H91)</f>
        <v>288651.04367387766</v>
      </c>
      <c r="J93" s="553">
        <f>MAX(J86:J91)</f>
        <v>229747.85030447203</v>
      </c>
    </row>
    <row r="94" spans="1:18" outlineLevel="1">
      <c r="G94" s="507" t="s">
        <v>42</v>
      </c>
      <c r="H94" s="553">
        <f>H91</f>
        <v>268221.266531231</v>
      </c>
      <c r="J94" s="553">
        <f>J91</f>
        <v>200286.41228891432</v>
      </c>
    </row>
    <row r="95" spans="1:18" ht="12" outlineLevel="1">
      <c r="G95" s="552" t="s">
        <v>41</v>
      </c>
      <c r="H95" s="544">
        <f>AVERAGE(H93:H94)</f>
        <v>278436.15510255436</v>
      </c>
      <c r="I95" s="552"/>
      <c r="J95" s="544">
        <f>AVERAGE(J93:J94)</f>
        <v>215017.13129669317</v>
      </c>
    </row>
    <row r="96" spans="1:18" ht="12" outlineLevel="1">
      <c r="G96" s="552"/>
      <c r="H96" s="572"/>
      <c r="I96" s="552"/>
      <c r="J96" s="572"/>
    </row>
    <row r="97" spans="1:18" ht="12" outlineLevel="1">
      <c r="G97" s="552"/>
      <c r="H97" s="572"/>
      <c r="I97" s="552"/>
      <c r="J97" s="572"/>
    </row>
    <row r="98" spans="1:18" ht="12" outlineLevel="1">
      <c r="A98" s="551" t="s">
        <v>815</v>
      </c>
    </row>
    <row r="99" spans="1:18" outlineLevel="1">
      <c r="A99" s="542" t="s">
        <v>790</v>
      </c>
    </row>
    <row r="100" spans="1:18" ht="12" outlineLevel="1">
      <c r="I100" s="1828" t="s">
        <v>757</v>
      </c>
      <c r="J100" s="1828"/>
      <c r="K100" s="1828"/>
      <c r="L100" s="1828" t="s">
        <v>107</v>
      </c>
      <c r="M100" s="1828"/>
      <c r="N100" s="1828"/>
      <c r="Q100" s="542" t="s">
        <v>814</v>
      </c>
    </row>
    <row r="101" spans="1:18" ht="12" outlineLevel="1">
      <c r="A101" s="540" t="s">
        <v>806</v>
      </c>
      <c r="B101" s="540" t="s">
        <v>813</v>
      </c>
      <c r="C101" s="507" t="s">
        <v>812</v>
      </c>
      <c r="D101" s="540" t="s">
        <v>805</v>
      </c>
      <c r="E101" s="540" t="s">
        <v>320</v>
      </c>
      <c r="F101" s="540" t="s">
        <v>811</v>
      </c>
      <c r="G101" s="540" t="s">
        <v>810</v>
      </c>
      <c r="H101" s="540" t="s">
        <v>809</v>
      </c>
      <c r="I101" s="540" t="s">
        <v>94</v>
      </c>
      <c r="J101" s="539" t="s">
        <v>788</v>
      </c>
      <c r="K101" s="539" t="s">
        <v>808</v>
      </c>
      <c r="L101" s="540" t="s">
        <v>94</v>
      </c>
      <c r="M101" s="539" t="s">
        <v>788</v>
      </c>
      <c r="N101" s="539" t="s">
        <v>808</v>
      </c>
    </row>
    <row r="102" spans="1:18" outlineLevel="1">
      <c r="A102" s="542">
        <v>65</v>
      </c>
      <c r="B102" s="541" t="s">
        <v>807</v>
      </c>
      <c r="C102" s="542">
        <f>A102-Q107</f>
        <v>4</v>
      </c>
      <c r="D102" s="571">
        <f>AVERAGE(R107:R111)</f>
        <v>135191.41109760001</v>
      </c>
      <c r="E102" s="570">
        <f>'FRC-Spring24-Q2Ans'!$D$34+1</f>
        <v>9</v>
      </c>
      <c r="F102" s="569">
        <f>2%*E102*D102</f>
        <v>24334.453997568002</v>
      </c>
      <c r="G102" s="568">
        <f>(1+'FRC-Spring24-Q2Ans'!$C$44)^-C102</f>
        <v>0.82270247479188197</v>
      </c>
      <c r="H102" s="567">
        <f>'FRC-Spring24-Q2Ans'!$D$52</f>
        <v>1</v>
      </c>
      <c r="I102" s="566">
        <f>$I$80</f>
        <v>16.091863980080912</v>
      </c>
      <c r="J102" s="565">
        <f>H102*I102*F102*G102</f>
        <v>322159.3667316811</v>
      </c>
      <c r="K102" s="565">
        <f>J102/E102</f>
        <v>35795.485192409011</v>
      </c>
      <c r="L102" s="557">
        <f>L80</f>
        <v>13.205265663923768</v>
      </c>
      <c r="M102" s="564">
        <f>H102*L102*F102*G102</f>
        <v>264369.62362342211</v>
      </c>
      <c r="N102" s="563">
        <f>M102/E102</f>
        <v>29374.402624824681</v>
      </c>
      <c r="Q102" s="562" t="s">
        <v>252</v>
      </c>
      <c r="R102" s="562" t="s">
        <v>319</v>
      </c>
    </row>
    <row r="103" spans="1:18" ht="12" outlineLevel="1">
      <c r="J103" s="544">
        <f>SUM(J102:J102)</f>
        <v>322159.3667316811</v>
      </c>
      <c r="K103" s="544">
        <f>SUM(K102:K102)</f>
        <v>35795.485192409011</v>
      </c>
      <c r="M103" s="561">
        <f>SUM(M102:M102)</f>
        <v>264369.62362342211</v>
      </c>
      <c r="N103" s="561">
        <f>SUM(N102:N102)</f>
        <v>29374.402624824681</v>
      </c>
      <c r="R103" s="558">
        <f>R82</f>
        <v>97000</v>
      </c>
    </row>
    <row r="104" spans="1:18" outlineLevel="1">
      <c r="R104" s="558">
        <f>R83</f>
        <v>105000</v>
      </c>
    </row>
    <row r="105" spans="1:18" outlineLevel="1">
      <c r="A105" s="542" t="s">
        <v>789</v>
      </c>
      <c r="R105" s="558">
        <f>R84</f>
        <v>110000</v>
      </c>
    </row>
    <row r="106" spans="1:18" outlineLevel="1">
      <c r="G106" s="1829" t="s">
        <v>757</v>
      </c>
      <c r="H106" s="1829"/>
      <c r="I106" s="1829" t="s">
        <v>756</v>
      </c>
      <c r="J106" s="1829"/>
      <c r="R106" s="558">
        <f>R85</f>
        <v>120000</v>
      </c>
    </row>
    <row r="107" spans="1:18" outlineLevel="1">
      <c r="A107" s="555" t="s">
        <v>806</v>
      </c>
      <c r="B107" s="555" t="s">
        <v>805</v>
      </c>
      <c r="C107" s="507" t="s">
        <v>804</v>
      </c>
      <c r="D107" s="555" t="s">
        <v>803</v>
      </c>
      <c r="E107" s="507" t="s">
        <v>63</v>
      </c>
      <c r="F107" s="507" t="s">
        <v>802</v>
      </c>
      <c r="G107" s="507" t="s">
        <v>94</v>
      </c>
      <c r="H107" s="507" t="s">
        <v>788</v>
      </c>
      <c r="I107" s="507" t="s">
        <v>94</v>
      </c>
      <c r="J107" s="507" t="s">
        <v>788</v>
      </c>
      <c r="Q107" s="560">
        <f>Q85+1</f>
        <v>61</v>
      </c>
      <c r="R107" s="559">
        <f>R86</f>
        <v>124800</v>
      </c>
    </row>
    <row r="108" spans="1:18" outlineLevel="1">
      <c r="A108" s="555">
        <f>Q107</f>
        <v>61</v>
      </c>
      <c r="B108" s="554">
        <f>AVERAGE($R$103:$R$107)</f>
        <v>111360</v>
      </c>
      <c r="C108" s="507">
        <f>'FRC-Spring24-Q2Ans'!$D$34+1</f>
        <v>9</v>
      </c>
      <c r="D108" s="555">
        <f>A108-$Q$85+C108</f>
        <v>10</v>
      </c>
      <c r="E108" s="507">
        <f>MIN(1-($A$91-A108)*3%,1)</f>
        <v>0.88</v>
      </c>
      <c r="F108" s="558">
        <f>2%*B108*C108*E108</f>
        <v>17639.424000000003</v>
      </c>
      <c r="G108" s="557">
        <f>'FRC-Spring24-Q2Ans'!E202</f>
        <v>19.604935886325752</v>
      </c>
      <c r="H108" s="553">
        <f>F108*G108</f>
        <v>345819.77659171581</v>
      </c>
      <c r="I108" s="557">
        <f>'FRC-Spring24-Q2Ans'!F202</f>
        <v>15.695902752940864</v>
      </c>
      <c r="J108" s="553">
        <f>F108*I108</f>
        <v>276866.6837218912</v>
      </c>
      <c r="Q108" s="555">
        <f>Q107+1</f>
        <v>62</v>
      </c>
      <c r="R108" s="554">
        <f>R107*(1+'FRC-Spring24-Q2Ans'!$C$46)</f>
        <v>129792</v>
      </c>
    </row>
    <row r="109" spans="1:18" outlineLevel="1">
      <c r="A109" s="555">
        <f>A108+1</f>
        <v>62</v>
      </c>
      <c r="B109" s="554">
        <f>B108</f>
        <v>111360</v>
      </c>
      <c r="C109" s="507">
        <f>'FRC-Spring24-Q2Ans'!$D$34+1</f>
        <v>9</v>
      </c>
      <c r="D109" s="555">
        <f>A109-$Q$85+C109</f>
        <v>11</v>
      </c>
      <c r="E109" s="507">
        <f>MIN(1-($A$91-A109)*3%,1)</f>
        <v>0.91</v>
      </c>
      <c r="F109" s="558">
        <f>2%*B109*C109*E109</f>
        <v>18240.768000000004</v>
      </c>
      <c r="G109" s="557">
        <f>'FRC-Spring24-Q2Ans'!E203</f>
        <v>18.722684225774454</v>
      </c>
      <c r="H109" s="553">
        <f>F109*G109</f>
        <v>341516.1392996115</v>
      </c>
      <c r="I109" s="557">
        <f>'FRC-Spring24-Q2Ans'!F203</f>
        <v>14.798683246605215</v>
      </c>
      <c r="J109" s="553">
        <f>F109*I109</f>
        <v>269939.34780681256</v>
      </c>
      <c r="K109" s="556"/>
      <c r="Q109" s="555">
        <f>Q108+1</f>
        <v>63</v>
      </c>
      <c r="R109" s="554">
        <f>R108*(1+'FRC-Spring24-Q2Ans'!$C$46)</f>
        <v>134983.67999999999</v>
      </c>
    </row>
    <row r="110" spans="1:18" outlineLevel="1">
      <c r="A110" s="555">
        <f>A109+1</f>
        <v>63</v>
      </c>
      <c r="B110" s="554">
        <f>B109</f>
        <v>111360</v>
      </c>
      <c r="C110" s="507">
        <f>'FRC-Spring24-Q2Ans'!$D$34+1</f>
        <v>9</v>
      </c>
      <c r="D110" s="555">
        <f>A110-$Q$85+C110</f>
        <v>12</v>
      </c>
      <c r="E110" s="507">
        <f>MIN(1-($A$91-A110)*3%,1)</f>
        <v>0.94</v>
      </c>
      <c r="F110" s="558">
        <f>2%*B110*C110*E110</f>
        <v>18842.112000000001</v>
      </c>
      <c r="G110" s="557">
        <f>'FRC-Spring24-Q2Ans'!E204</f>
        <v>17.860626722044394</v>
      </c>
      <c r="H110" s="553">
        <f>F110*G110</f>
        <v>336531.92908695334</v>
      </c>
      <c r="I110" s="557">
        <f>'FRC-Spring24-Q2Ans'!F204</f>
        <v>13.938215938238642</v>
      </c>
      <c r="J110" s="553">
        <f>F110*I110</f>
        <v>262625.42578847759</v>
      </c>
      <c r="K110" s="556"/>
      <c r="Q110" s="555">
        <f>Q109+1</f>
        <v>64</v>
      </c>
      <c r="R110" s="554">
        <f>R109*(1+'FRC-Spring24-Q2Ans'!$C$46)</f>
        <v>140383.02720000001</v>
      </c>
    </row>
    <row r="111" spans="1:18" outlineLevel="1">
      <c r="A111" s="555">
        <f>A110+1</f>
        <v>64</v>
      </c>
      <c r="B111" s="554">
        <f>B110</f>
        <v>111360</v>
      </c>
      <c r="C111" s="507">
        <f>'FRC-Spring24-Q2Ans'!$D$34+1</f>
        <v>9</v>
      </c>
      <c r="D111" s="555">
        <f>A111-$Q$85+C111</f>
        <v>13</v>
      </c>
      <c r="E111" s="507">
        <f>MIN(1-($A$91-A111)*3%,1)</f>
        <v>0.97</v>
      </c>
      <c r="F111" s="558">
        <f>2%*B111*C111*E111</f>
        <v>19443.456000000002</v>
      </c>
      <c r="G111" s="557">
        <f>'FRC-Spring24-Q2Ans'!E205</f>
        <v>17.018797008326828</v>
      </c>
      <c r="H111" s="553">
        <f>F111*G111</f>
        <v>330904.23080433434</v>
      </c>
      <c r="I111" s="557">
        <f>'FRC-Spring24-Q2Ans'!F205</f>
        <v>13.113399627791745</v>
      </c>
      <c r="J111" s="553">
        <f>F111*I111</f>
        <v>254969.80867338521</v>
      </c>
      <c r="K111" s="556"/>
      <c r="Q111" s="555">
        <f>Q110+1</f>
        <v>65</v>
      </c>
      <c r="R111" s="554">
        <f>R110*(1+'FRC-Spring24-Q2Ans'!$C$46)</f>
        <v>145998.34828800001</v>
      </c>
    </row>
    <row r="112" spans="1:18" outlineLevel="1">
      <c r="A112" s="555">
        <f>A111+1</f>
        <v>65</v>
      </c>
      <c r="B112" s="554">
        <f>B111</f>
        <v>111360</v>
      </c>
      <c r="C112" s="507">
        <f>'FRC-Spring24-Q2Ans'!$D$34+1</f>
        <v>9</v>
      </c>
      <c r="D112" s="555">
        <f>A112-$Q$85+C112</f>
        <v>14</v>
      </c>
      <c r="E112" s="507">
        <f>MIN(1-($A$91-A112)*3%,1)</f>
        <v>1</v>
      </c>
      <c r="F112" s="558">
        <f>2%*B112*C112*E112</f>
        <v>20044.800000000003</v>
      </c>
      <c r="G112" s="557">
        <f>'FRC-Spring24-Q2Ans'!E206</f>
        <v>16.197290722619655</v>
      </c>
      <c r="H112" s="553">
        <f>F112*G112</f>
        <v>324671.45307676651</v>
      </c>
      <c r="I112" s="557">
        <f>'FRC-Spring24-Q2Ans'!F206</f>
        <v>12.323215324659872</v>
      </c>
      <c r="J112" s="553">
        <f>F112*I112</f>
        <v>247016.38653974223</v>
      </c>
      <c r="K112" s="556"/>
      <c r="Q112" s="555"/>
      <c r="R112" s="554"/>
    </row>
    <row r="113" spans="1:19" outlineLevel="1">
      <c r="J113" s="553"/>
    </row>
    <row r="114" spans="1:19" outlineLevel="1">
      <c r="G114" s="507" t="s">
        <v>801</v>
      </c>
      <c r="H114" s="553">
        <f>MAX(H108:H112)</f>
        <v>345819.77659171581</v>
      </c>
      <c r="J114" s="553">
        <f>MAX(J108:J112)</f>
        <v>276866.6837218912</v>
      </c>
    </row>
    <row r="115" spans="1:19" outlineLevel="1">
      <c r="G115" s="507" t="s">
        <v>42</v>
      </c>
      <c r="H115" s="553">
        <f>H112</f>
        <v>324671.45307676651</v>
      </c>
      <c r="J115" s="553">
        <f>J112</f>
        <v>247016.38653974223</v>
      </c>
    </row>
    <row r="116" spans="1:19" ht="12" outlineLevel="1">
      <c r="G116" s="552" t="s">
        <v>41</v>
      </c>
      <c r="H116" s="544">
        <f>AVERAGE(H114:H115)</f>
        <v>335245.61483424116</v>
      </c>
      <c r="I116" s="552"/>
      <c r="J116" s="544">
        <f>AVERAGE(J114:J115)</f>
        <v>261941.53513081672</v>
      </c>
    </row>
    <row r="118" spans="1:19" s="536" customFormat="1" ht="12">
      <c r="A118" s="486" t="s">
        <v>800</v>
      </c>
    </row>
    <row r="120" spans="1:19" ht="12" outlineLevel="1">
      <c r="A120" s="551" t="s">
        <v>798</v>
      </c>
      <c r="F120" s="551" t="s">
        <v>797</v>
      </c>
      <c r="H120" s="507" t="s">
        <v>796</v>
      </c>
      <c r="I120" s="550">
        <v>7.0000000000000007E-2</v>
      </c>
      <c r="K120" s="551" t="s">
        <v>797</v>
      </c>
      <c r="M120" s="507" t="s">
        <v>796</v>
      </c>
      <c r="N120" s="550">
        <v>0.02</v>
      </c>
      <c r="P120" s="551" t="s">
        <v>797</v>
      </c>
      <c r="R120" s="507" t="s">
        <v>796</v>
      </c>
      <c r="S120" s="550">
        <v>0.02</v>
      </c>
    </row>
    <row r="121" spans="1:19" ht="12" outlineLevel="1">
      <c r="A121" s="551"/>
      <c r="F121" s="549" t="s">
        <v>795</v>
      </c>
      <c r="I121" s="550"/>
      <c r="K121" s="549" t="s">
        <v>794</v>
      </c>
      <c r="N121" s="550"/>
      <c r="P121" s="549" t="s">
        <v>793</v>
      </c>
      <c r="S121" s="550"/>
    </row>
    <row r="122" spans="1:19" outlineLevel="1">
      <c r="A122" s="540" t="s">
        <v>252</v>
      </c>
      <c r="B122" s="540">
        <f>'FRC-Spring24-Q2Ans'!E28</f>
        <v>66</v>
      </c>
      <c r="F122" s="540" t="s">
        <v>252</v>
      </c>
      <c r="G122" s="540">
        <f>B122+1</f>
        <v>67</v>
      </c>
      <c r="K122" s="540" t="s">
        <v>252</v>
      </c>
      <c r="L122" s="540">
        <f>G122</f>
        <v>67</v>
      </c>
      <c r="P122" s="540" t="s">
        <v>252</v>
      </c>
      <c r="Q122" s="540">
        <f>L122</f>
        <v>67</v>
      </c>
    </row>
    <row r="123" spans="1:19" outlineLevel="1">
      <c r="A123" s="540" t="s">
        <v>791</v>
      </c>
      <c r="B123" s="548">
        <f>'FRC-Spring24-Q2Ans'!E35</f>
        <v>42000</v>
      </c>
      <c r="F123" s="540" t="s">
        <v>791</v>
      </c>
      <c r="G123" s="548">
        <f>(1+I120)*B123</f>
        <v>44940</v>
      </c>
      <c r="K123" s="540" t="s">
        <v>791</v>
      </c>
      <c r="L123" s="548">
        <f>(1+N120)*B123</f>
        <v>42840</v>
      </c>
      <c r="P123" s="540" t="s">
        <v>791</v>
      </c>
      <c r="Q123" s="548">
        <f>L123</f>
        <v>42840</v>
      </c>
    </row>
    <row r="124" spans="1:19" outlineLevel="1"/>
    <row r="125" spans="1:19" outlineLevel="1">
      <c r="A125" s="542" t="s">
        <v>790</v>
      </c>
      <c r="F125" s="542" t="s">
        <v>790</v>
      </c>
      <c r="K125" s="542" t="s">
        <v>790</v>
      </c>
      <c r="P125" s="542" t="s">
        <v>790</v>
      </c>
    </row>
    <row r="126" spans="1:19" outlineLevel="1">
      <c r="B126" s="541" t="s">
        <v>757</v>
      </c>
      <c r="C126" s="541" t="s">
        <v>107</v>
      </c>
      <c r="G126" s="541" t="s">
        <v>757</v>
      </c>
      <c r="H126" s="541" t="s">
        <v>107</v>
      </c>
      <c r="L126" s="541" t="s">
        <v>757</v>
      </c>
      <c r="M126" s="541" t="s">
        <v>107</v>
      </c>
      <c r="Q126" s="541" t="s">
        <v>757</v>
      </c>
      <c r="R126" s="541"/>
    </row>
    <row r="127" spans="1:19" outlineLevel="1">
      <c r="A127" s="540" t="s">
        <v>65</v>
      </c>
      <c r="B127" s="540">
        <f>'FRC-Spring24-Q2Ans'!E115</f>
        <v>15.556514096649394</v>
      </c>
      <c r="C127" s="540">
        <f>'FRC-Spring24-Q2Ans'!H115</f>
        <v>12.830558431202119</v>
      </c>
      <c r="F127" s="540" t="s">
        <v>65</v>
      </c>
      <c r="G127" s="540">
        <f>'FRC-Spring24-Q2Ans'!E116</f>
        <v>15.093926067424368</v>
      </c>
      <c r="H127" s="540">
        <f>'FRC-Spring24-Q2Ans'!H116</f>
        <v>12.521164671050814</v>
      </c>
      <c r="J127" s="540"/>
      <c r="K127" s="540" t="s">
        <v>65</v>
      </c>
      <c r="L127" s="540">
        <f>G127</f>
        <v>15.093926067424368</v>
      </c>
      <c r="M127" s="540">
        <f>H127</f>
        <v>12.521164671050814</v>
      </c>
      <c r="P127" s="540" t="s">
        <v>65</v>
      </c>
      <c r="Q127" s="540"/>
      <c r="R127" s="540"/>
    </row>
    <row r="128" spans="1:19" ht="12" outlineLevel="1">
      <c r="A128" s="539" t="s">
        <v>788</v>
      </c>
      <c r="B128" s="538">
        <f>B127*$B$123</f>
        <v>653373.59205927455</v>
      </c>
      <c r="C128" s="538">
        <f>C127*$B$123</f>
        <v>538883.45411048899</v>
      </c>
      <c r="F128" s="539" t="s">
        <v>788</v>
      </c>
      <c r="G128" s="538">
        <f>G127*$G$123</f>
        <v>678321.03747005109</v>
      </c>
      <c r="H128" s="538">
        <f>H127*$G$123</f>
        <v>562701.14031702362</v>
      </c>
      <c r="K128" s="539" t="s">
        <v>788</v>
      </c>
      <c r="L128" s="538">
        <f>L127*$L$123</f>
        <v>646623.79272845993</v>
      </c>
      <c r="M128" s="538">
        <f>M127*$L$123</f>
        <v>536406.69450781681</v>
      </c>
      <c r="P128" s="539" t="s">
        <v>788</v>
      </c>
      <c r="Q128" s="544">
        <f>B128*(1+'FRC-Spring24-Q2Ans'!$C$63)-B123*(1+'FRC-Spring24-Q2Ans'!$C$63)^0.5</f>
        <v>643005.07844520803</v>
      </c>
      <c r="R128" s="538"/>
    </row>
    <row r="129" spans="1:19" outlineLevel="1"/>
    <row r="130" spans="1:19" outlineLevel="1">
      <c r="A130" s="542" t="s">
        <v>789</v>
      </c>
      <c r="F130" s="542" t="s">
        <v>789</v>
      </c>
      <c r="K130" s="542" t="s">
        <v>789</v>
      </c>
      <c r="P130" s="542"/>
    </row>
    <row r="131" spans="1:19" outlineLevel="1">
      <c r="B131" s="541" t="s">
        <v>757</v>
      </c>
      <c r="C131" s="541" t="s">
        <v>107</v>
      </c>
      <c r="G131" s="541" t="s">
        <v>757</v>
      </c>
      <c r="H131" s="541" t="s">
        <v>107</v>
      </c>
      <c r="L131" s="541" t="s">
        <v>757</v>
      </c>
      <c r="M131" s="541" t="s">
        <v>107</v>
      </c>
      <c r="Q131" s="541"/>
      <c r="R131" s="541"/>
    </row>
    <row r="132" spans="1:19" outlineLevel="1">
      <c r="A132" s="540" t="s">
        <v>65</v>
      </c>
      <c r="B132" s="540">
        <f>'FRC-Spring24-Q2Ans'!C115</f>
        <v>17.877230840256168</v>
      </c>
      <c r="C132" s="540">
        <f>'FRC-Spring24-Q2Ans'!F115</f>
        <v>14.360433222609943</v>
      </c>
      <c r="F132" s="540" t="s">
        <v>65</v>
      </c>
      <c r="G132" s="540">
        <f>'FRC-Spring24-Q2Ans'!C116</f>
        <v>17.267335166368497</v>
      </c>
      <c r="H132" s="540">
        <f>'FRC-Spring24-Q2Ans'!F116</f>
        <v>13.967902224455344</v>
      </c>
      <c r="K132" s="540" t="s">
        <v>65</v>
      </c>
      <c r="L132" s="540">
        <f>G132</f>
        <v>17.267335166368497</v>
      </c>
      <c r="M132" s="540">
        <f>H132</f>
        <v>13.967902224455344</v>
      </c>
      <c r="P132" s="540"/>
      <c r="Q132" s="540"/>
      <c r="R132" s="540"/>
    </row>
    <row r="133" spans="1:19" ht="12" outlineLevel="1">
      <c r="A133" s="539" t="s">
        <v>788</v>
      </c>
      <c r="B133" s="538">
        <f>B132*$B$123</f>
        <v>750843.69529075909</v>
      </c>
      <c r="C133" s="538">
        <f>C132*$B$123</f>
        <v>603138.19534961763</v>
      </c>
      <c r="F133" s="539" t="s">
        <v>788</v>
      </c>
      <c r="G133" s="538">
        <f>G132*$G$123</f>
        <v>775994.04237660021</v>
      </c>
      <c r="H133" s="538">
        <f>H132*$G$123</f>
        <v>627717.5259670231</v>
      </c>
      <c r="K133" s="539" t="s">
        <v>788</v>
      </c>
      <c r="L133" s="538">
        <f>L132*$L$123</f>
        <v>739732.6385272264</v>
      </c>
      <c r="M133" s="538">
        <f>M132*$L$123</f>
        <v>598384.93129566696</v>
      </c>
      <c r="P133" s="539"/>
      <c r="Q133" s="538"/>
      <c r="R133" s="538"/>
    </row>
    <row r="135" spans="1:19" s="536" customFormat="1" ht="12">
      <c r="A135" s="486" t="s">
        <v>799</v>
      </c>
    </row>
    <row r="138" spans="1:19" ht="12">
      <c r="A138" s="551" t="s">
        <v>798</v>
      </c>
      <c r="F138" s="551" t="s">
        <v>797</v>
      </c>
      <c r="I138" s="550"/>
      <c r="K138" s="551" t="s">
        <v>797</v>
      </c>
      <c r="M138" s="507" t="s">
        <v>796</v>
      </c>
      <c r="N138" s="550">
        <v>0.02</v>
      </c>
      <c r="P138" s="551" t="s">
        <v>797</v>
      </c>
      <c r="R138" s="507" t="s">
        <v>796</v>
      </c>
      <c r="S138" s="550">
        <v>0.02</v>
      </c>
    </row>
    <row r="139" spans="1:19" ht="12">
      <c r="A139" s="551"/>
      <c r="F139" s="507" t="s">
        <v>795</v>
      </c>
      <c r="I139" s="550"/>
      <c r="K139" s="549" t="s">
        <v>794</v>
      </c>
      <c r="N139" s="550"/>
      <c r="P139" s="549" t="s">
        <v>793</v>
      </c>
      <c r="S139" s="550"/>
    </row>
    <row r="140" spans="1:19" outlineLevel="1">
      <c r="A140" s="540" t="s">
        <v>252</v>
      </c>
      <c r="B140" s="540">
        <f>'FRC-Spring24-Q2Ans'!F28</f>
        <v>70</v>
      </c>
      <c r="F140" s="549" t="s">
        <v>792</v>
      </c>
      <c r="K140" s="540" t="s">
        <v>252</v>
      </c>
      <c r="L140" s="540">
        <f>B140+1</f>
        <v>71</v>
      </c>
      <c r="P140" s="540" t="s">
        <v>252</v>
      </c>
      <c r="Q140" s="540">
        <f>G140+1</f>
        <v>1</v>
      </c>
    </row>
    <row r="141" spans="1:19" outlineLevel="1">
      <c r="A141" s="540" t="s">
        <v>791</v>
      </c>
      <c r="B141" s="548">
        <f>'FRC-Spring24-Q2Ans'!$F$35</f>
        <v>36000</v>
      </c>
      <c r="F141" s="507" t="s">
        <v>790</v>
      </c>
      <c r="H141" s="543">
        <v>0</v>
      </c>
      <c r="K141" s="540" t="s">
        <v>791</v>
      </c>
      <c r="L141" s="548">
        <f>(1+N138)*B141</f>
        <v>36720</v>
      </c>
      <c r="P141" s="540" t="s">
        <v>791</v>
      </c>
      <c r="Q141" s="548">
        <f>L141</f>
        <v>36720</v>
      </c>
    </row>
    <row r="142" spans="1:19" outlineLevel="1">
      <c r="F142" s="507" t="s">
        <v>789</v>
      </c>
      <c r="H142" s="543">
        <v>0</v>
      </c>
    </row>
    <row r="143" spans="1:19" outlineLevel="1">
      <c r="A143" s="542" t="s">
        <v>790</v>
      </c>
      <c r="K143" s="542" t="s">
        <v>790</v>
      </c>
      <c r="P143" s="542" t="s">
        <v>790</v>
      </c>
    </row>
    <row r="144" spans="1:19" outlineLevel="1">
      <c r="B144" s="541" t="s">
        <v>757</v>
      </c>
      <c r="C144" s="541" t="s">
        <v>107</v>
      </c>
      <c r="G144" s="541"/>
      <c r="H144" s="547"/>
      <c r="L144" s="541" t="s">
        <v>757</v>
      </c>
      <c r="M144" s="541" t="s">
        <v>107</v>
      </c>
      <c r="Q144" s="541" t="s">
        <v>757</v>
      </c>
      <c r="R144" s="541"/>
    </row>
    <row r="145" spans="1:18" outlineLevel="1">
      <c r="A145" s="540" t="s">
        <v>65</v>
      </c>
      <c r="B145" s="540">
        <f>'FRC-Spring24-Q2Ans'!E119</f>
        <v>13.657366275475866</v>
      </c>
      <c r="C145" s="540">
        <f>'FRC-Spring24-Q2Ans'!H119</f>
        <v>11.530025244130009</v>
      </c>
      <c r="F145" s="540"/>
      <c r="G145" s="540"/>
      <c r="H145" s="546"/>
      <c r="K145" s="540" t="s">
        <v>65</v>
      </c>
      <c r="L145" s="540">
        <f>'FRC-Spring24-Q2Ans'!E120</f>
        <v>13.164472432957739</v>
      </c>
      <c r="M145" s="545">
        <f>'FRC-Spring24-Q2Ans'!H120</f>
        <v>11.179690917753776</v>
      </c>
      <c r="P145" s="540" t="s">
        <v>65</v>
      </c>
      <c r="Q145" s="540">
        <f>'FRC-Spring24-Q2Ans'!J120</f>
        <v>0</v>
      </c>
      <c r="R145" s="545"/>
    </row>
    <row r="146" spans="1:18" ht="12" outlineLevel="1">
      <c r="A146" s="539" t="s">
        <v>788</v>
      </c>
      <c r="B146" s="538">
        <f>B145*$B$141</f>
        <v>491665.1859171312</v>
      </c>
      <c r="C146" s="538">
        <f>C145*$B$141</f>
        <v>415080.90878868033</v>
      </c>
      <c r="F146" s="539"/>
      <c r="G146" s="538"/>
      <c r="H146" s="538"/>
      <c r="K146" s="539" t="s">
        <v>788</v>
      </c>
      <c r="L146" s="538">
        <f>L145*$L$141</f>
        <v>483399.42773820815</v>
      </c>
      <c r="M146" s="538">
        <f>M145*$L$141</f>
        <v>410518.25049991865</v>
      </c>
      <c r="P146" s="539" t="s">
        <v>788</v>
      </c>
      <c r="Q146" s="544">
        <f>B146*(1+'FRC-Spring24-Q2Ans'!$C$63)-B141*(1+'FRC-Spring24-Q2Ans'!$C$63)^0.5</f>
        <v>479359.42245553323</v>
      </c>
      <c r="R146" s="538"/>
    </row>
    <row r="147" spans="1:18" outlineLevel="1">
      <c r="H147" s="543"/>
    </row>
    <row r="148" spans="1:18" outlineLevel="1">
      <c r="A148" s="542" t="s">
        <v>789</v>
      </c>
      <c r="K148" s="542" t="s">
        <v>789</v>
      </c>
      <c r="P148" s="542"/>
    </row>
    <row r="149" spans="1:18" outlineLevel="1">
      <c r="B149" s="541" t="s">
        <v>757</v>
      </c>
      <c r="C149" s="541" t="s">
        <v>107</v>
      </c>
      <c r="G149" s="541"/>
      <c r="H149" s="541"/>
      <c r="L149" s="541" t="s">
        <v>757</v>
      </c>
      <c r="M149" s="541" t="s">
        <v>107</v>
      </c>
      <c r="Q149" s="541"/>
      <c r="R149" s="541"/>
    </row>
    <row r="150" spans="1:18" outlineLevel="1">
      <c r="A150" s="540" t="s">
        <v>65</v>
      </c>
      <c r="B150" s="540">
        <f>'FRC-Spring24-Q2Ans'!C119</f>
        <v>15.413405645243213</v>
      </c>
      <c r="C150" s="540">
        <f>'FRC-Spring24-Q2Ans'!F119</f>
        <v>12.733318339778284</v>
      </c>
      <c r="F150" s="540"/>
      <c r="G150" s="540"/>
      <c r="H150" s="540"/>
      <c r="K150" s="540" t="s">
        <v>65</v>
      </c>
      <c r="L150" s="540">
        <f>'FRC-Spring24-Q2Ans'!C120</f>
        <v>14.79033101116876</v>
      </c>
      <c r="M150" s="540">
        <f>'FRC-Spring24-Q2Ans'!F120</f>
        <v>12.304523113232241</v>
      </c>
      <c r="P150" s="540"/>
      <c r="Q150" s="540"/>
      <c r="R150" s="540"/>
    </row>
    <row r="151" spans="1:18" ht="12" outlineLevel="1">
      <c r="A151" s="539" t="s">
        <v>788</v>
      </c>
      <c r="B151" s="538">
        <f>B150*$B$141</f>
        <v>554882.60322875564</v>
      </c>
      <c r="C151" s="538">
        <f>C150*$B$141</f>
        <v>458399.46023201826</v>
      </c>
      <c r="F151" s="539"/>
      <c r="G151" s="538"/>
      <c r="H151" s="538"/>
      <c r="K151" s="539" t="s">
        <v>788</v>
      </c>
      <c r="L151" s="538">
        <f>L150*$L$141</f>
        <v>543100.95473011688</v>
      </c>
      <c r="M151" s="538">
        <f>M150*$L$141</f>
        <v>451822.08871788788</v>
      </c>
      <c r="P151" s="539"/>
      <c r="Q151" s="538"/>
      <c r="R151" s="538"/>
    </row>
  </sheetData>
  <mergeCells count="18">
    <mergeCell ref="G84:H84"/>
    <mergeCell ref="I84:J84"/>
    <mergeCell ref="I100:K100"/>
    <mergeCell ref="L100:N100"/>
    <mergeCell ref="G106:H106"/>
    <mergeCell ref="I106:J106"/>
    <mergeCell ref="I45:K45"/>
    <mergeCell ref="L45:N45"/>
    <mergeCell ref="G53:H53"/>
    <mergeCell ref="I53:J53"/>
    <mergeCell ref="I78:K78"/>
    <mergeCell ref="L78:N78"/>
    <mergeCell ref="I7:K7"/>
    <mergeCell ref="L7:N7"/>
    <mergeCell ref="G15:H15"/>
    <mergeCell ref="I15:J15"/>
    <mergeCell ref="I39:K39"/>
    <mergeCell ref="L39:N3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9530B-E843-40D5-BF64-6B5133C5318D}">
  <dimension ref="A1:AW156"/>
  <sheetViews>
    <sheetView workbookViewId="0">
      <selection activeCell="O14" sqref="O14"/>
    </sheetView>
  </sheetViews>
  <sheetFormatPr defaultColWidth="8.88671875" defaultRowHeight="15.6"/>
  <cols>
    <col min="1" max="1" width="3.5546875" style="2" customWidth="1"/>
    <col min="2" max="2" width="11.109375" style="2" customWidth="1"/>
    <col min="3" max="3" width="27.6640625" style="2" customWidth="1"/>
    <col min="4" max="8" width="12.88671875" style="2" customWidth="1"/>
    <col min="9" max="9" width="8.88671875" style="2"/>
    <col min="10" max="10" width="2.5546875" style="2" customWidth="1"/>
    <col min="11" max="13" width="8.88671875" style="3"/>
    <col min="14" max="14" width="10.109375" style="3" bestFit="1" customWidth="1"/>
    <col min="15" max="15" width="24.5546875" style="3" customWidth="1"/>
    <col min="16" max="16" width="10.109375" style="3" bestFit="1" customWidth="1"/>
    <col min="17" max="17" width="10" style="3" customWidth="1"/>
    <col min="18" max="18" width="14.33203125" style="3" customWidth="1"/>
    <col min="19" max="19" width="17.33203125" style="3" bestFit="1" customWidth="1"/>
    <col min="20" max="20" width="9.109375" style="3" bestFit="1" customWidth="1"/>
    <col min="21" max="21" width="8.88671875" style="3"/>
    <col min="22" max="22" width="10.109375" style="3" bestFit="1" customWidth="1"/>
    <col min="23" max="23" width="8.88671875" style="3"/>
    <col min="24" max="24" width="10.109375" style="3" bestFit="1" customWidth="1"/>
    <col min="25" max="34" width="8.88671875" style="3"/>
    <col min="35" max="35" width="9.109375" style="3" bestFit="1" customWidth="1"/>
    <col min="36" max="36" width="8.88671875" style="3"/>
    <col min="37" max="37" width="10.109375" style="3" bestFit="1" customWidth="1"/>
    <col min="38" max="39" width="8.88671875" style="3"/>
    <col min="40" max="40" width="9.109375" style="3" bestFit="1" customWidth="1"/>
    <col min="41" max="41" width="8.88671875" style="3"/>
    <col min="42" max="42" width="10.109375" style="3" bestFit="1" customWidth="1"/>
    <col min="43" max="16384" width="8.88671875" style="3"/>
  </cols>
  <sheetData>
    <row r="1" spans="1:20">
      <c r="A1" s="1" t="s">
        <v>0</v>
      </c>
      <c r="B1" s="1"/>
      <c r="K1" s="3" t="str">
        <f>A1</f>
        <v>RETFRC Spring 2024</v>
      </c>
    </row>
    <row r="2" spans="1:20">
      <c r="A2" s="1" t="s">
        <v>880</v>
      </c>
      <c r="B2" s="1"/>
      <c r="K2" s="3" t="str">
        <f>A2</f>
        <v>Question 4</v>
      </c>
    </row>
    <row r="3" spans="1:20" ht="18.45" customHeight="1">
      <c r="A3" s="4"/>
    </row>
    <row r="4" spans="1:20" ht="18.45" customHeight="1">
      <c r="A4" s="1"/>
      <c r="K4" s="3" t="s">
        <v>2</v>
      </c>
    </row>
    <row r="5" spans="1:20">
      <c r="A5" s="1"/>
      <c r="B5" s="5" t="s">
        <v>879</v>
      </c>
      <c r="C5" s="2" t="s">
        <v>878</v>
      </c>
    </row>
    <row r="6" spans="1:20">
      <c r="C6" s="2" t="s">
        <v>877</v>
      </c>
      <c r="N6" s="614"/>
      <c r="O6" s="604"/>
      <c r="P6"/>
      <c r="Q6"/>
      <c r="R6"/>
      <c r="S6"/>
      <c r="T6"/>
    </row>
    <row r="7" spans="1:20">
      <c r="C7" s="32"/>
      <c r="N7"/>
      <c r="O7"/>
      <c r="P7"/>
      <c r="Q7"/>
      <c r="R7"/>
      <c r="S7" s="618"/>
      <c r="T7"/>
    </row>
    <row r="8" spans="1:20">
      <c r="C8" s="2" t="s">
        <v>146</v>
      </c>
      <c r="N8"/>
      <c r="O8" s="590"/>
      <c r="P8" s="622"/>
      <c r="Q8"/>
      <c r="R8" s="587"/>
      <c r="S8" s="618"/>
      <c r="T8"/>
    </row>
    <row r="9" spans="1:20">
      <c r="C9" s="151"/>
      <c r="D9" s="151" t="s">
        <v>96</v>
      </c>
      <c r="E9" s="151" t="s">
        <v>66</v>
      </c>
      <c r="N9"/>
      <c r="O9" s="590"/>
      <c r="P9" s="622"/>
      <c r="Q9" s="606"/>
      <c r="R9" s="587"/>
      <c r="S9" s="618"/>
      <c r="T9"/>
    </row>
    <row r="10" spans="1:20">
      <c r="C10" s="608" t="s">
        <v>327</v>
      </c>
      <c r="D10" s="628">
        <v>27030</v>
      </c>
      <c r="E10" s="628">
        <v>32509</v>
      </c>
      <c r="N10"/>
      <c r="O10"/>
      <c r="P10"/>
      <c r="Q10"/>
      <c r="R10"/>
      <c r="S10" s="618"/>
      <c r="T10"/>
    </row>
    <row r="11" spans="1:20">
      <c r="C11" s="608" t="s">
        <v>876</v>
      </c>
      <c r="D11" s="628">
        <v>45292</v>
      </c>
      <c r="E11" s="628">
        <v>45292</v>
      </c>
      <c r="N11"/>
      <c r="O11" s="590"/>
      <c r="P11" s="624"/>
      <c r="Q11"/>
      <c r="R11" s="587"/>
      <c r="S11" s="618"/>
      <c r="T11" s="626"/>
    </row>
    <row r="12" spans="1:20">
      <c r="C12" s="608" t="s">
        <v>325</v>
      </c>
      <c r="D12" s="151">
        <v>5</v>
      </c>
      <c r="E12" s="151">
        <v>15</v>
      </c>
      <c r="N12"/>
      <c r="O12" s="590"/>
      <c r="P12" s="624"/>
      <c r="Q12"/>
      <c r="R12" s="618"/>
      <c r="S12" s="618"/>
      <c r="T12" s="626"/>
    </row>
    <row r="13" spans="1:20">
      <c r="C13" s="608" t="s">
        <v>875</v>
      </c>
      <c r="D13" s="151">
        <v>6</v>
      </c>
      <c r="E13" s="151">
        <v>15</v>
      </c>
      <c r="N13"/>
      <c r="O13" s="590"/>
      <c r="P13" s="624"/>
      <c r="Q13"/>
      <c r="R13" s="618"/>
      <c r="S13" s="618"/>
      <c r="T13" s="626"/>
    </row>
    <row r="14" spans="1:20" ht="31.2">
      <c r="C14" s="608" t="s">
        <v>874</v>
      </c>
      <c r="D14" s="620">
        <v>25000</v>
      </c>
      <c r="E14" s="620">
        <v>100000</v>
      </c>
      <c r="N14"/>
      <c r="O14" s="590"/>
      <c r="P14" s="624"/>
      <c r="Q14"/>
      <c r="R14" s="618"/>
      <c r="S14" s="618"/>
      <c r="T14" s="626"/>
    </row>
    <row r="15" spans="1:20">
      <c r="N15"/>
      <c r="O15" s="590"/>
      <c r="P15" s="624"/>
      <c r="Q15"/>
      <c r="R15" s="618"/>
      <c r="S15" s="618"/>
      <c r="T15" s="626"/>
    </row>
    <row r="16" spans="1:20">
      <c r="C16" s="627"/>
      <c r="D16" s="627" t="s">
        <v>96</v>
      </c>
      <c r="E16" s="627"/>
      <c r="F16" s="627" t="s">
        <v>66</v>
      </c>
      <c r="G16" s="627"/>
      <c r="H16" s="627"/>
      <c r="I16" s="627"/>
      <c r="N16"/>
      <c r="O16" s="590"/>
      <c r="P16" s="624"/>
      <c r="Q16"/>
      <c r="R16" s="618"/>
      <c r="S16" s="618"/>
      <c r="T16" s="626"/>
    </row>
    <row r="17" spans="3:20">
      <c r="C17" s="627" t="s">
        <v>322</v>
      </c>
      <c r="D17" s="627" t="s">
        <v>320</v>
      </c>
      <c r="E17" s="627" t="s">
        <v>319</v>
      </c>
      <c r="F17" s="627" t="s">
        <v>320</v>
      </c>
      <c r="G17" s="627" t="s">
        <v>319</v>
      </c>
      <c r="H17" s="627" t="s">
        <v>321</v>
      </c>
      <c r="I17" s="627" t="s">
        <v>873</v>
      </c>
      <c r="N17"/>
      <c r="O17"/>
      <c r="P17"/>
      <c r="Q17"/>
      <c r="R17"/>
      <c r="S17" s="618"/>
      <c r="T17" s="626"/>
    </row>
    <row r="18" spans="3:20">
      <c r="C18" s="151">
        <v>2009</v>
      </c>
      <c r="D18" s="151"/>
      <c r="E18" s="151"/>
      <c r="F18" s="151">
        <v>1</v>
      </c>
      <c r="G18" s="620">
        <v>75000</v>
      </c>
      <c r="H18" s="621">
        <v>2444.44</v>
      </c>
      <c r="I18" s="620">
        <v>46300</v>
      </c>
      <c r="N18"/>
      <c r="O18" s="590"/>
      <c r="P18" s="625"/>
      <c r="Q18"/>
      <c r="R18" s="587"/>
      <c r="S18" s="626"/>
      <c r="T18" s="626"/>
    </row>
    <row r="19" spans="3:20">
      <c r="C19" s="151">
        <v>2010</v>
      </c>
      <c r="D19" s="151"/>
      <c r="E19" s="151"/>
      <c r="F19" s="151">
        <v>1</v>
      </c>
      <c r="G19" s="620">
        <v>77500</v>
      </c>
      <c r="H19" s="621">
        <v>2494.44</v>
      </c>
      <c r="I19" s="620">
        <v>47200</v>
      </c>
      <c r="N19"/>
      <c r="O19" s="590"/>
      <c r="P19" s="625"/>
      <c r="Q19"/>
      <c r="R19" s="587"/>
      <c r="S19" s="626"/>
      <c r="T19" s="626"/>
    </row>
    <row r="20" spans="3:20">
      <c r="C20" s="151">
        <v>2011</v>
      </c>
      <c r="D20" s="151"/>
      <c r="E20" s="151"/>
      <c r="F20" s="151">
        <v>1</v>
      </c>
      <c r="G20" s="620">
        <v>80000</v>
      </c>
      <c r="H20" s="621">
        <v>2552.2199999999998</v>
      </c>
      <c r="I20" s="620">
        <v>48300</v>
      </c>
      <c r="N20"/>
      <c r="O20" s="590"/>
      <c r="P20" s="625"/>
      <c r="Q20"/>
      <c r="R20" s="618"/>
      <c r="S20" s="618"/>
      <c r="T20"/>
    </row>
    <row r="21" spans="3:20">
      <c r="C21" s="151">
        <v>2012</v>
      </c>
      <c r="D21" s="151"/>
      <c r="E21" s="151"/>
      <c r="F21" s="151">
        <v>1</v>
      </c>
      <c r="G21" s="620">
        <v>82400</v>
      </c>
      <c r="H21" s="621">
        <v>2646.67</v>
      </c>
      <c r="I21" s="620">
        <v>50100</v>
      </c>
      <c r="N21"/>
      <c r="O21" s="590"/>
      <c r="P21" s="625"/>
      <c r="Q21"/>
      <c r="R21" s="618"/>
      <c r="S21" s="618"/>
      <c r="T21"/>
    </row>
    <row r="22" spans="3:20">
      <c r="C22" s="151">
        <v>2013</v>
      </c>
      <c r="D22" s="151"/>
      <c r="E22" s="151"/>
      <c r="F22" s="151">
        <v>1</v>
      </c>
      <c r="G22" s="620">
        <v>83000</v>
      </c>
      <c r="H22" s="621">
        <v>2696.67</v>
      </c>
      <c r="I22" s="620">
        <v>51100</v>
      </c>
      <c r="N22"/>
      <c r="O22" s="590"/>
      <c r="P22" s="624"/>
      <c r="Q22"/>
      <c r="R22" s="587"/>
      <c r="S22" s="618"/>
      <c r="T22"/>
    </row>
    <row r="23" spans="3:20">
      <c r="C23" s="151">
        <v>2014</v>
      </c>
      <c r="D23" s="151"/>
      <c r="E23" s="151"/>
      <c r="F23" s="151">
        <v>1</v>
      </c>
      <c r="G23" s="620">
        <v>85200</v>
      </c>
      <c r="H23" s="621">
        <v>2770</v>
      </c>
      <c r="I23" s="620">
        <v>52500</v>
      </c>
      <c r="N23"/>
      <c r="O23" s="590"/>
      <c r="P23" s="624"/>
      <c r="Q23"/>
      <c r="R23" s="587"/>
      <c r="S23" s="618"/>
      <c r="T23"/>
    </row>
    <row r="24" spans="3:20">
      <c r="C24" s="151">
        <v>2015</v>
      </c>
      <c r="D24" s="151"/>
      <c r="E24" s="151"/>
      <c r="F24" s="151">
        <v>1</v>
      </c>
      <c r="G24" s="620">
        <v>85700</v>
      </c>
      <c r="H24" s="621">
        <v>2818.89</v>
      </c>
      <c r="I24" s="620">
        <v>53600</v>
      </c>
      <c r="N24"/>
      <c r="O24"/>
      <c r="P24"/>
      <c r="Q24"/>
      <c r="R24"/>
      <c r="S24" s="618"/>
      <c r="T24"/>
    </row>
    <row r="25" spans="3:20">
      <c r="C25" s="151">
        <v>2016</v>
      </c>
      <c r="D25" s="151"/>
      <c r="E25" s="151"/>
      <c r="F25" s="151">
        <v>1</v>
      </c>
      <c r="G25" s="620">
        <v>85900</v>
      </c>
      <c r="H25" s="621">
        <v>2890</v>
      </c>
      <c r="I25" s="620">
        <v>54900</v>
      </c>
      <c r="N25"/>
      <c r="O25" s="586"/>
      <c r="P25" s="623"/>
      <c r="Q25"/>
      <c r="R25" s="587"/>
      <c r="S25" s="618"/>
      <c r="T25"/>
    </row>
    <row r="26" spans="3:20">
      <c r="C26" s="151">
        <v>2017</v>
      </c>
      <c r="D26" s="151"/>
      <c r="E26" s="151"/>
      <c r="F26" s="151">
        <v>1</v>
      </c>
      <c r="G26" s="620">
        <v>86400</v>
      </c>
      <c r="H26" s="621">
        <v>2914.44</v>
      </c>
      <c r="I26" s="620">
        <v>55300</v>
      </c>
      <c r="N26"/>
      <c r="O26" s="586"/>
      <c r="P26" s="623"/>
      <c r="Q26"/>
      <c r="R26" s="587"/>
      <c r="S26" s="618"/>
      <c r="T26"/>
    </row>
    <row r="27" spans="3:20">
      <c r="C27" s="151">
        <v>2018</v>
      </c>
      <c r="D27" s="151"/>
      <c r="E27" s="151"/>
      <c r="F27" s="151">
        <v>1</v>
      </c>
      <c r="G27" s="620">
        <v>84800</v>
      </c>
      <c r="H27" s="621">
        <v>2944.44</v>
      </c>
      <c r="I27" s="620">
        <v>55900</v>
      </c>
      <c r="N27"/>
      <c r="O27"/>
      <c r="P27"/>
      <c r="Q27"/>
      <c r="R27" s="28"/>
      <c r="S27" s="618"/>
      <c r="T27"/>
    </row>
    <row r="28" spans="3:20">
      <c r="C28" s="151">
        <v>2019</v>
      </c>
      <c r="D28" s="151">
        <v>1</v>
      </c>
      <c r="E28" s="620">
        <v>210000</v>
      </c>
      <c r="F28" s="151">
        <v>1</v>
      </c>
      <c r="G28" s="620">
        <v>84800</v>
      </c>
      <c r="H28" s="621">
        <v>3025.56</v>
      </c>
      <c r="I28" s="620">
        <v>57400</v>
      </c>
      <c r="N28" s="614"/>
      <c r="O28"/>
      <c r="P28"/>
      <c r="Q28"/>
      <c r="R28"/>
      <c r="S28" s="618"/>
      <c r="T28"/>
    </row>
    <row r="29" spans="3:20">
      <c r="C29" s="151">
        <v>2020</v>
      </c>
      <c r="D29" s="151">
        <v>1</v>
      </c>
      <c r="E29" s="620">
        <v>215000</v>
      </c>
      <c r="F29" s="151">
        <v>1</v>
      </c>
      <c r="G29" s="620">
        <v>85100</v>
      </c>
      <c r="H29" s="621">
        <v>3092.22</v>
      </c>
      <c r="I29" s="620">
        <v>58700</v>
      </c>
      <c r="N29"/>
      <c r="O29" s="590"/>
      <c r="P29" s="622"/>
      <c r="Q29"/>
      <c r="R29" s="587"/>
      <c r="S29" s="618"/>
      <c r="T29"/>
    </row>
    <row r="30" spans="3:20">
      <c r="C30" s="151">
        <v>2021</v>
      </c>
      <c r="D30" s="151">
        <v>1</v>
      </c>
      <c r="E30" s="620">
        <v>245000</v>
      </c>
      <c r="F30" s="151">
        <v>1</v>
      </c>
      <c r="G30" s="620">
        <v>85400</v>
      </c>
      <c r="H30" s="621">
        <v>3245.56</v>
      </c>
      <c r="I30" s="620">
        <v>61600</v>
      </c>
      <c r="N30"/>
      <c r="O30" s="590"/>
      <c r="P30" s="622"/>
      <c r="Q30"/>
      <c r="R30" s="587"/>
      <c r="S30" s="618"/>
      <c r="T30"/>
    </row>
    <row r="31" spans="3:20">
      <c r="C31" s="151">
        <v>2022</v>
      </c>
      <c r="D31" s="151">
        <v>1</v>
      </c>
      <c r="E31" s="620">
        <v>255500</v>
      </c>
      <c r="F31" s="151">
        <v>1</v>
      </c>
      <c r="G31" s="620">
        <v>86000</v>
      </c>
      <c r="H31" s="621">
        <v>3420</v>
      </c>
      <c r="I31" s="620">
        <v>64900</v>
      </c>
      <c r="N31"/>
      <c r="O31"/>
      <c r="P31"/>
      <c r="Q31"/>
      <c r="R31"/>
      <c r="S31" s="618"/>
      <c r="T31"/>
    </row>
    <row r="32" spans="3:20">
      <c r="C32" s="151">
        <v>2023</v>
      </c>
      <c r="D32" s="151">
        <v>1</v>
      </c>
      <c r="E32" s="620">
        <v>230000</v>
      </c>
      <c r="F32" s="151">
        <v>1</v>
      </c>
      <c r="G32" s="620">
        <v>86500</v>
      </c>
      <c r="H32" s="621">
        <v>3506.67</v>
      </c>
      <c r="I32" s="620">
        <v>66600</v>
      </c>
      <c r="N32"/>
      <c r="O32" s="586"/>
      <c r="P32" s="619"/>
      <c r="Q32"/>
      <c r="R32" s="587"/>
      <c r="S32" s="618"/>
      <c r="T32"/>
    </row>
    <row r="33" spans="3:49">
      <c r="N33"/>
      <c r="O33" s="586"/>
      <c r="P33" s="619"/>
      <c r="Q33"/>
      <c r="R33" s="587"/>
      <c r="S33" s="618"/>
      <c r="T33"/>
    </row>
    <row r="34" spans="3:49">
      <c r="N34"/>
      <c r="O34" s="590"/>
      <c r="P34" s="617"/>
      <c r="Q34"/>
      <c r="R34" s="28"/>
      <c r="S34" s="618"/>
      <c r="T34"/>
    </row>
    <row r="35" spans="3:49">
      <c r="C35" s="2" t="s">
        <v>872</v>
      </c>
      <c r="N35"/>
      <c r="O35" s="590"/>
      <c r="P35" s="617"/>
      <c r="Q35"/>
      <c r="R35"/>
      <c r="S35"/>
      <c r="T35"/>
    </row>
    <row r="36" spans="3:49">
      <c r="C36" s="151" t="s">
        <v>871</v>
      </c>
      <c r="D36" s="150" t="s">
        <v>127</v>
      </c>
      <c r="E36" s="149"/>
      <c r="F36" s="149"/>
      <c r="G36" s="149"/>
      <c r="H36" s="148"/>
      <c r="N36"/>
      <c r="O36"/>
      <c r="P36" s="617"/>
      <c r="Q36"/>
      <c r="R36"/>
      <c r="S36"/>
      <c r="T36"/>
    </row>
    <row r="37" spans="3:49">
      <c r="C37" s="154" t="s">
        <v>870</v>
      </c>
      <c r="D37" s="55" t="s">
        <v>869</v>
      </c>
      <c r="E37" s="56"/>
      <c r="F37" s="56"/>
      <c r="G37" s="56"/>
      <c r="H37" s="57"/>
      <c r="N37"/>
      <c r="O37"/>
      <c r="P37" s="601"/>
      <c r="Q37" s="585"/>
      <c r="R37"/>
      <c r="S37"/>
      <c r="T37"/>
    </row>
    <row r="38" spans="3:49">
      <c r="C38" s="153"/>
      <c r="D38" s="152" t="s">
        <v>868</v>
      </c>
      <c r="E38" s="59"/>
      <c r="F38" s="59"/>
      <c r="G38" s="59"/>
      <c r="H38" s="60"/>
      <c r="N38"/>
      <c r="O38"/>
      <c r="P38" s="616"/>
      <c r="Q38" s="616"/>
      <c r="R38"/>
      <c r="S38"/>
      <c r="T38"/>
    </row>
    <row r="39" spans="3:49">
      <c r="C39" s="151" t="s">
        <v>867</v>
      </c>
      <c r="D39" s="150" t="s">
        <v>135</v>
      </c>
      <c r="E39" s="149"/>
      <c r="F39" s="149"/>
      <c r="G39" s="149"/>
      <c r="H39" s="148"/>
      <c r="N39"/>
      <c r="O39"/>
      <c r="P39" s="616"/>
      <c r="Q39" s="616"/>
      <c r="R39"/>
      <c r="S39"/>
      <c r="T39"/>
    </row>
    <row r="40" spans="3:49">
      <c r="C40" s="154" t="s">
        <v>866</v>
      </c>
      <c r="D40" s="55" t="s">
        <v>865</v>
      </c>
      <c r="E40" s="56"/>
      <c r="F40" s="56"/>
      <c r="G40" s="56"/>
      <c r="H40" s="57"/>
      <c r="N40"/>
      <c r="O40" s="604"/>
      <c r="P40" s="615"/>
      <c r="Q40" s="615"/>
      <c r="R40"/>
      <c r="S40"/>
      <c r="T40"/>
    </row>
    <row r="41" spans="3:49" ht="31.5" customHeight="1">
      <c r="C41" s="153"/>
      <c r="D41" s="1831" t="s">
        <v>864</v>
      </c>
      <c r="E41" s="1832"/>
      <c r="F41" s="1832"/>
      <c r="G41" s="1832"/>
      <c r="H41" s="1833"/>
    </row>
    <row r="42" spans="3:49">
      <c r="C42" s="154" t="s">
        <v>863</v>
      </c>
      <c r="D42" s="55" t="s">
        <v>862</v>
      </c>
      <c r="E42" s="56"/>
      <c r="F42" s="56"/>
      <c r="G42" s="56"/>
      <c r="H42" s="57"/>
      <c r="N42" s="614"/>
      <c r="O42" s="603"/>
      <c r="P42" s="602"/>
      <c r="Q42"/>
      <c r="R42"/>
      <c r="S42"/>
      <c r="T42"/>
      <c r="U42" s="587"/>
      <c r="V42" s="587"/>
      <c r="W42" s="587"/>
      <c r="X42" s="587"/>
      <c r="Y42" s="587"/>
      <c r="Z42" s="587"/>
      <c r="AA42" s="587"/>
      <c r="AB42" s="587"/>
      <c r="AC42" s="587"/>
      <c r="AD42" s="587"/>
      <c r="AE42" s="587"/>
      <c r="AF42" s="587"/>
      <c r="AG42" s="587"/>
      <c r="AH42" s="587"/>
      <c r="AI42" s="587"/>
      <c r="AJ42" s="587"/>
      <c r="AK42" s="587"/>
      <c r="AL42"/>
      <c r="AM42"/>
      <c r="AN42"/>
      <c r="AO42"/>
      <c r="AP42"/>
      <c r="AQ42"/>
      <c r="AR42"/>
      <c r="AS42"/>
      <c r="AT42"/>
      <c r="AU42"/>
      <c r="AV42"/>
      <c r="AW42"/>
    </row>
    <row r="43" spans="3:49">
      <c r="C43" s="151" t="s">
        <v>861</v>
      </c>
      <c r="D43" s="150" t="s">
        <v>253</v>
      </c>
      <c r="E43" s="149"/>
      <c r="F43" s="149"/>
      <c r="G43" s="149"/>
      <c r="H43" s="148"/>
      <c r="N43"/>
      <c r="O43"/>
      <c r="P43"/>
      <c r="Q43"/>
      <c r="R43"/>
      <c r="S43"/>
      <c r="T43"/>
      <c r="U43" s="587"/>
      <c r="V43" s="587"/>
      <c r="W43" s="587"/>
      <c r="X43" s="587"/>
      <c r="Y43" s="587"/>
      <c r="Z43" s="587"/>
      <c r="AA43" s="587"/>
      <c r="AB43" s="587"/>
      <c r="AC43" s="587"/>
      <c r="AD43" s="587"/>
      <c r="AE43" s="587"/>
      <c r="AF43" s="587"/>
      <c r="AG43" s="587"/>
      <c r="AH43" s="587"/>
      <c r="AI43" s="587"/>
      <c r="AJ43" s="587"/>
      <c r="AK43" s="587"/>
      <c r="AL43"/>
      <c r="AM43"/>
      <c r="AN43"/>
      <c r="AO43"/>
      <c r="AP43"/>
      <c r="AQ43"/>
      <c r="AR43"/>
      <c r="AS43"/>
      <c r="AT43"/>
      <c r="AU43"/>
      <c r="AV43"/>
      <c r="AW43"/>
    </row>
    <row r="44" spans="3:49">
      <c r="C44" s="151" t="s">
        <v>311</v>
      </c>
      <c r="D44" s="150" t="s">
        <v>860</v>
      </c>
      <c r="E44" s="149"/>
      <c r="F44" s="149"/>
      <c r="G44" s="149"/>
      <c r="H44" s="148"/>
      <c r="N44"/>
      <c r="O44"/>
      <c r="P44"/>
      <c r="Q44"/>
      <c r="R44"/>
      <c r="S44" s="600"/>
      <c r="T44"/>
      <c r="U44" s="587"/>
      <c r="V44" s="587"/>
      <c r="W44" s="587"/>
      <c r="X44" s="587"/>
      <c r="Y44" s="587"/>
      <c r="Z44" s="587"/>
      <c r="AA44" s="587"/>
      <c r="AB44" s="587"/>
      <c r="AC44" s="587"/>
      <c r="AD44" s="587"/>
      <c r="AE44" s="587"/>
      <c r="AF44" s="587"/>
      <c r="AG44" s="587"/>
      <c r="AH44" s="587"/>
      <c r="AI44" s="587"/>
      <c r="AJ44" s="587"/>
      <c r="AK44" s="587"/>
      <c r="AL44"/>
      <c r="AM44"/>
      <c r="AN44"/>
      <c r="AO44"/>
      <c r="AP44"/>
      <c r="AQ44"/>
      <c r="AR44"/>
      <c r="AS44"/>
      <c r="AT44"/>
      <c r="AU44"/>
      <c r="AV44"/>
      <c r="AW44"/>
    </row>
    <row r="45" spans="3:49">
      <c r="C45" s="151" t="s">
        <v>859</v>
      </c>
      <c r="D45" s="150" t="s">
        <v>308</v>
      </c>
      <c r="E45" s="149"/>
      <c r="F45" s="149"/>
      <c r="G45" s="149"/>
      <c r="H45" s="148"/>
      <c r="N45"/>
      <c r="O45"/>
      <c r="P45" s="586"/>
      <c r="Q45" s="601"/>
      <c r="R45" s="601"/>
      <c r="S45" s="601"/>
      <c r="T45" s="601"/>
      <c r="U45" s="601"/>
      <c r="V45" s="601"/>
      <c r="W45" s="587"/>
      <c r="X45" s="587"/>
      <c r="Y45" s="587"/>
      <c r="Z45" s="587"/>
      <c r="AA45" s="587"/>
      <c r="AB45" s="587"/>
      <c r="AC45" s="587"/>
      <c r="AD45" s="587"/>
      <c r="AE45" s="587"/>
      <c r="AF45" s="587"/>
      <c r="AG45" s="587"/>
      <c r="AH45" s="587"/>
      <c r="AI45" s="587"/>
      <c r="AJ45" s="587"/>
      <c r="AK45" s="587"/>
      <c r="AL45"/>
      <c r="AM45"/>
      <c r="AN45"/>
      <c r="AO45"/>
      <c r="AP45"/>
      <c r="AQ45"/>
      <c r="AR45"/>
      <c r="AS45"/>
      <c r="AT45"/>
      <c r="AU45"/>
      <c r="AV45"/>
      <c r="AW45"/>
    </row>
    <row r="46" spans="3:49">
      <c r="N46"/>
      <c r="O46"/>
      <c r="P46"/>
      <c r="R46" s="587"/>
      <c r="S46" s="600"/>
      <c r="T46"/>
      <c r="U46" s="589"/>
      <c r="V46" s="589"/>
      <c r="W46" s="587"/>
      <c r="X46" s="587"/>
      <c r="Y46" s="587"/>
      <c r="Z46" s="587"/>
      <c r="AA46" s="587"/>
      <c r="AB46" s="587"/>
      <c r="AC46" s="587"/>
      <c r="AD46" s="587"/>
      <c r="AE46" s="587"/>
      <c r="AF46" s="587"/>
      <c r="AG46" s="587"/>
      <c r="AH46" s="587"/>
      <c r="AI46" s="587"/>
      <c r="AJ46" s="587"/>
      <c r="AK46" s="587"/>
      <c r="AL46"/>
      <c r="AM46"/>
      <c r="AN46"/>
      <c r="AO46"/>
      <c r="AP46"/>
      <c r="AQ46"/>
      <c r="AR46"/>
      <c r="AS46"/>
      <c r="AT46"/>
      <c r="AU46"/>
      <c r="AV46"/>
      <c r="AW46"/>
    </row>
    <row r="47" spans="3:49">
      <c r="C47" s="2" t="s">
        <v>126</v>
      </c>
      <c r="N47"/>
      <c r="O47"/>
      <c r="P47"/>
      <c r="R47" s="587"/>
      <c r="S47" s="600"/>
      <c r="T47"/>
      <c r="U47" s="589"/>
      <c r="V47" s="589"/>
      <c r="W47" s="587"/>
      <c r="X47" s="587"/>
      <c r="Y47" s="587"/>
      <c r="Z47" s="587"/>
      <c r="AA47" s="587"/>
      <c r="AB47" s="587"/>
      <c r="AC47" s="587"/>
      <c r="AD47" s="587"/>
      <c r="AE47" s="587"/>
      <c r="AF47" s="587"/>
      <c r="AG47" s="587"/>
      <c r="AH47" s="587"/>
      <c r="AI47" s="587"/>
      <c r="AJ47" s="587"/>
      <c r="AK47" s="587"/>
      <c r="AL47"/>
      <c r="AM47"/>
      <c r="AN47"/>
      <c r="AO47"/>
      <c r="AP47"/>
      <c r="AQ47"/>
      <c r="AR47"/>
      <c r="AS47"/>
      <c r="AT47"/>
      <c r="AU47"/>
      <c r="AV47"/>
      <c r="AW47"/>
    </row>
    <row r="48" spans="3:49">
      <c r="N48"/>
      <c r="O48"/>
      <c r="P48"/>
      <c r="R48" s="587"/>
      <c r="S48" s="600"/>
      <c r="T48"/>
      <c r="U48" s="589"/>
      <c r="V48" s="589"/>
      <c r="W48" s="587"/>
      <c r="X48" s="587"/>
      <c r="Y48" s="587"/>
      <c r="Z48" s="587"/>
      <c r="AA48" s="587"/>
      <c r="AB48" s="587"/>
      <c r="AC48" s="587"/>
      <c r="AD48" s="587"/>
      <c r="AE48" s="587"/>
      <c r="AF48" s="587"/>
      <c r="AG48" s="587"/>
      <c r="AH48" s="587"/>
      <c r="AI48" s="587"/>
      <c r="AJ48" s="587"/>
      <c r="AK48" s="587"/>
      <c r="AL48"/>
      <c r="AM48"/>
      <c r="AN48"/>
      <c r="AO48"/>
      <c r="AP48"/>
      <c r="AQ48"/>
      <c r="AR48"/>
      <c r="AS48"/>
      <c r="AT48"/>
      <c r="AU48"/>
      <c r="AV48"/>
      <c r="AW48"/>
    </row>
    <row r="49" spans="1:49" ht="46.8">
      <c r="A49" s="129"/>
      <c r="B49" s="129"/>
      <c r="C49" s="613" t="s">
        <v>103</v>
      </c>
      <c r="D49" s="612" t="s">
        <v>307</v>
      </c>
      <c r="E49" s="612" t="s">
        <v>858</v>
      </c>
      <c r="F49" s="612" t="s">
        <v>857</v>
      </c>
      <c r="G49" s="612" t="s">
        <v>115</v>
      </c>
      <c r="H49" s="612" t="s">
        <v>102</v>
      </c>
      <c r="I49" s="129"/>
      <c r="J49" s="129"/>
      <c r="N49"/>
      <c r="O49"/>
      <c r="P49"/>
      <c r="R49" s="587"/>
      <c r="S49" s="600"/>
      <c r="T49"/>
      <c r="U49" s="589"/>
      <c r="V49" s="589"/>
      <c r="W49" s="587"/>
      <c r="X49" s="587"/>
      <c r="Y49" s="587"/>
      <c r="Z49" s="587"/>
      <c r="AA49" s="587"/>
      <c r="AB49" s="587"/>
      <c r="AC49" s="587"/>
      <c r="AD49" s="587"/>
      <c r="AE49" s="587"/>
      <c r="AF49" s="587"/>
      <c r="AG49" s="587"/>
      <c r="AH49" s="587"/>
      <c r="AI49" s="587"/>
      <c r="AJ49" s="587"/>
      <c r="AK49" s="587"/>
      <c r="AL49"/>
      <c r="AM49"/>
      <c r="AN49"/>
      <c r="AO49"/>
      <c r="AP49"/>
      <c r="AQ49"/>
      <c r="AR49"/>
      <c r="AS49"/>
      <c r="AT49"/>
      <c r="AU49"/>
      <c r="AV49"/>
      <c r="AW49"/>
    </row>
    <row r="50" spans="1:49" s="607" customFormat="1">
      <c r="A50" s="2"/>
      <c r="B50" s="2"/>
      <c r="C50" s="152"/>
      <c r="D50" s="611" t="s">
        <v>306</v>
      </c>
      <c r="E50" s="611" t="s">
        <v>856</v>
      </c>
      <c r="F50" s="611" t="s">
        <v>855</v>
      </c>
      <c r="G50" s="611"/>
      <c r="H50" s="611"/>
      <c r="I50" s="2"/>
      <c r="J50" s="2"/>
      <c r="N50"/>
      <c r="O50"/>
      <c r="P50"/>
      <c r="R50" s="587"/>
      <c r="S50" s="600"/>
      <c r="T50"/>
      <c r="U50" s="589"/>
      <c r="V50" s="589"/>
      <c r="W50" s="587"/>
      <c r="X50" s="587"/>
      <c r="Y50" s="587"/>
      <c r="Z50" s="587"/>
      <c r="AA50" s="587"/>
      <c r="AB50" s="587"/>
      <c r="AC50" s="587"/>
      <c r="AD50" s="587"/>
      <c r="AE50" s="587"/>
      <c r="AF50" s="587"/>
      <c r="AG50" s="587"/>
      <c r="AH50" s="587"/>
      <c r="AI50" s="587"/>
      <c r="AJ50" s="587"/>
      <c r="AK50" s="587"/>
      <c r="AL50"/>
      <c r="AM50"/>
      <c r="AN50"/>
      <c r="AO50"/>
      <c r="AP50"/>
      <c r="AQ50"/>
      <c r="AR50"/>
      <c r="AS50"/>
      <c r="AT50"/>
      <c r="AU50"/>
      <c r="AV50"/>
      <c r="AW50"/>
    </row>
    <row r="51" spans="1:49">
      <c r="C51" s="610">
        <v>45231</v>
      </c>
      <c r="D51" s="73">
        <v>3.3700000000000001E-2</v>
      </c>
      <c r="E51" s="73">
        <v>3.3000000000000002E-2</v>
      </c>
      <c r="F51" s="73">
        <v>1.35E-2</v>
      </c>
      <c r="G51" s="73">
        <v>4.0099999999999997E-2</v>
      </c>
      <c r="H51" s="73">
        <v>4.3400000000000001E-2</v>
      </c>
      <c r="N51"/>
      <c r="O51"/>
      <c r="P51"/>
      <c r="R51" s="587"/>
      <c r="S51" s="600"/>
      <c r="T51"/>
      <c r="U51" s="589"/>
      <c r="V51" s="589"/>
      <c r="W51" s="587"/>
      <c r="X51" s="587"/>
      <c r="Y51" s="587"/>
      <c r="Z51" s="587"/>
      <c r="AA51" s="587"/>
      <c r="AB51" s="587"/>
      <c r="AC51" s="587"/>
      <c r="AD51" s="587"/>
      <c r="AE51" s="587"/>
      <c r="AF51" s="587"/>
      <c r="AG51" s="587"/>
      <c r="AH51" s="587"/>
      <c r="AI51" s="587"/>
      <c r="AJ51" s="587"/>
      <c r="AK51" s="587"/>
      <c r="AL51"/>
      <c r="AM51"/>
      <c r="AN51"/>
      <c r="AO51"/>
      <c r="AP51"/>
      <c r="AQ51"/>
      <c r="AR51"/>
      <c r="AS51"/>
      <c r="AT51"/>
      <c r="AU51"/>
      <c r="AV51"/>
      <c r="AW51"/>
    </row>
    <row r="52" spans="1:49">
      <c r="C52" s="610">
        <v>45261</v>
      </c>
      <c r="D52" s="73">
        <v>2.9000000000000001E-2</v>
      </c>
      <c r="E52" s="73">
        <v>3.04E-2</v>
      </c>
      <c r="F52" s="73">
        <v>1.34E-2</v>
      </c>
      <c r="G52" s="73">
        <v>3.5799999999999998E-2</v>
      </c>
      <c r="H52" s="73">
        <v>4.0899999999999999E-2</v>
      </c>
      <c r="N52"/>
      <c r="O52"/>
      <c r="P52"/>
      <c r="R52" s="587"/>
      <c r="S52" s="600"/>
      <c r="T52"/>
      <c r="U52" s="589"/>
      <c r="V52" s="589"/>
      <c r="W52" s="587"/>
      <c r="X52" s="587"/>
      <c r="Y52" s="587"/>
      <c r="Z52" s="587"/>
      <c r="AA52" s="587"/>
      <c r="AB52" s="587"/>
      <c r="AC52" s="587"/>
      <c r="AD52" s="587"/>
      <c r="AE52" s="587"/>
      <c r="AF52" s="587"/>
      <c r="AG52" s="587"/>
      <c r="AH52" s="587"/>
      <c r="AI52" s="587"/>
      <c r="AJ52" s="587"/>
      <c r="AK52" s="587"/>
      <c r="AL52"/>
      <c r="AM52"/>
      <c r="AN52"/>
      <c r="AO52"/>
      <c r="AP52"/>
      <c r="AQ52"/>
      <c r="AR52"/>
      <c r="AS52"/>
      <c r="AT52"/>
      <c r="AU52"/>
      <c r="AV52"/>
      <c r="AW52"/>
    </row>
    <row r="53" spans="1:49">
      <c r="C53" s="610">
        <v>45292</v>
      </c>
      <c r="D53" s="73">
        <v>2.92E-2</v>
      </c>
      <c r="E53" s="73">
        <v>3.0599999999999999E-2</v>
      </c>
      <c r="F53" s="73">
        <v>1.37E-2</v>
      </c>
      <c r="G53" s="73">
        <v>3.6499999999999998E-2</v>
      </c>
      <c r="H53" s="73">
        <v>4.1500000000000002E-2</v>
      </c>
      <c r="N53"/>
      <c r="O53"/>
      <c r="P53"/>
      <c r="R53" s="587"/>
      <c r="S53" s="600"/>
      <c r="T53"/>
      <c r="U53" s="589"/>
      <c r="V53" s="589"/>
      <c r="W53" s="587"/>
      <c r="X53" s="587"/>
      <c r="Y53" s="587"/>
      <c r="Z53" s="587"/>
      <c r="AA53" s="587"/>
      <c r="AB53" s="587"/>
      <c r="AC53" s="587"/>
      <c r="AD53" s="587"/>
      <c r="AE53" s="587"/>
      <c r="AF53" s="587"/>
      <c r="AG53" s="587"/>
      <c r="AH53" s="587"/>
      <c r="AI53" s="587"/>
      <c r="AJ53" s="587"/>
      <c r="AK53" s="587"/>
      <c r="AL53"/>
      <c r="AM53"/>
      <c r="AN53"/>
      <c r="AO53"/>
      <c r="AP53"/>
      <c r="AQ53"/>
      <c r="AR53"/>
      <c r="AS53"/>
      <c r="AT53"/>
      <c r="AU53"/>
      <c r="AV53"/>
      <c r="AW53"/>
    </row>
    <row r="54" spans="1:49">
      <c r="N54"/>
      <c r="O54"/>
      <c r="P54"/>
      <c r="R54" s="587"/>
      <c r="S54" s="600"/>
      <c r="T54"/>
      <c r="U54" s="589"/>
      <c r="V54" s="589"/>
      <c r="W54" s="587"/>
      <c r="X54" s="587"/>
      <c r="Y54" s="587"/>
      <c r="Z54" s="587"/>
      <c r="AA54" s="587"/>
      <c r="AB54" s="587"/>
      <c r="AC54" s="587"/>
      <c r="AD54" s="587"/>
      <c r="AE54" s="587"/>
      <c r="AF54" s="587"/>
      <c r="AG54" s="587"/>
      <c r="AH54" s="587"/>
      <c r="AI54" s="587"/>
      <c r="AJ54" s="587"/>
      <c r="AK54" s="587"/>
      <c r="AL54"/>
      <c r="AM54"/>
      <c r="AN54"/>
      <c r="AO54"/>
      <c r="AP54"/>
      <c r="AQ54"/>
      <c r="AR54"/>
      <c r="AS54"/>
      <c r="AT54"/>
      <c r="AU54"/>
      <c r="AV54"/>
      <c r="AW54"/>
    </row>
    <row r="55" spans="1:49" ht="62.4">
      <c r="A55" s="129"/>
      <c r="B55" s="129"/>
      <c r="C55" s="75" t="s">
        <v>103</v>
      </c>
      <c r="D55" s="75" t="s">
        <v>114</v>
      </c>
      <c r="E55" s="75" t="s">
        <v>101</v>
      </c>
      <c r="F55" s="75" t="s">
        <v>113</v>
      </c>
      <c r="G55" s="75" t="s">
        <v>100</v>
      </c>
      <c r="H55" s="129"/>
      <c r="I55" s="129"/>
      <c r="J55" s="129"/>
      <c r="N55"/>
      <c r="O55"/>
      <c r="P55"/>
      <c r="R55" s="587"/>
      <c r="S55" s="600"/>
      <c r="T55"/>
      <c r="U55" s="589"/>
      <c r="V55" s="589"/>
      <c r="W55" s="587"/>
      <c r="X55" s="587"/>
      <c r="Y55" s="587"/>
      <c r="Z55" s="587"/>
      <c r="AA55" s="587"/>
      <c r="AB55" s="587"/>
      <c r="AC55" s="587"/>
      <c r="AD55" s="587"/>
      <c r="AE55" s="587"/>
      <c r="AF55" s="587"/>
      <c r="AG55" s="587"/>
      <c r="AH55" s="587"/>
      <c r="AI55" s="587"/>
      <c r="AJ55" s="587"/>
      <c r="AK55" s="587"/>
      <c r="AL55"/>
      <c r="AM55"/>
      <c r="AN55"/>
      <c r="AO55"/>
      <c r="AP55"/>
      <c r="AQ55"/>
      <c r="AR55"/>
      <c r="AS55"/>
      <c r="AT55"/>
      <c r="AU55"/>
      <c r="AV55"/>
      <c r="AW55"/>
    </row>
    <row r="56" spans="1:49" s="607" customFormat="1">
      <c r="A56" s="2"/>
      <c r="B56" s="2"/>
      <c r="C56" s="610">
        <v>45231</v>
      </c>
      <c r="D56" s="73">
        <v>5.1700000000000003E-2</v>
      </c>
      <c r="E56" s="73">
        <v>5.2900000000000003E-2</v>
      </c>
      <c r="F56" s="73">
        <v>3.3799999999999997E-2</v>
      </c>
      <c r="G56" s="73">
        <v>3.0499999999999999E-2</v>
      </c>
      <c r="H56" s="2"/>
      <c r="I56" s="2"/>
      <c r="J56" s="2"/>
      <c r="N56"/>
      <c r="O56"/>
      <c r="P56"/>
      <c r="Q56" s="600"/>
      <c r="R56" s="589"/>
      <c r="S56" s="589"/>
      <c r="T56"/>
      <c r="U56" s="589"/>
      <c r="V56" s="589"/>
      <c r="W56" s="587"/>
      <c r="X56" s="587"/>
      <c r="Y56" s="587"/>
      <c r="Z56" s="587"/>
      <c r="AA56" s="587"/>
      <c r="AB56" s="587"/>
      <c r="AC56" s="587"/>
      <c r="AD56" s="587"/>
      <c r="AE56" s="587"/>
      <c r="AF56" s="587"/>
      <c r="AG56" s="587"/>
      <c r="AH56" s="587"/>
      <c r="AI56" s="587"/>
      <c r="AJ56" s="587"/>
      <c r="AK56" s="587"/>
      <c r="AL56"/>
      <c r="AM56"/>
      <c r="AN56"/>
      <c r="AO56"/>
      <c r="AP56"/>
      <c r="AQ56"/>
      <c r="AR56"/>
      <c r="AS56"/>
      <c r="AT56"/>
      <c r="AU56"/>
      <c r="AV56"/>
      <c r="AW56"/>
    </row>
    <row r="57" spans="1:49">
      <c r="C57" s="610">
        <v>45261</v>
      </c>
      <c r="D57" s="73">
        <v>4.9500000000000002E-2</v>
      </c>
      <c r="E57" s="73">
        <v>5.1200000000000002E-2</v>
      </c>
      <c r="F57" s="73">
        <v>2.92E-2</v>
      </c>
      <c r="G57" s="73">
        <v>3.0499999999999999E-2</v>
      </c>
      <c r="N57"/>
      <c r="O57"/>
      <c r="P57"/>
      <c r="Q57" s="600"/>
      <c r="R57" s="589"/>
      <c r="S57" s="589"/>
      <c r="T57"/>
      <c r="U57" s="589"/>
      <c r="V57" s="589"/>
      <c r="W57" s="587"/>
      <c r="X57" s="587"/>
      <c r="Y57" s="587"/>
      <c r="Z57" s="587"/>
      <c r="AA57" s="587"/>
      <c r="AB57" s="587"/>
      <c r="AC57" s="587"/>
      <c r="AD57" s="587"/>
      <c r="AE57" s="587"/>
      <c r="AF57" s="587"/>
      <c r="AG57" s="587"/>
      <c r="AH57" s="587"/>
      <c r="AI57" s="587"/>
      <c r="AJ57" s="587"/>
      <c r="AK57" s="587"/>
      <c r="AL57"/>
      <c r="AM57"/>
      <c r="AN57"/>
      <c r="AO57"/>
      <c r="AP57"/>
      <c r="AQ57"/>
      <c r="AR57"/>
      <c r="AS57"/>
      <c r="AT57"/>
      <c r="AU57"/>
      <c r="AV57"/>
      <c r="AW57"/>
    </row>
    <row r="58" spans="1:49">
      <c r="C58" s="610">
        <v>45292</v>
      </c>
      <c r="D58" s="73">
        <v>0.05</v>
      </c>
      <c r="E58" s="73">
        <v>5.1499999999999997E-2</v>
      </c>
      <c r="F58" s="73">
        <v>2.9499999999999998E-2</v>
      </c>
      <c r="G58" s="73">
        <v>3.0499999999999999E-2</v>
      </c>
      <c r="N58"/>
      <c r="O58"/>
      <c r="P58"/>
      <c r="Q58" s="600"/>
      <c r="R58" s="589"/>
      <c r="S58" s="589"/>
      <c r="T58"/>
      <c r="U58" s="589"/>
      <c r="V58" s="589"/>
      <c r="W58" s="587"/>
      <c r="X58" s="587"/>
      <c r="Y58" s="587"/>
      <c r="Z58" s="587"/>
      <c r="AA58" s="587"/>
      <c r="AB58" s="587"/>
      <c r="AC58" s="587"/>
      <c r="AD58" s="587"/>
      <c r="AE58" s="587"/>
      <c r="AF58" s="587"/>
      <c r="AG58" s="587"/>
      <c r="AH58" s="587"/>
      <c r="AI58" s="587"/>
      <c r="AJ58" s="587"/>
      <c r="AK58" s="587"/>
      <c r="AL58"/>
      <c r="AM58"/>
      <c r="AN58"/>
      <c r="AO58"/>
      <c r="AP58"/>
      <c r="AQ58"/>
      <c r="AR58"/>
      <c r="AS58"/>
      <c r="AT58"/>
      <c r="AU58"/>
      <c r="AV58"/>
      <c r="AW58"/>
    </row>
    <row r="59" spans="1:49">
      <c r="N59"/>
      <c r="O59"/>
      <c r="P59"/>
      <c r="Q59" s="600"/>
      <c r="R59" s="589"/>
      <c r="S59" s="589"/>
      <c r="T59"/>
      <c r="U59" s="589"/>
      <c r="V59" s="589"/>
      <c r="W59" s="587"/>
      <c r="X59" s="587"/>
      <c r="Y59" s="584"/>
      <c r="Z59" s="584"/>
      <c r="AA59" s="584"/>
      <c r="AB59" s="584"/>
      <c r="AC59" s="584"/>
      <c r="AD59" s="584"/>
      <c r="AE59" s="587"/>
      <c r="AF59" s="587"/>
      <c r="AG59" s="587"/>
      <c r="AH59" s="587"/>
      <c r="AI59" s="587"/>
      <c r="AJ59" s="587"/>
      <c r="AK59" s="587"/>
      <c r="AL59"/>
      <c r="AM59"/>
      <c r="AN59"/>
      <c r="AO59"/>
      <c r="AP59"/>
      <c r="AQ59"/>
      <c r="AR59"/>
      <c r="AS59"/>
      <c r="AT59"/>
      <c r="AU59"/>
      <c r="AV59"/>
      <c r="AW59"/>
    </row>
    <row r="60" spans="1:49">
      <c r="C60" s="2" t="s">
        <v>854</v>
      </c>
      <c r="N60"/>
      <c r="O60"/>
      <c r="P60"/>
      <c r="Q60" s="600"/>
      <c r="R60" s="589"/>
      <c r="S60" s="589"/>
      <c r="T60" s="600"/>
      <c r="U60" s="589"/>
      <c r="V60" s="589"/>
      <c r="W60" s="609"/>
      <c r="X60" s="609"/>
      <c r="Y60" s="584"/>
      <c r="Z60" s="584"/>
      <c r="AA60" s="584"/>
      <c r="AB60" s="584"/>
      <c r="AC60" s="584"/>
      <c r="AD60" s="584"/>
      <c r="AE60" s="587"/>
      <c r="AF60" s="587"/>
      <c r="AG60" s="587"/>
      <c r="AH60" s="587"/>
      <c r="AI60" s="587"/>
      <c r="AJ60" s="587"/>
      <c r="AK60" s="587"/>
      <c r="AL60"/>
      <c r="AM60"/>
      <c r="AN60"/>
      <c r="AO60"/>
      <c r="AP60"/>
      <c r="AQ60"/>
      <c r="AR60"/>
      <c r="AS60"/>
      <c r="AT60"/>
      <c r="AU60"/>
      <c r="AV60"/>
      <c r="AW60"/>
    </row>
    <row r="61" spans="1:49" ht="31.2">
      <c r="A61" s="129"/>
      <c r="B61" s="129"/>
      <c r="C61" s="608"/>
      <c r="D61" s="608" t="s">
        <v>244</v>
      </c>
      <c r="E61" s="608" t="s">
        <v>243</v>
      </c>
      <c r="F61" s="608"/>
      <c r="G61" s="608" t="s">
        <v>244</v>
      </c>
      <c r="H61" s="608" t="s">
        <v>243</v>
      </c>
      <c r="I61" s="129"/>
      <c r="J61" s="129"/>
      <c r="N61"/>
      <c r="O61"/>
      <c r="P61"/>
      <c r="Q61"/>
      <c r="R61"/>
      <c r="S61"/>
      <c r="T61"/>
      <c r="U61" s="587"/>
      <c r="V61" s="587"/>
      <c r="W61" s="587"/>
      <c r="X61" s="587"/>
      <c r="Y61" s="584"/>
      <c r="Z61" s="584"/>
      <c r="AA61" s="584"/>
      <c r="AB61" s="584"/>
      <c r="AC61" s="584"/>
      <c r="AD61" s="584"/>
      <c r="AE61" s="587"/>
      <c r="AF61" s="587"/>
      <c r="AG61" s="587"/>
      <c r="AH61" s="587"/>
      <c r="AI61" s="587"/>
      <c r="AJ61" s="587"/>
      <c r="AK61" s="587"/>
      <c r="AL61"/>
      <c r="AM61"/>
      <c r="AN61"/>
      <c r="AO61"/>
      <c r="AP61"/>
      <c r="AQ61"/>
      <c r="AR61"/>
      <c r="AS61"/>
      <c r="AT61"/>
      <c r="AU61"/>
      <c r="AV61"/>
      <c r="AW61"/>
    </row>
    <row r="62" spans="1:49" s="607" customFormat="1" ht="19.8">
      <c r="A62" s="2"/>
      <c r="B62" s="2"/>
      <c r="C62" s="131" t="s">
        <v>853</v>
      </c>
      <c r="D62" s="151">
        <v>22.3</v>
      </c>
      <c r="E62" s="151"/>
      <c r="F62" s="131" t="s">
        <v>852</v>
      </c>
      <c r="G62" s="151">
        <v>7.2</v>
      </c>
      <c r="H62" s="151"/>
      <c r="I62" s="2"/>
      <c r="J62" s="2"/>
      <c r="N62"/>
      <c r="O62"/>
      <c r="P62"/>
      <c r="Q62"/>
      <c r="R62" s="590"/>
      <c r="S62" s="600"/>
      <c r="Y62" s="584"/>
      <c r="Z62" s="584"/>
      <c r="AA62" s="584"/>
      <c r="AB62" s="584"/>
      <c r="AC62" s="584"/>
      <c r="AD62" s="584"/>
      <c r="AE62" s="587"/>
      <c r="AF62" s="587"/>
      <c r="AG62" s="587"/>
      <c r="AH62" s="587"/>
      <c r="AI62" s="587"/>
      <c r="AJ62" s="587"/>
      <c r="AK62" s="587"/>
      <c r="AL62"/>
      <c r="AM62"/>
      <c r="AN62"/>
      <c r="AO62"/>
      <c r="AP62"/>
      <c r="AQ62"/>
      <c r="AR62"/>
      <c r="AS62"/>
      <c r="AT62"/>
      <c r="AU62"/>
      <c r="AV62"/>
      <c r="AW62"/>
    </row>
    <row r="63" spans="1:49" ht="19.8">
      <c r="C63" s="131" t="s">
        <v>851</v>
      </c>
      <c r="D63" s="151">
        <v>21.5</v>
      </c>
      <c r="E63" s="151"/>
      <c r="F63" s="131" t="s">
        <v>850</v>
      </c>
      <c r="G63" s="151">
        <v>6.8</v>
      </c>
      <c r="H63" s="151"/>
      <c r="N63"/>
      <c r="O63"/>
      <c r="P63"/>
      <c r="Q63"/>
      <c r="R63" s="590"/>
      <c r="S63" s="324"/>
      <c r="T63"/>
      <c r="U63" s="587"/>
      <c r="V63" s="587"/>
      <c r="W63" s="587"/>
      <c r="X63" s="587"/>
      <c r="Y63" s="584"/>
      <c r="Z63" s="584"/>
      <c r="AA63" s="584"/>
      <c r="AB63" s="584"/>
      <c r="AC63" s="584"/>
      <c r="AD63" s="584"/>
      <c r="AE63" s="587"/>
      <c r="AF63" s="587"/>
      <c r="AG63" s="587"/>
      <c r="AH63" s="587"/>
      <c r="AI63" s="587"/>
      <c r="AJ63" s="587"/>
      <c r="AK63" s="587"/>
      <c r="AL63"/>
      <c r="AM63"/>
      <c r="AN63"/>
      <c r="AO63"/>
      <c r="AP63"/>
      <c r="AQ63"/>
      <c r="AR63"/>
      <c r="AS63"/>
      <c r="AT63"/>
      <c r="AU63"/>
      <c r="AV63"/>
      <c r="AW63"/>
    </row>
    <row r="64" spans="1:49" ht="19.8">
      <c r="C64" s="131" t="s">
        <v>849</v>
      </c>
      <c r="D64" s="151">
        <v>20.7</v>
      </c>
      <c r="E64" s="151"/>
      <c r="F64" s="131" t="s">
        <v>848</v>
      </c>
      <c r="G64" s="151">
        <v>6.5</v>
      </c>
      <c r="H64" s="151"/>
      <c r="N64"/>
      <c r="O64"/>
      <c r="P64"/>
      <c r="Q64"/>
      <c r="R64" s="590"/>
      <c r="S64" s="606"/>
      <c r="T64" s="604"/>
      <c r="U64" s="587"/>
      <c r="V64" s="587"/>
      <c r="X64" s="587"/>
      <c r="Y64" s="587"/>
      <c r="Z64" s="587"/>
      <c r="AA64" s="587"/>
      <c r="AB64" s="587"/>
      <c r="AC64" s="587"/>
      <c r="AE64" s="587"/>
      <c r="AJ64" s="587"/>
      <c r="AK64" s="587"/>
      <c r="AO64" s="587"/>
      <c r="AP64" s="587"/>
      <c r="AQ64"/>
      <c r="AR64"/>
      <c r="AS64"/>
      <c r="AT64"/>
      <c r="AU64"/>
      <c r="AV64"/>
      <c r="AW64"/>
    </row>
    <row r="65" spans="1:49" ht="19.8">
      <c r="C65" s="131" t="s">
        <v>847</v>
      </c>
      <c r="D65" s="151">
        <v>19.899999999999999</v>
      </c>
      <c r="E65" s="151"/>
      <c r="F65" s="131" t="s">
        <v>846</v>
      </c>
      <c r="G65" s="151">
        <v>6.1</v>
      </c>
      <c r="H65" s="151"/>
      <c r="N65"/>
      <c r="O65"/>
      <c r="P65"/>
      <c r="Q65"/>
      <c r="R65" s="590"/>
      <c r="S65" s="324"/>
      <c r="Z65" s="587"/>
      <c r="AA65" s="587"/>
      <c r="AB65" s="587"/>
      <c r="AC65" s="587"/>
      <c r="AE65" s="587"/>
      <c r="AF65" s="587"/>
      <c r="AG65" s="587"/>
      <c r="AH65" s="605"/>
      <c r="AI65" s="587"/>
      <c r="AJ65" s="587"/>
      <c r="AK65" s="587"/>
      <c r="AL65"/>
      <c r="AM65"/>
      <c r="AN65"/>
      <c r="AO65"/>
      <c r="AP65"/>
      <c r="AQ65"/>
      <c r="AR65"/>
      <c r="AS65"/>
      <c r="AT65"/>
      <c r="AU65"/>
      <c r="AV65"/>
      <c r="AW65"/>
    </row>
    <row r="66" spans="1:49" ht="19.8">
      <c r="C66" s="131" t="s">
        <v>845</v>
      </c>
      <c r="D66" s="151">
        <v>19.100000000000001</v>
      </c>
      <c r="E66" s="151"/>
      <c r="F66" s="131" t="s">
        <v>844</v>
      </c>
      <c r="G66" s="151">
        <v>5.7</v>
      </c>
      <c r="H66" s="151"/>
      <c r="N66"/>
      <c r="O66"/>
      <c r="P66"/>
      <c r="Q66"/>
      <c r="R66"/>
      <c r="S66"/>
      <c r="T66" s="605"/>
      <c r="U66" s="605"/>
      <c r="V66" s="605"/>
      <c r="W66" s="605"/>
      <c r="X66" s="605"/>
      <c r="Y66" s="587"/>
      <c r="Z66" s="587"/>
      <c r="AA66" s="1830"/>
      <c r="AB66" s="1830"/>
      <c r="AC66" s="1830"/>
      <c r="AD66" s="1830"/>
      <c r="AE66" s="1830"/>
      <c r="AF66" s="599"/>
      <c r="AG66" s="1830"/>
      <c r="AH66" s="1830"/>
      <c r="AI66" s="1830"/>
      <c r="AJ66" s="1830"/>
      <c r="AK66" s="1830"/>
      <c r="AL66" s="1830"/>
      <c r="AM66" s="1830"/>
      <c r="AN66" s="1830"/>
      <c r="AO66" s="1830"/>
      <c r="AP66" s="1830"/>
      <c r="AQ66"/>
      <c r="AR66"/>
      <c r="AS66"/>
      <c r="AT66"/>
      <c r="AU66"/>
      <c r="AV66"/>
      <c r="AW66"/>
    </row>
    <row r="67" spans="1:49" ht="19.8">
      <c r="C67" s="131" t="s">
        <v>843</v>
      </c>
      <c r="D67" s="151">
        <v>18.3</v>
      </c>
      <c r="E67" s="151"/>
      <c r="F67" s="131" t="s">
        <v>842</v>
      </c>
      <c r="G67" s="151">
        <v>5.4</v>
      </c>
      <c r="H67" s="151"/>
      <c r="N67"/>
      <c r="O67"/>
      <c r="P67" s="598"/>
      <c r="Q67" s="598"/>
      <c r="R67" s="598"/>
      <c r="S67" s="598"/>
      <c r="T67" s="598"/>
      <c r="U67" s="598"/>
      <c r="V67" s="598"/>
      <c r="W67" s="598"/>
      <c r="X67" s="598"/>
      <c r="Y67" s="598"/>
      <c r="Z67" s="598"/>
      <c r="AA67" s="598"/>
      <c r="AB67" s="598"/>
      <c r="AC67" s="598"/>
      <c r="AD67" s="598"/>
      <c r="AE67" s="598"/>
      <c r="AF67" s="598"/>
      <c r="AG67" s="598"/>
      <c r="AH67" s="598"/>
      <c r="AI67" s="598"/>
      <c r="AJ67" s="598"/>
      <c r="AK67" s="598"/>
      <c r="AL67" s="598"/>
      <c r="AM67" s="598"/>
      <c r="AN67" s="598"/>
      <c r="AO67" s="598"/>
      <c r="AP67" s="598"/>
      <c r="AQ67"/>
      <c r="AR67"/>
      <c r="AS67"/>
      <c r="AT67"/>
      <c r="AU67"/>
      <c r="AV67"/>
      <c r="AW67"/>
    </row>
    <row r="68" spans="1:49" ht="19.8">
      <c r="C68" s="131" t="s">
        <v>841</v>
      </c>
      <c r="D68" s="151">
        <v>17.600000000000001</v>
      </c>
      <c r="E68" s="151"/>
      <c r="F68" s="131" t="s">
        <v>840</v>
      </c>
      <c r="G68" s="151">
        <v>5.0999999999999996</v>
      </c>
      <c r="H68" s="151"/>
      <c r="N68"/>
      <c r="O68"/>
      <c r="P68" s="324"/>
      <c r="Q68"/>
      <c r="R68"/>
      <c r="S68" s="597"/>
      <c r="T68" s="596"/>
      <c r="U68" s="596"/>
      <c r="V68" s="596"/>
      <c r="W68" s="596"/>
      <c r="X68" s="596"/>
      <c r="Y68" s="587"/>
      <c r="Z68" s="587"/>
      <c r="AA68" s="589"/>
      <c r="AB68" s="589"/>
      <c r="AC68" s="589"/>
      <c r="AD68" s="589"/>
      <c r="AE68" s="589"/>
      <c r="AF68" s="589"/>
      <c r="AG68" s="587"/>
      <c r="AH68" s="587"/>
      <c r="AI68" s="587"/>
      <c r="AJ68" s="587"/>
      <c r="AK68" s="587"/>
      <c r="AL68"/>
      <c r="AM68"/>
      <c r="AN68"/>
      <c r="AO68"/>
      <c r="AP68"/>
      <c r="AQ68"/>
      <c r="AR68"/>
      <c r="AS68"/>
      <c r="AT68"/>
      <c r="AU68"/>
      <c r="AV68"/>
      <c r="AW68"/>
    </row>
    <row r="69" spans="1:49" ht="19.8">
      <c r="C69" s="131" t="s">
        <v>839</v>
      </c>
      <c r="D69" s="151">
        <v>16.8</v>
      </c>
      <c r="E69" s="151">
        <v>2.4</v>
      </c>
      <c r="F69" s="131" t="s">
        <v>838</v>
      </c>
      <c r="G69" s="151">
        <v>4.8999999999999995</v>
      </c>
      <c r="H69" s="151">
        <v>0.9</v>
      </c>
      <c r="N69"/>
      <c r="O69"/>
      <c r="P69"/>
      <c r="Q69"/>
      <c r="R69"/>
      <c r="S69"/>
      <c r="T69" s="596"/>
      <c r="U69" s="596"/>
      <c r="V69" s="596"/>
      <c r="W69" s="596"/>
      <c r="X69" s="596"/>
      <c r="Y69" s="587"/>
      <c r="Z69" s="587"/>
      <c r="AA69" s="589"/>
      <c r="AB69" s="589"/>
      <c r="AC69" s="589"/>
      <c r="AD69" s="589"/>
      <c r="AE69" s="589"/>
      <c r="AF69" s="589"/>
      <c r="AG69" s="587"/>
      <c r="AH69" s="587"/>
      <c r="AI69" s="587"/>
      <c r="AJ69" s="587"/>
      <c r="AK69" s="587"/>
      <c r="AL69"/>
      <c r="AM69"/>
      <c r="AN69"/>
      <c r="AO69"/>
      <c r="AP69"/>
      <c r="AQ69"/>
      <c r="AR69"/>
      <c r="AS69"/>
      <c r="AT69"/>
      <c r="AU69"/>
      <c r="AV69"/>
      <c r="AW69"/>
    </row>
    <row r="70" spans="1:49" ht="19.8">
      <c r="C70" s="131" t="s">
        <v>837</v>
      </c>
      <c r="D70" s="151">
        <v>16.100000000000001</v>
      </c>
      <c r="E70" s="151">
        <v>1.6</v>
      </c>
      <c r="F70" s="131" t="s">
        <v>836</v>
      </c>
      <c r="G70" s="151">
        <v>4.5</v>
      </c>
      <c r="H70" s="151">
        <v>0.6</v>
      </c>
      <c r="N70"/>
      <c r="O70"/>
      <c r="P70"/>
      <c r="Q70"/>
      <c r="R70"/>
      <c r="S70"/>
      <c r="T70" s="596"/>
      <c r="U70" s="596"/>
      <c r="V70" s="596"/>
      <c r="W70" s="596"/>
      <c r="X70" s="596"/>
      <c r="Y70" s="587"/>
      <c r="Z70" s="587"/>
      <c r="AA70" s="589"/>
      <c r="AB70" s="589"/>
      <c r="AC70" s="589"/>
      <c r="AD70" s="589"/>
      <c r="AE70" s="589"/>
      <c r="AF70" s="589"/>
      <c r="AG70" s="587"/>
      <c r="AH70" s="587"/>
      <c r="AI70" s="587"/>
      <c r="AJ70" s="587"/>
      <c r="AK70" s="587"/>
      <c r="AL70"/>
      <c r="AM70"/>
      <c r="AN70"/>
      <c r="AO70"/>
      <c r="AP70"/>
      <c r="AQ70"/>
      <c r="AR70"/>
      <c r="AS70"/>
      <c r="AT70"/>
      <c r="AU70"/>
      <c r="AV70"/>
      <c r="AW70"/>
    </row>
    <row r="71" spans="1:49" ht="19.8">
      <c r="C71" s="131" t="s">
        <v>835</v>
      </c>
      <c r="D71" s="151">
        <v>15.4</v>
      </c>
      <c r="E71" s="151">
        <v>0.8</v>
      </c>
      <c r="F71" s="131" t="s">
        <v>834</v>
      </c>
      <c r="G71" s="151">
        <v>4.2</v>
      </c>
      <c r="H71" s="151">
        <v>0.3</v>
      </c>
      <c r="N71"/>
      <c r="O71"/>
      <c r="P71"/>
      <c r="Q71"/>
      <c r="R71"/>
      <c r="S71"/>
      <c r="T71" s="596"/>
      <c r="U71" s="596"/>
      <c r="V71" s="596"/>
      <c r="W71" s="596"/>
      <c r="X71" s="596"/>
      <c r="Y71" s="587"/>
      <c r="Z71" s="587"/>
      <c r="AA71" s="589"/>
      <c r="AB71" s="589"/>
      <c r="AC71" s="589"/>
      <c r="AD71" s="589"/>
      <c r="AE71" s="589"/>
      <c r="AF71" s="589"/>
      <c r="AG71" s="587"/>
      <c r="AH71" s="587"/>
      <c r="AI71" s="587"/>
      <c r="AJ71" s="587"/>
      <c r="AK71" s="587"/>
      <c r="AL71"/>
      <c r="AM71"/>
      <c r="AN71"/>
      <c r="AO71"/>
      <c r="AP71"/>
      <c r="AQ71"/>
      <c r="AR71"/>
      <c r="AS71"/>
      <c r="AT71"/>
      <c r="AU71"/>
      <c r="AV71"/>
      <c r="AW71"/>
    </row>
    <row r="72" spans="1:49" ht="19.8">
      <c r="C72" s="131" t="s">
        <v>833</v>
      </c>
      <c r="D72" s="151">
        <v>14.7</v>
      </c>
      <c r="E72" s="151">
        <v>0</v>
      </c>
      <c r="F72" s="131" t="s">
        <v>832</v>
      </c>
      <c r="G72" s="151">
        <v>4</v>
      </c>
      <c r="H72" s="151">
        <v>0</v>
      </c>
      <c r="N72"/>
      <c r="O72"/>
      <c r="P72"/>
      <c r="Q72"/>
      <c r="R72"/>
      <c r="S72"/>
      <c r="T72" s="596"/>
      <c r="U72" s="596"/>
      <c r="V72" s="596"/>
      <c r="W72" s="596"/>
      <c r="X72" s="596"/>
      <c r="Y72" s="587"/>
      <c r="Z72" s="587"/>
      <c r="AA72" s="589"/>
      <c r="AB72" s="589"/>
      <c r="AC72" s="589"/>
      <c r="AD72" s="589"/>
      <c r="AE72" s="589"/>
      <c r="AF72" s="589"/>
      <c r="AG72" s="587"/>
      <c r="AH72" s="587"/>
      <c r="AI72" s="587"/>
      <c r="AJ72" s="587"/>
      <c r="AK72" s="587"/>
      <c r="AL72"/>
      <c r="AM72"/>
      <c r="AN72"/>
      <c r="AO72"/>
      <c r="AP72"/>
      <c r="AQ72"/>
      <c r="AR72"/>
      <c r="AS72"/>
      <c r="AT72"/>
      <c r="AU72"/>
      <c r="AV72"/>
      <c r="AW72"/>
    </row>
    <row r="73" spans="1:49">
      <c r="N73"/>
      <c r="O73"/>
      <c r="P73"/>
      <c r="Q73"/>
      <c r="R73"/>
      <c r="S73"/>
      <c r="T73" s="596"/>
      <c r="U73" s="596"/>
      <c r="V73" s="596"/>
      <c r="W73" s="596"/>
      <c r="X73" s="596"/>
      <c r="Y73" s="587"/>
      <c r="Z73" s="587"/>
      <c r="AA73" s="587"/>
      <c r="AB73" s="587"/>
      <c r="AC73" s="587"/>
      <c r="AD73" s="593"/>
      <c r="AE73" s="589"/>
      <c r="AF73" s="589"/>
      <c r="AG73" s="593"/>
      <c r="AH73" s="589"/>
      <c r="AI73" s="589"/>
      <c r="AJ73" s="587"/>
      <c r="AK73" s="596"/>
      <c r="AL73" s="593"/>
      <c r="AM73" s="589"/>
      <c r="AN73" s="589"/>
      <c r="AO73" s="589"/>
      <c r="AP73" s="596"/>
      <c r="AQ73"/>
      <c r="AR73" s="596"/>
      <c r="AS73"/>
      <c r="AT73"/>
      <c r="AU73"/>
      <c r="AV73"/>
      <c r="AW73"/>
    </row>
    <row r="74" spans="1:49">
      <c r="N74"/>
      <c r="O74"/>
      <c r="P74"/>
      <c r="Q74"/>
      <c r="R74"/>
      <c r="S74"/>
      <c r="T74" s="596"/>
      <c r="U74" s="596"/>
      <c r="V74" s="596"/>
      <c r="W74" s="596"/>
      <c r="X74" s="596"/>
      <c r="Y74" s="587"/>
      <c r="Z74" s="587"/>
      <c r="AA74" s="587"/>
      <c r="AB74" s="587"/>
      <c r="AC74" s="587"/>
      <c r="AD74" s="593"/>
      <c r="AE74" s="589"/>
      <c r="AF74" s="589"/>
      <c r="AG74" s="593"/>
      <c r="AH74" s="589"/>
      <c r="AI74" s="589"/>
      <c r="AJ74" s="587"/>
      <c r="AK74" s="596"/>
      <c r="AL74" s="593"/>
      <c r="AM74" s="589"/>
      <c r="AN74" s="589"/>
      <c r="AO74" s="589"/>
      <c r="AP74" s="596"/>
      <c r="AQ74"/>
      <c r="AR74" s="596"/>
      <c r="AS74"/>
      <c r="AT74"/>
      <c r="AU74"/>
      <c r="AV74"/>
      <c r="AW74"/>
    </row>
    <row r="75" spans="1:49">
      <c r="A75" s="2" t="s">
        <v>831</v>
      </c>
      <c r="B75" s="2" t="s">
        <v>830</v>
      </c>
      <c r="C75" s="2" t="s">
        <v>829</v>
      </c>
      <c r="N75"/>
      <c r="O75"/>
      <c r="P75"/>
      <c r="Q75"/>
      <c r="R75"/>
      <c r="S75"/>
      <c r="T75" s="596"/>
      <c r="U75" s="596"/>
      <c r="V75" s="596"/>
      <c r="W75" s="596"/>
      <c r="X75" s="596"/>
      <c r="Y75" s="587"/>
      <c r="Z75" s="587"/>
      <c r="AA75" s="587"/>
      <c r="AB75" s="587"/>
      <c r="AC75" s="587"/>
      <c r="AD75" s="593"/>
      <c r="AE75" s="589"/>
      <c r="AF75" s="589"/>
      <c r="AG75" s="593"/>
      <c r="AH75" s="589"/>
      <c r="AI75" s="589"/>
      <c r="AJ75" s="587"/>
      <c r="AK75" s="596"/>
      <c r="AL75" s="593"/>
      <c r="AM75" s="589"/>
      <c r="AN75" s="589"/>
      <c r="AO75" s="589"/>
      <c r="AP75" s="596"/>
      <c r="AQ75"/>
      <c r="AR75" s="596"/>
      <c r="AS75"/>
      <c r="AT75"/>
      <c r="AU75"/>
      <c r="AV75"/>
      <c r="AW75"/>
    </row>
    <row r="76" spans="1:49">
      <c r="C76" s="2" t="s">
        <v>828</v>
      </c>
      <c r="N76"/>
      <c r="O76"/>
      <c r="P76"/>
      <c r="Q76"/>
      <c r="R76"/>
      <c r="S76"/>
      <c r="T76" s="596"/>
      <c r="U76" s="596"/>
      <c r="V76" s="596"/>
      <c r="W76" s="596"/>
      <c r="X76" s="596"/>
      <c r="Y76" s="587"/>
      <c r="Z76" s="587"/>
      <c r="AA76" s="587"/>
      <c r="AB76" s="587"/>
      <c r="AC76" s="587"/>
      <c r="AD76" s="593"/>
      <c r="AE76" s="589"/>
      <c r="AF76" s="589"/>
      <c r="AG76" s="593"/>
      <c r="AH76" s="589"/>
      <c r="AI76" s="589"/>
      <c r="AJ76" s="587"/>
      <c r="AK76" s="596"/>
      <c r="AL76" s="593"/>
      <c r="AM76" s="589"/>
      <c r="AN76" s="589"/>
      <c r="AO76" s="589"/>
      <c r="AP76" s="596"/>
      <c r="AQ76"/>
      <c r="AR76" s="596"/>
      <c r="AS76"/>
      <c r="AT76"/>
      <c r="AU76"/>
      <c r="AV76"/>
      <c r="AW76"/>
    </row>
    <row r="77" spans="1:49">
      <c r="N77"/>
      <c r="O77"/>
      <c r="P77"/>
      <c r="Q77"/>
      <c r="R77"/>
      <c r="S77"/>
      <c r="T77" s="596"/>
      <c r="U77" s="596"/>
      <c r="V77" s="596"/>
      <c r="W77" s="596"/>
      <c r="X77" s="596"/>
      <c r="Y77" s="587"/>
      <c r="Z77" s="587"/>
      <c r="AA77" s="587"/>
      <c r="AB77" s="587"/>
      <c r="AC77" s="587"/>
      <c r="AD77" s="593"/>
      <c r="AE77" s="589"/>
      <c r="AF77" s="589"/>
      <c r="AG77" s="593"/>
      <c r="AH77" s="589"/>
      <c r="AI77" s="589"/>
      <c r="AJ77" s="587"/>
      <c r="AK77" s="596"/>
      <c r="AL77" s="593"/>
      <c r="AM77" s="589"/>
      <c r="AN77" s="589"/>
      <c r="AO77" s="589"/>
      <c r="AP77" s="596"/>
      <c r="AQ77"/>
      <c r="AR77" s="596"/>
      <c r="AS77"/>
      <c r="AT77"/>
      <c r="AU77"/>
      <c r="AV77"/>
      <c r="AW77"/>
    </row>
    <row r="78" spans="1:49">
      <c r="C78" s="1629" t="s">
        <v>29</v>
      </c>
      <c r="D78" s="1630"/>
      <c r="E78" s="1630"/>
      <c r="F78" s="1630"/>
      <c r="G78" s="1630"/>
      <c r="H78" s="1630"/>
      <c r="I78" s="1631"/>
      <c r="N78"/>
      <c r="O78"/>
      <c r="P78"/>
      <c r="Q78"/>
      <c r="R78"/>
      <c r="S78"/>
      <c r="T78" s="596"/>
      <c r="U78" s="596"/>
      <c r="V78" s="596"/>
      <c r="W78" s="596"/>
      <c r="X78" s="596"/>
      <c r="Y78" s="587"/>
      <c r="Z78" s="587"/>
      <c r="AA78" s="587"/>
      <c r="AB78" s="587"/>
      <c r="AC78" s="587"/>
      <c r="AD78" s="593"/>
      <c r="AE78" s="589"/>
      <c r="AF78" s="589"/>
      <c r="AG78" s="593"/>
      <c r="AH78" s="589"/>
      <c r="AI78" s="589"/>
      <c r="AJ78" s="587"/>
      <c r="AK78" s="596"/>
      <c r="AL78" s="593"/>
      <c r="AM78" s="589"/>
      <c r="AN78" s="589"/>
      <c r="AO78" s="589"/>
      <c r="AP78" s="596"/>
      <c r="AQ78"/>
      <c r="AR78" s="596"/>
      <c r="AS78"/>
      <c r="AT78"/>
      <c r="AU78"/>
      <c r="AV78"/>
      <c r="AW78"/>
    </row>
    <row r="79" spans="1:49">
      <c r="C79" s="1632"/>
      <c r="D79" s="1633"/>
      <c r="E79" s="1633"/>
      <c r="F79" s="1633"/>
      <c r="G79" s="1633"/>
      <c r="H79" s="1633"/>
      <c r="I79" s="1634"/>
      <c r="N79"/>
      <c r="O79"/>
      <c r="P79"/>
      <c r="Q79"/>
      <c r="R79"/>
      <c r="S79"/>
      <c r="T79" s="596"/>
      <c r="U79" s="596"/>
      <c r="V79" s="596"/>
      <c r="W79" s="596"/>
      <c r="X79" s="596"/>
      <c r="Y79" s="587"/>
      <c r="Z79" s="587"/>
      <c r="AA79" s="587"/>
      <c r="AB79" s="587"/>
      <c r="AC79" s="587"/>
      <c r="AD79" s="593"/>
      <c r="AE79" s="589"/>
      <c r="AF79" s="589"/>
      <c r="AG79" s="593"/>
      <c r="AH79" s="589"/>
      <c r="AI79" s="589"/>
      <c r="AJ79" s="587"/>
      <c r="AK79" s="596"/>
      <c r="AL79" s="593"/>
      <c r="AM79" s="589"/>
      <c r="AN79" s="589"/>
      <c r="AO79" s="589"/>
      <c r="AP79" s="596"/>
      <c r="AQ79"/>
      <c r="AR79" s="596"/>
      <c r="AS79"/>
      <c r="AT79"/>
      <c r="AU79"/>
      <c r="AV79"/>
      <c r="AW79"/>
    </row>
    <row r="80" spans="1:49">
      <c r="N80"/>
      <c r="O80"/>
      <c r="P80"/>
      <c r="Q80"/>
      <c r="R80"/>
      <c r="S80"/>
      <c r="T80" s="596"/>
      <c r="U80" s="596"/>
      <c r="V80" s="596"/>
      <c r="W80" s="596"/>
      <c r="X80" s="596"/>
      <c r="Y80" s="587"/>
      <c r="Z80" s="587"/>
      <c r="AA80" s="587"/>
      <c r="AB80" s="587"/>
      <c r="AC80" s="587"/>
      <c r="AD80" s="593"/>
      <c r="AE80" s="589"/>
      <c r="AF80" s="589"/>
      <c r="AG80" s="593"/>
      <c r="AH80" s="589"/>
      <c r="AI80" s="589"/>
      <c r="AJ80" s="589"/>
      <c r="AK80" s="596"/>
      <c r="AL80" s="593"/>
      <c r="AM80" s="589"/>
      <c r="AN80" s="589"/>
      <c r="AO80" s="589"/>
      <c r="AP80" s="596"/>
      <c r="AQ80" s="604"/>
      <c r="AR80" s="596"/>
      <c r="AS80"/>
      <c r="AT80"/>
      <c r="AU80"/>
      <c r="AV80"/>
      <c r="AW80"/>
    </row>
    <row r="81" spans="1:49">
      <c r="A81" s="2" t="s">
        <v>34</v>
      </c>
      <c r="B81" s="2" t="s">
        <v>827</v>
      </c>
      <c r="C81" s="2" t="s">
        <v>826</v>
      </c>
      <c r="N81"/>
      <c r="O81"/>
      <c r="P81"/>
      <c r="Q81"/>
      <c r="R81"/>
      <c r="S81"/>
      <c r="T81" s="596"/>
      <c r="U81" s="596"/>
      <c r="V81" s="596"/>
      <c r="W81" s="596"/>
      <c r="X81" s="596"/>
      <c r="Y81" s="587"/>
      <c r="Z81" s="587"/>
      <c r="AA81" s="587"/>
      <c r="AB81" s="587"/>
      <c r="AC81" s="587"/>
      <c r="AD81" s="593"/>
      <c r="AE81" s="589"/>
      <c r="AF81" s="589"/>
      <c r="AG81" s="593"/>
      <c r="AH81" s="589"/>
      <c r="AI81" s="589"/>
      <c r="AJ81" s="589"/>
      <c r="AK81" s="596"/>
      <c r="AL81" s="593"/>
      <c r="AM81" s="589"/>
      <c r="AN81" s="589"/>
      <c r="AO81" s="589"/>
      <c r="AP81" s="596"/>
      <c r="AQ81"/>
      <c r="AR81" s="584"/>
      <c r="AS81" s="584"/>
      <c r="AT81"/>
      <c r="AU81"/>
      <c r="AV81"/>
      <c r="AW81"/>
    </row>
    <row r="82" spans="1:49">
      <c r="C82" s="2" t="s">
        <v>825</v>
      </c>
      <c r="N82"/>
      <c r="O82"/>
      <c r="P82"/>
      <c r="Q82"/>
      <c r="R82"/>
      <c r="S82"/>
      <c r="T82" s="596"/>
      <c r="U82" s="596"/>
      <c r="V82" s="596"/>
      <c r="W82" s="596"/>
      <c r="X82" s="596"/>
      <c r="Y82" s="587"/>
      <c r="Z82" s="587"/>
      <c r="AA82" s="587"/>
      <c r="AB82" s="587"/>
      <c r="AC82" s="587"/>
      <c r="AD82" s="593"/>
      <c r="AE82" s="589"/>
      <c r="AF82" s="589"/>
      <c r="AG82" s="593"/>
      <c r="AH82" s="589"/>
      <c r="AI82" s="589"/>
      <c r="AJ82" s="589"/>
      <c r="AK82" s="596"/>
      <c r="AL82" s="593"/>
      <c r="AM82" s="589"/>
      <c r="AN82" s="589"/>
      <c r="AO82" s="589"/>
      <c r="AP82" s="596"/>
      <c r="AQ82"/>
      <c r="AR82" s="584"/>
      <c r="AS82" s="584"/>
      <c r="AT82"/>
      <c r="AU82"/>
      <c r="AV82"/>
      <c r="AW82"/>
    </row>
    <row r="83" spans="1:49">
      <c r="N83"/>
      <c r="O83"/>
      <c r="P83"/>
      <c r="Q83"/>
      <c r="R83"/>
      <c r="S83"/>
      <c r="T83" s="596"/>
      <c r="U83" s="596"/>
      <c r="V83" s="596"/>
      <c r="W83" s="596"/>
      <c r="X83" s="596"/>
      <c r="Y83" s="587"/>
      <c r="Z83" s="587"/>
      <c r="AA83" s="587"/>
      <c r="AB83" s="587"/>
      <c r="AC83" s="587"/>
      <c r="AD83" s="593"/>
      <c r="AE83" s="589"/>
      <c r="AF83" s="589"/>
      <c r="AG83" s="593"/>
      <c r="AH83" s="589"/>
      <c r="AI83" s="589"/>
      <c r="AJ83" s="589"/>
      <c r="AK83" s="596"/>
      <c r="AL83" s="593"/>
      <c r="AM83" s="589"/>
      <c r="AN83" s="589"/>
      <c r="AO83" s="589"/>
      <c r="AP83" s="596"/>
      <c r="AQ83"/>
      <c r="AR83" s="584"/>
      <c r="AS83" s="584"/>
      <c r="AT83"/>
      <c r="AU83"/>
      <c r="AV83"/>
      <c r="AW83"/>
    </row>
    <row r="84" spans="1:49">
      <c r="C84" s="1629" t="s">
        <v>29</v>
      </c>
      <c r="D84" s="1630"/>
      <c r="E84" s="1630"/>
      <c r="F84" s="1630"/>
      <c r="G84" s="1630"/>
      <c r="H84" s="1630"/>
      <c r="I84" s="1631"/>
      <c r="N84"/>
      <c r="O84"/>
      <c r="P84"/>
      <c r="Q84"/>
      <c r="R84"/>
      <c r="S84"/>
      <c r="T84"/>
      <c r="U84"/>
      <c r="V84"/>
      <c r="W84"/>
      <c r="X84"/>
      <c r="Y84" s="587"/>
      <c r="Z84" s="587"/>
      <c r="AA84" s="587"/>
      <c r="AB84" s="587"/>
      <c r="AC84" s="587"/>
      <c r="AD84" s="587"/>
      <c r="AE84" s="587"/>
      <c r="AF84" s="587"/>
      <c r="AG84" s="587"/>
      <c r="AH84" s="587"/>
      <c r="AI84" s="587"/>
      <c r="AJ84" s="587"/>
      <c r="AK84" s="587"/>
      <c r="AL84"/>
      <c r="AM84"/>
      <c r="AN84"/>
      <c r="AO84"/>
      <c r="AP84"/>
      <c r="AQ84"/>
      <c r="AR84" s="584"/>
      <c r="AS84" s="584"/>
      <c r="AT84"/>
      <c r="AU84"/>
      <c r="AV84"/>
      <c r="AW84"/>
    </row>
    <row r="85" spans="1:49">
      <c r="C85" s="1632"/>
      <c r="D85" s="1633"/>
      <c r="E85" s="1633"/>
      <c r="F85" s="1633"/>
      <c r="G85" s="1633"/>
      <c r="H85" s="1633"/>
      <c r="I85" s="1634"/>
      <c r="N85"/>
      <c r="O85"/>
      <c r="P85"/>
      <c r="Q85"/>
      <c r="R85"/>
      <c r="S85"/>
      <c r="T85"/>
      <c r="U85"/>
      <c r="V85"/>
      <c r="W85"/>
      <c r="X85"/>
      <c r="Y85" s="587"/>
      <c r="Z85" s="587"/>
      <c r="AA85" s="587"/>
      <c r="AB85" s="587"/>
      <c r="AC85" s="587"/>
      <c r="AD85" s="587"/>
      <c r="AE85" s="587"/>
      <c r="AF85" s="587"/>
      <c r="AG85" s="587"/>
      <c r="AH85" s="587"/>
      <c r="AI85" s="587"/>
      <c r="AJ85" s="590"/>
      <c r="AK85" s="589"/>
      <c r="AN85" s="590"/>
      <c r="AO85" s="590"/>
      <c r="AP85" s="589"/>
      <c r="AQ85"/>
      <c r="AR85" s="584"/>
      <c r="AS85" s="584"/>
      <c r="AT85"/>
      <c r="AU85"/>
      <c r="AV85"/>
      <c r="AW85"/>
    </row>
    <row r="86" spans="1:49">
      <c r="N86"/>
      <c r="O86"/>
      <c r="P86"/>
      <c r="Q86"/>
      <c r="R86"/>
      <c r="S86"/>
      <c r="T86"/>
      <c r="U86"/>
      <c r="V86"/>
      <c r="W86"/>
      <c r="X86"/>
      <c r="Y86" s="587"/>
      <c r="Z86" s="587"/>
      <c r="AA86" s="587"/>
      <c r="AB86" s="587"/>
      <c r="AC86" s="587"/>
      <c r="AD86" s="587"/>
      <c r="AE86" s="587"/>
      <c r="AF86" s="587"/>
      <c r="AG86" s="587"/>
      <c r="AH86" s="587"/>
      <c r="AI86" s="591"/>
      <c r="AJ86" s="590"/>
      <c r="AK86" s="589"/>
      <c r="AN86" s="591"/>
      <c r="AO86" s="590"/>
      <c r="AP86" s="589"/>
      <c r="AQ86"/>
      <c r="AR86" s="584"/>
      <c r="AS86" s="584"/>
      <c r="AT86"/>
      <c r="AU86"/>
      <c r="AV86"/>
      <c r="AW86"/>
    </row>
    <row r="87" spans="1:49">
      <c r="A87" s="2" t="s">
        <v>824</v>
      </c>
      <c r="B87" s="2" t="s">
        <v>823</v>
      </c>
      <c r="C87" s="2" t="s">
        <v>278</v>
      </c>
      <c r="N87"/>
      <c r="O87"/>
      <c r="P87"/>
      <c r="Q87"/>
      <c r="R87"/>
      <c r="S87"/>
      <c r="T87"/>
      <c r="U87"/>
      <c r="V87"/>
      <c r="W87"/>
      <c r="X87"/>
      <c r="Y87" s="587"/>
      <c r="Z87" s="587"/>
      <c r="AA87" s="587"/>
      <c r="AB87" s="587"/>
      <c r="AC87" s="587"/>
      <c r="AD87" s="587"/>
      <c r="AE87" s="587"/>
      <c r="AF87" s="587"/>
      <c r="AG87" s="587"/>
      <c r="AH87" s="587"/>
      <c r="AI87" s="587"/>
      <c r="AJ87" s="586"/>
      <c r="AK87" s="585"/>
      <c r="AN87" s="586"/>
      <c r="AO87" s="586"/>
      <c r="AP87" s="585"/>
      <c r="AQ87"/>
      <c r="AR87" s="584"/>
      <c r="AS87" s="584"/>
      <c r="AT87"/>
      <c r="AU87"/>
      <c r="AV87"/>
      <c r="AW87"/>
    </row>
    <row r="88" spans="1:49">
      <c r="C88" s="2" t="s">
        <v>822</v>
      </c>
      <c r="N88"/>
      <c r="O88"/>
      <c r="P88"/>
      <c r="Q88"/>
      <c r="R88"/>
      <c r="S88"/>
      <c r="T88"/>
      <c r="U88"/>
      <c r="V88"/>
      <c r="W88"/>
      <c r="X88"/>
      <c r="Y88" s="587"/>
      <c r="Z88" s="587"/>
      <c r="AA88" s="587"/>
      <c r="AB88" s="587"/>
      <c r="AC88" s="587"/>
      <c r="AD88" s="587"/>
      <c r="AE88" s="587"/>
      <c r="AF88" s="587"/>
      <c r="AG88" s="587"/>
      <c r="AH88" s="587"/>
      <c r="AI88" s="587"/>
      <c r="AJ88" s="587"/>
      <c r="AK88" s="587"/>
      <c r="AN88" s="587"/>
      <c r="AO88" s="587"/>
      <c r="AP88"/>
      <c r="AQ88"/>
      <c r="AR88" s="584"/>
      <c r="AS88" s="584"/>
      <c r="AT88"/>
      <c r="AU88"/>
      <c r="AV88"/>
      <c r="AW88"/>
    </row>
    <row r="89" spans="1:49">
      <c r="C89" s="2" t="s">
        <v>821</v>
      </c>
      <c r="N89"/>
      <c r="O89"/>
      <c r="P89"/>
      <c r="Q89"/>
      <c r="R89"/>
      <c r="S89"/>
      <c r="T89"/>
      <c r="U89"/>
      <c r="V89"/>
      <c r="W89"/>
      <c r="X89"/>
      <c r="Y89" s="587"/>
      <c r="Z89" s="587"/>
      <c r="AA89" s="587"/>
      <c r="AB89" s="587"/>
      <c r="AC89" s="587"/>
      <c r="AD89" s="587"/>
      <c r="AE89" s="587"/>
      <c r="AF89" s="587"/>
      <c r="AG89" s="587"/>
      <c r="AH89" s="587"/>
      <c r="AI89" s="587"/>
      <c r="AJ89" s="590"/>
      <c r="AK89" s="589"/>
      <c r="AL89"/>
      <c r="AM89"/>
      <c r="AN89" s="590"/>
      <c r="AO89" s="590"/>
      <c r="AP89" s="589"/>
      <c r="AQ89"/>
      <c r="AR89"/>
      <c r="AS89"/>
      <c r="AT89"/>
      <c r="AU89"/>
      <c r="AV89"/>
      <c r="AW89"/>
    </row>
    <row r="90" spans="1:49">
      <c r="N90"/>
      <c r="O90"/>
      <c r="P90"/>
      <c r="Q90"/>
      <c r="R90"/>
      <c r="S90"/>
      <c r="T90"/>
      <c r="U90"/>
      <c r="V90"/>
      <c r="W90"/>
      <c r="X90"/>
      <c r="Y90" s="587"/>
      <c r="Z90" s="587"/>
      <c r="AA90" s="587"/>
      <c r="AB90" s="587"/>
      <c r="AC90" s="587"/>
      <c r="AD90" s="587"/>
      <c r="AE90" s="587"/>
      <c r="AF90" s="587"/>
      <c r="AG90" s="587"/>
      <c r="AH90" s="587"/>
      <c r="AI90" s="587"/>
      <c r="AJ90" s="586"/>
      <c r="AK90" s="588"/>
      <c r="AL90" s="587"/>
      <c r="AM90"/>
      <c r="AN90" s="586"/>
      <c r="AO90" s="586"/>
      <c r="AP90" s="588"/>
      <c r="AQ90"/>
      <c r="AR90"/>
      <c r="AS90"/>
      <c r="AT90"/>
      <c r="AU90"/>
      <c r="AV90"/>
      <c r="AW90"/>
    </row>
    <row r="91" spans="1:49">
      <c r="C91" s="1629" t="s">
        <v>29</v>
      </c>
      <c r="D91" s="1630"/>
      <c r="E91" s="1630"/>
      <c r="F91" s="1630"/>
      <c r="G91" s="1630"/>
      <c r="H91" s="1630"/>
      <c r="I91" s="1631"/>
      <c r="N91"/>
      <c r="O91"/>
      <c r="P91"/>
      <c r="Q91"/>
      <c r="R91"/>
      <c r="S91"/>
      <c r="T91"/>
      <c r="U91" s="587"/>
      <c r="V91" s="587"/>
      <c r="W91" s="587"/>
      <c r="X91" s="587"/>
      <c r="Y91" s="587"/>
      <c r="Z91" s="587"/>
      <c r="AA91" s="587"/>
      <c r="AB91" s="587"/>
      <c r="AC91" s="587"/>
      <c r="AD91" s="587"/>
      <c r="AE91" s="587"/>
      <c r="AF91" s="587"/>
      <c r="AG91" s="587"/>
      <c r="AH91" s="587"/>
      <c r="AI91" s="587"/>
      <c r="AJ91" s="586"/>
      <c r="AK91" s="585"/>
      <c r="AL91" s="587"/>
      <c r="AM91"/>
      <c r="AN91" s="586"/>
      <c r="AO91" s="586"/>
      <c r="AP91" s="585"/>
      <c r="AQ91"/>
      <c r="AR91"/>
      <c r="AS91"/>
      <c r="AT91"/>
      <c r="AU91"/>
      <c r="AV91"/>
      <c r="AW91"/>
    </row>
    <row r="92" spans="1:49">
      <c r="C92" s="1632"/>
      <c r="D92" s="1633"/>
      <c r="E92" s="1633"/>
      <c r="F92" s="1633"/>
      <c r="G92" s="1633"/>
      <c r="H92" s="1633"/>
      <c r="I92" s="1634"/>
      <c r="N92"/>
      <c r="O92"/>
      <c r="P92"/>
      <c r="Q92"/>
      <c r="R92"/>
      <c r="S92"/>
      <c r="T92"/>
      <c r="U92" s="587"/>
      <c r="V92" s="587"/>
      <c r="W92" s="587"/>
      <c r="X92" s="587"/>
      <c r="Y92" s="587"/>
      <c r="Z92" s="587"/>
      <c r="AA92" s="587"/>
      <c r="AB92" s="587"/>
      <c r="AC92" s="587"/>
      <c r="AD92" s="587"/>
      <c r="AE92" s="587"/>
      <c r="AF92" s="587"/>
      <c r="AG92" s="587"/>
      <c r="AH92" s="586"/>
      <c r="AI92" s="586"/>
      <c r="AJ92" s="586"/>
      <c r="AK92" s="585"/>
      <c r="AL92"/>
      <c r="AM92" s="586"/>
      <c r="AN92" s="586"/>
      <c r="AO92" s="586"/>
      <c r="AP92" s="585"/>
      <c r="AQ92"/>
      <c r="AR92"/>
      <c r="AS92"/>
      <c r="AT92"/>
      <c r="AU92"/>
      <c r="AV92"/>
      <c r="AW92"/>
    </row>
    <row r="93" spans="1:49">
      <c r="N93"/>
      <c r="O93" s="603"/>
      <c r="P93" s="602"/>
      <c r="Q93"/>
      <c r="R93"/>
      <c r="S93"/>
      <c r="T93"/>
      <c r="U93" s="587"/>
      <c r="V93" s="587"/>
      <c r="W93" s="587"/>
      <c r="X93" s="587"/>
      <c r="Y93" s="587"/>
      <c r="Z93" s="587"/>
      <c r="AA93" s="587"/>
      <c r="AB93" s="587"/>
      <c r="AC93" s="587"/>
      <c r="AD93" s="587"/>
      <c r="AE93" s="587"/>
      <c r="AF93" s="587"/>
      <c r="AG93" s="587"/>
      <c r="AH93" s="587"/>
      <c r="AI93" s="587"/>
      <c r="AJ93" s="587"/>
      <c r="AK93" s="587"/>
      <c r="AL93"/>
      <c r="AM93"/>
      <c r="AN93"/>
      <c r="AO93"/>
      <c r="AP93"/>
      <c r="AQ93"/>
      <c r="AR93"/>
      <c r="AS93"/>
      <c r="AT93"/>
      <c r="AU93"/>
      <c r="AV93"/>
      <c r="AW93"/>
    </row>
    <row r="94" spans="1:49">
      <c r="N94"/>
      <c r="O94"/>
      <c r="P94"/>
      <c r="Q94"/>
      <c r="R94"/>
      <c r="S94"/>
      <c r="T94"/>
      <c r="U94"/>
      <c r="V94"/>
      <c r="W94"/>
      <c r="X94"/>
      <c r="Y94"/>
      <c r="Z94"/>
      <c r="AA94"/>
      <c r="AB94"/>
      <c r="AC94"/>
      <c r="AD94"/>
      <c r="AE94"/>
      <c r="AF94"/>
      <c r="AG94"/>
      <c r="AH94"/>
      <c r="AI94"/>
      <c r="AJ94"/>
      <c r="AK94"/>
      <c r="AL94"/>
      <c r="AM94"/>
      <c r="AN94"/>
      <c r="AO94"/>
      <c r="AP94"/>
      <c r="AQ94"/>
      <c r="AR94"/>
      <c r="AS94"/>
      <c r="AT94"/>
      <c r="AU94"/>
      <c r="AV94"/>
      <c r="AW94"/>
    </row>
    <row r="95" spans="1:49">
      <c r="N95"/>
      <c r="O95"/>
      <c r="P95" s="601"/>
      <c r="Q95" s="601"/>
      <c r="R95" s="601"/>
      <c r="S95" s="601"/>
      <c r="T95" s="601"/>
      <c r="U95" s="601"/>
      <c r="V95" s="601"/>
      <c r="W95"/>
      <c r="X95"/>
      <c r="Y95"/>
      <c r="Z95"/>
      <c r="AA95"/>
      <c r="AB95"/>
      <c r="AC95"/>
      <c r="AD95"/>
      <c r="AE95"/>
      <c r="AF95"/>
      <c r="AG95"/>
      <c r="AH95"/>
      <c r="AI95"/>
      <c r="AJ95"/>
      <c r="AK95"/>
      <c r="AL95"/>
      <c r="AM95"/>
      <c r="AN95"/>
      <c r="AO95"/>
      <c r="AP95"/>
      <c r="AQ95"/>
      <c r="AR95"/>
      <c r="AS95"/>
      <c r="AT95"/>
      <c r="AU95"/>
      <c r="AV95"/>
      <c r="AW95"/>
    </row>
    <row r="96" spans="1:49">
      <c r="N96"/>
      <c r="O96"/>
      <c r="P96"/>
      <c r="R96" s="587"/>
      <c r="S96" s="600"/>
      <c r="T96" s="600"/>
      <c r="U96" s="589"/>
      <c r="V96" s="600"/>
      <c r="W96"/>
      <c r="X96"/>
      <c r="Y96"/>
      <c r="Z96"/>
      <c r="AA96"/>
      <c r="AB96"/>
      <c r="AC96"/>
      <c r="AD96"/>
      <c r="AE96"/>
      <c r="AF96"/>
      <c r="AG96"/>
      <c r="AH96"/>
      <c r="AI96"/>
      <c r="AJ96"/>
      <c r="AK96"/>
      <c r="AL96"/>
      <c r="AM96"/>
      <c r="AN96"/>
      <c r="AO96"/>
      <c r="AP96"/>
      <c r="AQ96"/>
      <c r="AR96"/>
      <c r="AS96"/>
      <c r="AT96"/>
      <c r="AU96"/>
      <c r="AV96"/>
      <c r="AW96"/>
    </row>
    <row r="97" spans="14:49">
      <c r="N97"/>
      <c r="O97"/>
      <c r="P97"/>
      <c r="R97" s="587"/>
      <c r="S97" s="600"/>
      <c r="T97" s="600"/>
      <c r="U97" s="589"/>
      <c r="V97" s="600"/>
      <c r="W97"/>
      <c r="X97"/>
      <c r="Y97"/>
      <c r="Z97"/>
      <c r="AA97"/>
      <c r="AB97"/>
      <c r="AC97"/>
      <c r="AD97"/>
      <c r="AE97"/>
      <c r="AF97"/>
      <c r="AG97"/>
      <c r="AH97"/>
      <c r="AI97"/>
      <c r="AJ97"/>
      <c r="AK97"/>
      <c r="AL97"/>
      <c r="AM97"/>
      <c r="AN97"/>
      <c r="AO97"/>
      <c r="AP97"/>
      <c r="AQ97"/>
      <c r="AR97"/>
      <c r="AS97"/>
      <c r="AT97"/>
      <c r="AU97"/>
      <c r="AV97"/>
      <c r="AW97"/>
    </row>
    <row r="98" spans="14:49">
      <c r="N98"/>
      <c r="O98"/>
      <c r="P98"/>
      <c r="R98" s="587"/>
      <c r="S98" s="600"/>
      <c r="T98" s="600"/>
      <c r="U98" s="589"/>
      <c r="V98" s="600"/>
      <c r="W98"/>
      <c r="X98"/>
      <c r="Y98"/>
      <c r="Z98"/>
      <c r="AA98"/>
      <c r="AB98"/>
      <c r="AC98"/>
      <c r="AD98"/>
      <c r="AE98"/>
      <c r="AF98"/>
      <c r="AG98"/>
      <c r="AH98"/>
      <c r="AI98"/>
      <c r="AJ98"/>
      <c r="AK98"/>
      <c r="AL98"/>
      <c r="AM98"/>
      <c r="AN98"/>
      <c r="AO98"/>
      <c r="AP98"/>
      <c r="AQ98"/>
      <c r="AR98"/>
      <c r="AS98"/>
      <c r="AT98"/>
      <c r="AU98"/>
      <c r="AV98"/>
      <c r="AW98"/>
    </row>
    <row r="99" spans="14:49">
      <c r="N99"/>
      <c r="O99"/>
      <c r="P99"/>
      <c r="R99" s="587"/>
      <c r="S99" s="600"/>
      <c r="T99" s="600"/>
      <c r="U99" s="589"/>
      <c r="V99" s="600"/>
      <c r="W99"/>
      <c r="X99"/>
      <c r="Y99"/>
      <c r="Z99"/>
      <c r="AA99"/>
      <c r="AB99"/>
      <c r="AC99"/>
      <c r="AD99"/>
      <c r="AE99"/>
      <c r="AF99"/>
      <c r="AG99"/>
      <c r="AH99"/>
      <c r="AI99"/>
      <c r="AJ99"/>
      <c r="AK99"/>
      <c r="AL99"/>
      <c r="AM99"/>
      <c r="AN99"/>
      <c r="AO99"/>
      <c r="AP99"/>
      <c r="AQ99"/>
      <c r="AR99"/>
      <c r="AS99"/>
      <c r="AT99"/>
      <c r="AU99"/>
      <c r="AV99"/>
      <c r="AW99"/>
    </row>
    <row r="100" spans="14:49">
      <c r="N100"/>
      <c r="O100"/>
      <c r="P100"/>
      <c r="R100" s="587"/>
      <c r="S100" s="600"/>
      <c r="T100" s="600"/>
      <c r="U100" s="589"/>
      <c r="V100" s="600"/>
      <c r="W100"/>
      <c r="X100"/>
      <c r="Y100"/>
      <c r="Z100"/>
      <c r="AA100"/>
      <c r="AB100"/>
      <c r="AC100"/>
      <c r="AD100"/>
      <c r="AE100"/>
      <c r="AF100"/>
      <c r="AG100"/>
      <c r="AH100"/>
      <c r="AI100"/>
      <c r="AJ100"/>
      <c r="AK100"/>
      <c r="AL100"/>
      <c r="AM100"/>
      <c r="AN100"/>
      <c r="AO100"/>
      <c r="AP100"/>
      <c r="AQ100"/>
      <c r="AR100"/>
      <c r="AS100"/>
      <c r="AT100"/>
      <c r="AU100"/>
      <c r="AV100"/>
      <c r="AW100"/>
    </row>
    <row r="101" spans="14:49">
      <c r="N101"/>
      <c r="O101"/>
      <c r="P101"/>
      <c r="R101" s="587"/>
      <c r="S101" s="600"/>
      <c r="T101" s="600"/>
      <c r="U101" s="589"/>
      <c r="V101" s="600"/>
      <c r="W101"/>
      <c r="X101"/>
      <c r="Y101"/>
      <c r="Z101"/>
      <c r="AA101"/>
      <c r="AB101"/>
      <c r="AC101"/>
      <c r="AD101"/>
      <c r="AE101"/>
      <c r="AF101"/>
      <c r="AG101"/>
      <c r="AH101"/>
      <c r="AI101"/>
      <c r="AJ101"/>
      <c r="AK101"/>
      <c r="AL101"/>
      <c r="AM101"/>
      <c r="AN101"/>
      <c r="AO101"/>
      <c r="AP101"/>
      <c r="AQ101"/>
      <c r="AR101"/>
      <c r="AS101"/>
      <c r="AT101"/>
      <c r="AU101"/>
      <c r="AV101"/>
      <c r="AW101"/>
    </row>
    <row r="102" spans="14:49">
      <c r="N102"/>
      <c r="O102"/>
      <c r="P102"/>
      <c r="R102" s="587"/>
      <c r="S102" s="600"/>
      <c r="T102" s="600"/>
      <c r="U102" s="589"/>
      <c r="V102" s="600"/>
      <c r="W102"/>
      <c r="X102"/>
      <c r="Y102"/>
      <c r="Z102"/>
      <c r="AA102"/>
      <c r="AB102"/>
      <c r="AC102"/>
      <c r="AD102"/>
      <c r="AE102"/>
      <c r="AF102"/>
      <c r="AG102"/>
      <c r="AH102"/>
      <c r="AI102"/>
      <c r="AJ102"/>
      <c r="AK102"/>
      <c r="AL102"/>
      <c r="AM102"/>
      <c r="AN102"/>
      <c r="AO102"/>
      <c r="AP102"/>
      <c r="AQ102"/>
      <c r="AR102"/>
      <c r="AS102"/>
      <c r="AT102"/>
      <c r="AU102"/>
      <c r="AV102"/>
      <c r="AW102"/>
    </row>
    <row r="103" spans="14:49">
      <c r="N103"/>
      <c r="O103"/>
      <c r="P103"/>
      <c r="R103" s="587"/>
      <c r="S103" s="600"/>
      <c r="T103" s="600"/>
      <c r="U103" s="589"/>
      <c r="V103" s="600"/>
      <c r="W103"/>
      <c r="X103"/>
      <c r="Y103"/>
      <c r="Z103"/>
      <c r="AA103"/>
      <c r="AB103"/>
      <c r="AC103"/>
      <c r="AD103"/>
      <c r="AE103"/>
      <c r="AF103"/>
      <c r="AG103"/>
      <c r="AH103"/>
      <c r="AI103"/>
      <c r="AJ103"/>
      <c r="AK103"/>
      <c r="AL103"/>
      <c r="AM103"/>
      <c r="AN103"/>
      <c r="AO103"/>
      <c r="AP103"/>
      <c r="AQ103"/>
      <c r="AR103"/>
      <c r="AS103"/>
      <c r="AT103"/>
      <c r="AU103"/>
      <c r="AV103"/>
      <c r="AW103"/>
    </row>
    <row r="104" spans="14:49">
      <c r="N104"/>
      <c r="O104"/>
      <c r="P104"/>
      <c r="R104" s="587"/>
      <c r="S104" s="600"/>
      <c r="T104" s="600"/>
      <c r="U104" s="589"/>
      <c r="V104" s="600"/>
      <c r="W104"/>
      <c r="X104"/>
      <c r="Y104"/>
      <c r="Z104"/>
      <c r="AA104"/>
      <c r="AB104"/>
      <c r="AC104"/>
      <c r="AD104"/>
      <c r="AE104"/>
      <c r="AF104"/>
      <c r="AG104"/>
      <c r="AH104"/>
      <c r="AI104"/>
      <c r="AJ104"/>
      <c r="AK104"/>
      <c r="AL104"/>
      <c r="AM104"/>
      <c r="AN104"/>
      <c r="AO104"/>
      <c r="AP104"/>
      <c r="AQ104"/>
      <c r="AR104"/>
      <c r="AS104"/>
      <c r="AT104"/>
      <c r="AU104"/>
      <c r="AV104"/>
      <c r="AW104"/>
    </row>
    <row r="105" spans="14:49">
      <c r="N105"/>
      <c r="O105"/>
      <c r="P105"/>
      <c r="R105" s="587"/>
      <c r="S105" s="600"/>
      <c r="T105" s="600"/>
      <c r="U105" s="589"/>
      <c r="V105" s="600"/>
      <c r="W105"/>
      <c r="X105"/>
      <c r="Y105"/>
      <c r="Z105"/>
      <c r="AA105"/>
      <c r="AB105"/>
      <c r="AC105"/>
      <c r="AD105"/>
      <c r="AE105"/>
      <c r="AF105"/>
      <c r="AG105"/>
      <c r="AH105"/>
      <c r="AI105"/>
      <c r="AJ105"/>
      <c r="AK105"/>
      <c r="AL105"/>
      <c r="AM105"/>
      <c r="AN105"/>
      <c r="AO105"/>
      <c r="AP105"/>
      <c r="AQ105"/>
      <c r="AR105"/>
      <c r="AS105"/>
      <c r="AT105"/>
      <c r="AU105"/>
      <c r="AV105"/>
      <c r="AW105"/>
    </row>
    <row r="106" spans="14:49">
      <c r="N106"/>
      <c r="O106"/>
      <c r="P106"/>
      <c r="R106" s="587"/>
      <c r="S106" s="600"/>
      <c r="T106" s="600"/>
      <c r="U106" s="589"/>
      <c r="V106" s="600"/>
      <c r="W106"/>
      <c r="X106"/>
      <c r="Y106"/>
      <c r="Z106"/>
      <c r="AA106"/>
      <c r="AB106"/>
      <c r="AC106"/>
      <c r="AD106"/>
      <c r="AE106"/>
      <c r="AF106"/>
      <c r="AG106"/>
      <c r="AH106"/>
      <c r="AI106"/>
      <c r="AJ106"/>
      <c r="AK106"/>
      <c r="AL106"/>
      <c r="AM106"/>
      <c r="AN106"/>
      <c r="AO106"/>
      <c r="AP106"/>
      <c r="AQ106"/>
      <c r="AR106"/>
      <c r="AS106"/>
      <c r="AT106"/>
      <c r="AU106"/>
      <c r="AV106"/>
      <c r="AW106"/>
    </row>
    <row r="107" spans="14:49">
      <c r="N107"/>
      <c r="O107"/>
      <c r="P107"/>
      <c r="R107" s="587"/>
      <c r="S107" s="600"/>
      <c r="T107" s="600"/>
      <c r="U107" s="589"/>
      <c r="V107" s="600"/>
      <c r="W107"/>
      <c r="X107"/>
      <c r="Y107"/>
      <c r="Z107"/>
      <c r="AA107"/>
      <c r="AB107"/>
      <c r="AC107"/>
      <c r="AD107"/>
      <c r="AE107"/>
      <c r="AF107"/>
      <c r="AG107"/>
      <c r="AH107"/>
      <c r="AI107"/>
      <c r="AJ107"/>
      <c r="AK107"/>
      <c r="AL107"/>
      <c r="AM107"/>
      <c r="AN107"/>
      <c r="AO107"/>
      <c r="AP107"/>
      <c r="AQ107"/>
      <c r="AR107"/>
      <c r="AS107"/>
      <c r="AT107"/>
      <c r="AU107"/>
      <c r="AV107"/>
      <c r="AW107"/>
    </row>
    <row r="108" spans="14:49">
      <c r="N108"/>
      <c r="O108"/>
      <c r="P108"/>
      <c r="R108" s="587"/>
      <c r="S108" s="600"/>
      <c r="T108" s="600"/>
      <c r="U108" s="589"/>
      <c r="V108" s="600"/>
      <c r="W108"/>
      <c r="X108"/>
      <c r="Y108"/>
      <c r="Z108"/>
      <c r="AA108"/>
      <c r="AB108"/>
      <c r="AC108"/>
      <c r="AD108"/>
      <c r="AE108"/>
      <c r="AF108"/>
      <c r="AG108"/>
      <c r="AH108"/>
      <c r="AI108"/>
      <c r="AJ108"/>
      <c r="AK108"/>
      <c r="AL108"/>
      <c r="AM108"/>
      <c r="AN108"/>
      <c r="AO108"/>
      <c r="AP108"/>
      <c r="AQ108"/>
      <c r="AR108"/>
      <c r="AS108"/>
      <c r="AT108"/>
      <c r="AU108"/>
      <c r="AV108"/>
      <c r="AW108"/>
    </row>
    <row r="109" spans="14:49">
      <c r="N109"/>
      <c r="O109"/>
      <c r="P109"/>
      <c r="R109" s="587"/>
      <c r="S109" s="600"/>
      <c r="T109" s="600"/>
      <c r="U109" s="589"/>
      <c r="V109" s="600"/>
      <c r="W109"/>
      <c r="X109"/>
      <c r="Y109"/>
      <c r="Z109"/>
      <c r="AA109"/>
      <c r="AB109"/>
      <c r="AC109"/>
      <c r="AD109"/>
      <c r="AE109"/>
      <c r="AF109"/>
      <c r="AG109"/>
      <c r="AH109"/>
      <c r="AI109"/>
      <c r="AJ109"/>
      <c r="AK109"/>
      <c r="AL109"/>
      <c r="AM109"/>
      <c r="AN109"/>
      <c r="AO109"/>
      <c r="AP109"/>
      <c r="AQ109"/>
      <c r="AR109"/>
      <c r="AS109"/>
      <c r="AT109"/>
      <c r="AU109"/>
      <c r="AV109"/>
      <c r="AW109"/>
    </row>
    <row r="110" spans="14:49">
      <c r="N110"/>
      <c r="O110"/>
      <c r="P110"/>
      <c r="Q110" s="587"/>
      <c r="R110" s="587"/>
      <c r="S110" s="600"/>
      <c r="T110" s="600"/>
      <c r="U110" s="589"/>
      <c r="V110" s="600"/>
      <c r="W110" s="587"/>
      <c r="X110" s="587"/>
      <c r="Y110"/>
      <c r="Z110"/>
      <c r="AA110"/>
      <c r="AB110"/>
      <c r="AC110"/>
      <c r="AD110"/>
      <c r="AE110"/>
      <c r="AF110"/>
      <c r="AG110"/>
      <c r="AH110"/>
      <c r="AI110"/>
      <c r="AJ110"/>
      <c r="AK110"/>
      <c r="AL110"/>
      <c r="AM110"/>
      <c r="AN110"/>
      <c r="AO110"/>
      <c r="AP110"/>
      <c r="AQ110"/>
      <c r="AR110"/>
      <c r="AS110"/>
      <c r="AT110"/>
      <c r="AU110"/>
      <c r="AV110"/>
      <c r="AW110"/>
    </row>
    <row r="111" spans="14:49">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row>
    <row r="112" spans="14:49">
      <c r="N112"/>
      <c r="O112"/>
      <c r="P112"/>
      <c r="Q112"/>
      <c r="R112" s="590"/>
      <c r="S112" s="600"/>
      <c r="T112"/>
      <c r="U112" s="584"/>
      <c r="V112" s="584"/>
      <c r="W112" s="584"/>
      <c r="X112" s="584"/>
      <c r="Y112" s="584"/>
      <c r="Z112" s="584"/>
      <c r="AA112"/>
      <c r="AB112"/>
      <c r="AC112"/>
      <c r="AD112"/>
      <c r="AE112"/>
      <c r="AF112"/>
      <c r="AH112"/>
      <c r="AI112"/>
      <c r="AJ112"/>
      <c r="AK112"/>
      <c r="AL112"/>
      <c r="AM112"/>
      <c r="AN112"/>
      <c r="AO112"/>
      <c r="AP112"/>
      <c r="AQ112"/>
      <c r="AR112"/>
      <c r="AS112"/>
      <c r="AT112"/>
      <c r="AU112"/>
      <c r="AV112"/>
      <c r="AW112"/>
    </row>
    <row r="113" spans="14:49">
      <c r="N113"/>
      <c r="O113"/>
      <c r="P113"/>
      <c r="Q113"/>
      <c r="R113" s="590"/>
      <c r="S113" s="324"/>
      <c r="T113"/>
      <c r="U113"/>
      <c r="V113"/>
      <c r="W113"/>
      <c r="X113"/>
      <c r="Y113"/>
      <c r="Z113"/>
      <c r="AA113"/>
      <c r="AB113"/>
      <c r="AC113"/>
      <c r="AD113"/>
      <c r="AE113"/>
      <c r="AF113"/>
      <c r="AG113"/>
      <c r="AH113"/>
      <c r="AI113"/>
      <c r="AJ113"/>
      <c r="AK113"/>
      <c r="AL113"/>
      <c r="AM113"/>
      <c r="AN113"/>
      <c r="AO113"/>
      <c r="AP113"/>
      <c r="AQ113"/>
      <c r="AR113"/>
      <c r="AS113"/>
      <c r="AT113"/>
      <c r="AU113"/>
      <c r="AV113"/>
      <c r="AW113"/>
    </row>
    <row r="114" spans="14:49">
      <c r="N114"/>
      <c r="O114"/>
      <c r="P114"/>
      <c r="Q114"/>
      <c r="R114"/>
      <c r="S114"/>
      <c r="T114"/>
      <c r="U114"/>
      <c r="V114"/>
      <c r="W114"/>
      <c r="X114"/>
      <c r="Y114" s="587"/>
      <c r="Z114" s="587"/>
      <c r="AA114" s="1830"/>
      <c r="AB114" s="1830"/>
      <c r="AC114" s="1830"/>
      <c r="AD114" s="1830"/>
      <c r="AE114" s="1830"/>
      <c r="AF114" s="599"/>
      <c r="AG114" s="1830"/>
      <c r="AH114" s="1830"/>
      <c r="AI114" s="1830"/>
      <c r="AJ114" s="1830"/>
      <c r="AK114" s="1830"/>
      <c r="AL114" s="1830"/>
      <c r="AM114" s="1830"/>
      <c r="AN114" s="1830"/>
      <c r="AO114" s="1830"/>
      <c r="AP114" s="1830"/>
      <c r="AQ114"/>
      <c r="AR114"/>
      <c r="AS114"/>
      <c r="AT114"/>
      <c r="AU114"/>
      <c r="AV114"/>
      <c r="AW114"/>
    </row>
    <row r="115" spans="14:49">
      <c r="N115"/>
      <c r="O115"/>
      <c r="P115"/>
      <c r="Q115" s="598"/>
      <c r="R115" s="598"/>
      <c r="S115" s="598"/>
      <c r="T115" s="598"/>
      <c r="U115" s="598"/>
      <c r="V115" s="598"/>
      <c r="W115" s="598"/>
      <c r="X115" s="598"/>
      <c r="Y115" s="598"/>
      <c r="Z115" s="598"/>
      <c r="AA115" s="598"/>
      <c r="AB115" s="598"/>
      <c r="AC115" s="598"/>
      <c r="AD115" s="598"/>
      <c r="AE115" s="598"/>
      <c r="AF115" s="598"/>
      <c r="AG115" s="598"/>
      <c r="AH115" s="598"/>
      <c r="AI115" s="598"/>
      <c r="AJ115" s="598"/>
      <c r="AK115" s="598"/>
      <c r="AL115" s="598"/>
      <c r="AM115" s="598"/>
      <c r="AN115" s="598"/>
      <c r="AO115" s="598"/>
      <c r="AP115" s="598"/>
      <c r="AQ115"/>
      <c r="AR115"/>
      <c r="AS115"/>
      <c r="AT115"/>
      <c r="AU115"/>
      <c r="AV115"/>
      <c r="AW115"/>
    </row>
    <row r="116" spans="14:49">
      <c r="N116"/>
      <c r="O116"/>
      <c r="P116"/>
      <c r="Q116"/>
      <c r="R116"/>
      <c r="S116" s="597"/>
      <c r="T116" s="596"/>
      <c r="U116" s="596"/>
      <c r="V116" s="596"/>
      <c r="W116" s="596"/>
      <c r="X116" s="596"/>
      <c r="Y116" s="589"/>
      <c r="Z116" s="589"/>
      <c r="AA116" s="589"/>
      <c r="AB116" s="589"/>
      <c r="AC116" s="589"/>
      <c r="AD116" s="589"/>
      <c r="AE116" s="589"/>
      <c r="AF116" s="589"/>
      <c r="AG116" s="587"/>
      <c r="AH116" s="587"/>
      <c r="AI116" s="587"/>
      <c r="AJ116" s="587"/>
      <c r="AK116" s="587"/>
      <c r="AL116" s="587"/>
      <c r="AM116"/>
      <c r="AN116"/>
      <c r="AO116"/>
      <c r="AP116"/>
      <c r="AQ116"/>
      <c r="AR116"/>
      <c r="AS116"/>
      <c r="AT116"/>
      <c r="AU116"/>
      <c r="AV116"/>
      <c r="AW116"/>
    </row>
    <row r="117" spans="14:49">
      <c r="N117"/>
      <c r="O117"/>
      <c r="P117"/>
      <c r="Q117"/>
      <c r="R117"/>
      <c r="S117" s="597"/>
      <c r="T117" s="596"/>
      <c r="U117" s="596"/>
      <c r="V117" s="596"/>
      <c r="W117" s="596"/>
      <c r="X117" s="596"/>
      <c r="Y117" s="589"/>
      <c r="Z117" s="589"/>
      <c r="AA117" s="589"/>
      <c r="AB117" s="589"/>
      <c r="AC117" s="589"/>
      <c r="AD117" s="589"/>
      <c r="AE117" s="589"/>
      <c r="AF117" s="589"/>
      <c r="AG117" s="587"/>
      <c r="AH117" s="587"/>
      <c r="AI117" s="587"/>
      <c r="AJ117" s="587"/>
      <c r="AK117" s="587"/>
      <c r="AL117" s="587"/>
      <c r="AM117"/>
      <c r="AN117"/>
      <c r="AO117"/>
      <c r="AP117"/>
      <c r="AQ117"/>
      <c r="AR117"/>
      <c r="AS117"/>
      <c r="AT117"/>
      <c r="AU117"/>
      <c r="AV117"/>
      <c r="AW117"/>
    </row>
    <row r="118" spans="14:49">
      <c r="N118"/>
      <c r="O118"/>
      <c r="P118"/>
      <c r="Q118"/>
      <c r="R118"/>
      <c r="S118" s="597"/>
      <c r="T118" s="596"/>
      <c r="U118" s="596"/>
      <c r="V118" s="596"/>
      <c r="W118" s="596"/>
      <c r="X118" s="596"/>
      <c r="Y118" s="589"/>
      <c r="Z118" s="589"/>
      <c r="AA118" s="589"/>
      <c r="AB118" s="589"/>
      <c r="AC118" s="589"/>
      <c r="AD118" s="589"/>
      <c r="AE118" s="589"/>
      <c r="AF118" s="589"/>
      <c r="AG118" s="587"/>
      <c r="AH118" s="587"/>
      <c r="AI118" s="587"/>
      <c r="AJ118" s="587"/>
      <c r="AK118" s="587"/>
      <c r="AL118" s="587"/>
      <c r="AM118"/>
      <c r="AN118"/>
      <c r="AO118"/>
      <c r="AP118"/>
      <c r="AQ118"/>
      <c r="AR118"/>
      <c r="AS118"/>
      <c r="AT118"/>
      <c r="AU118"/>
      <c r="AV118"/>
      <c r="AW118"/>
    </row>
    <row r="119" spans="14:49">
      <c r="N119"/>
      <c r="O119"/>
      <c r="P119"/>
      <c r="Q119"/>
      <c r="R119"/>
      <c r="S119" s="597"/>
      <c r="T119" s="596"/>
      <c r="U119" s="596"/>
      <c r="V119" s="596"/>
      <c r="W119" s="596"/>
      <c r="X119" s="596"/>
      <c r="Y119" s="589"/>
      <c r="Z119" s="589"/>
      <c r="AA119" s="589"/>
      <c r="AB119" s="589"/>
      <c r="AC119" s="589"/>
      <c r="AD119" s="589"/>
      <c r="AE119" s="589"/>
      <c r="AF119" s="589"/>
      <c r="AG119" s="587"/>
      <c r="AH119" s="587"/>
      <c r="AI119" s="587"/>
      <c r="AJ119" s="587"/>
      <c r="AK119" s="587"/>
      <c r="AL119" s="587"/>
      <c r="AM119"/>
      <c r="AN119"/>
      <c r="AO119"/>
      <c r="AP119"/>
      <c r="AQ119"/>
      <c r="AR119"/>
      <c r="AS119"/>
      <c r="AT119"/>
      <c r="AU119"/>
      <c r="AV119"/>
      <c r="AW119"/>
    </row>
    <row r="120" spans="14:49">
      <c r="N120"/>
      <c r="O120"/>
      <c r="P120"/>
      <c r="Q120"/>
      <c r="R120"/>
      <c r="S120" s="597"/>
      <c r="T120" s="596"/>
      <c r="U120" s="596"/>
      <c r="V120" s="596"/>
      <c r="W120" s="596"/>
      <c r="X120" s="596"/>
      <c r="Y120" s="589"/>
      <c r="Z120" s="589"/>
      <c r="AA120" s="589"/>
      <c r="AB120" s="589"/>
      <c r="AC120" s="589"/>
      <c r="AD120" s="589"/>
      <c r="AE120" s="589"/>
      <c r="AF120" s="589"/>
      <c r="AG120" s="587"/>
      <c r="AH120" s="587"/>
      <c r="AI120" s="587"/>
      <c r="AJ120" s="587"/>
      <c r="AK120" s="587"/>
      <c r="AL120" s="587"/>
      <c r="AM120"/>
      <c r="AN120"/>
      <c r="AO120"/>
      <c r="AP120"/>
      <c r="AQ120"/>
      <c r="AR120"/>
      <c r="AS120"/>
      <c r="AT120"/>
      <c r="AU120"/>
      <c r="AV120"/>
      <c r="AW120"/>
    </row>
    <row r="121" spans="14:49">
      <c r="N121"/>
      <c r="O121"/>
      <c r="P121"/>
      <c r="Q121"/>
      <c r="R121"/>
      <c r="S121" s="597"/>
      <c r="T121" s="596"/>
      <c r="U121" s="596"/>
      <c r="V121" s="596"/>
      <c r="W121" s="596"/>
      <c r="X121" s="596"/>
      <c r="Y121" s="589"/>
      <c r="Z121" s="589"/>
      <c r="AA121" s="589"/>
      <c r="AB121" s="589"/>
      <c r="AC121" s="589"/>
      <c r="AD121" s="589"/>
      <c r="AE121" s="589"/>
      <c r="AF121" s="589"/>
      <c r="AG121" s="587"/>
      <c r="AH121" s="587"/>
      <c r="AI121" s="587"/>
      <c r="AJ121" s="587"/>
      <c r="AK121" s="587"/>
      <c r="AL121" s="587"/>
      <c r="AM121"/>
      <c r="AN121"/>
      <c r="AO121"/>
      <c r="AP121"/>
      <c r="AQ121"/>
      <c r="AR121"/>
      <c r="AS121"/>
      <c r="AT121"/>
      <c r="AU121"/>
      <c r="AV121"/>
      <c r="AW121"/>
    </row>
    <row r="122" spans="14:49">
      <c r="N122"/>
      <c r="O122"/>
      <c r="P122"/>
      <c r="Q122"/>
      <c r="R122"/>
      <c r="S122" s="597"/>
      <c r="T122" s="596"/>
      <c r="U122" s="596"/>
      <c r="V122" s="596"/>
      <c r="W122" s="596"/>
      <c r="X122" s="596"/>
      <c r="Y122" s="589"/>
      <c r="Z122" s="589"/>
      <c r="AA122" s="589"/>
      <c r="AB122" s="589"/>
      <c r="AC122" s="589"/>
      <c r="AD122" s="589"/>
      <c r="AE122" s="589"/>
      <c r="AF122" s="589"/>
      <c r="AG122" s="587"/>
      <c r="AH122" s="587"/>
      <c r="AI122" s="587"/>
      <c r="AJ122" s="587"/>
      <c r="AK122" s="587"/>
      <c r="AL122" s="587"/>
      <c r="AM122"/>
      <c r="AN122"/>
      <c r="AO122"/>
      <c r="AP122"/>
      <c r="AQ122"/>
      <c r="AR122"/>
      <c r="AS122"/>
      <c r="AT122"/>
      <c r="AU122"/>
      <c r="AV122"/>
      <c r="AW122"/>
    </row>
    <row r="123" spans="14:49">
      <c r="N123"/>
      <c r="O123"/>
      <c r="P123"/>
      <c r="Q123"/>
      <c r="R123"/>
      <c r="S123" s="597"/>
      <c r="T123" s="596"/>
      <c r="U123" s="596"/>
      <c r="V123" s="596"/>
      <c r="W123" s="596"/>
      <c r="X123" s="596"/>
      <c r="Y123" s="589"/>
      <c r="Z123" s="589"/>
      <c r="AA123" s="589"/>
      <c r="AB123" s="589"/>
      <c r="AC123" s="589"/>
      <c r="AD123" s="589"/>
      <c r="AE123" s="589"/>
      <c r="AF123" s="589"/>
      <c r="AG123" s="587"/>
      <c r="AH123" s="587"/>
      <c r="AI123" s="587"/>
      <c r="AJ123" s="587"/>
      <c r="AK123" s="587"/>
      <c r="AL123" s="587"/>
      <c r="AM123"/>
      <c r="AN123"/>
      <c r="AO123"/>
      <c r="AP123"/>
      <c r="AQ123"/>
      <c r="AR123"/>
      <c r="AS123"/>
      <c r="AT123"/>
      <c r="AU123"/>
      <c r="AV123"/>
      <c r="AW123"/>
    </row>
    <row r="124" spans="14:49">
      <c r="N124"/>
      <c r="O124"/>
      <c r="P124"/>
      <c r="Q124"/>
      <c r="R124"/>
      <c r="S124" s="597"/>
      <c r="T124" s="596"/>
      <c r="U124" s="596"/>
      <c r="V124" s="596"/>
      <c r="W124" s="596"/>
      <c r="X124" s="596"/>
      <c r="Y124" s="589"/>
      <c r="Z124" s="589"/>
      <c r="AA124" s="589"/>
      <c r="AB124" s="589"/>
      <c r="AC124" s="589"/>
      <c r="AD124" s="589"/>
      <c r="AE124" s="589"/>
      <c r="AF124" s="589"/>
      <c r="AG124" s="587"/>
      <c r="AH124" s="587"/>
      <c r="AI124" s="587"/>
      <c r="AJ124" s="587"/>
      <c r="AK124" s="587"/>
      <c r="AL124" s="587"/>
      <c r="AM124"/>
      <c r="AN124"/>
      <c r="AO124"/>
      <c r="AP124"/>
      <c r="AQ124"/>
      <c r="AR124"/>
      <c r="AS124"/>
      <c r="AT124"/>
      <c r="AU124"/>
      <c r="AV124"/>
      <c r="AW124"/>
    </row>
    <row r="125" spans="14:49">
      <c r="N125"/>
      <c r="O125"/>
      <c r="P125"/>
      <c r="Q125"/>
      <c r="R125"/>
      <c r="S125" s="597"/>
      <c r="T125" s="596"/>
      <c r="U125" s="596"/>
      <c r="V125" s="596"/>
      <c r="W125" s="596"/>
      <c r="X125" s="596"/>
      <c r="Y125" s="589"/>
      <c r="Z125" s="589"/>
      <c r="AA125" s="589"/>
      <c r="AB125" s="589"/>
      <c r="AC125" s="589"/>
      <c r="AD125" s="589"/>
      <c r="AE125" s="589"/>
      <c r="AF125" s="589"/>
      <c r="AG125" s="587"/>
      <c r="AH125" s="587"/>
      <c r="AI125" s="587"/>
      <c r="AJ125" s="587"/>
      <c r="AK125" s="587"/>
      <c r="AL125" s="587"/>
      <c r="AM125"/>
      <c r="AN125"/>
      <c r="AO125"/>
      <c r="AP125"/>
      <c r="AQ125"/>
      <c r="AR125"/>
      <c r="AS125"/>
      <c r="AT125"/>
      <c r="AU125"/>
      <c r="AV125"/>
      <c r="AW125"/>
    </row>
    <row r="126" spans="14:49">
      <c r="N126"/>
      <c r="O126"/>
      <c r="P126"/>
      <c r="Q126"/>
      <c r="R126"/>
      <c r="S126" s="597"/>
      <c r="T126" s="596"/>
      <c r="U126" s="596"/>
      <c r="V126" s="596"/>
      <c r="W126" s="596"/>
      <c r="X126" s="596"/>
      <c r="Y126" s="589"/>
      <c r="Z126" s="589"/>
      <c r="AA126" s="589"/>
      <c r="AB126" s="589"/>
      <c r="AC126" s="589"/>
      <c r="AD126" s="589"/>
      <c r="AE126" s="589"/>
      <c r="AF126" s="589"/>
      <c r="AG126" s="587"/>
      <c r="AH126" s="587"/>
      <c r="AI126" s="587"/>
      <c r="AJ126" s="587"/>
      <c r="AK126" s="587"/>
      <c r="AL126" s="587"/>
      <c r="AM126"/>
      <c r="AN126"/>
      <c r="AO126"/>
      <c r="AP126"/>
      <c r="AQ126"/>
      <c r="AR126"/>
      <c r="AS126"/>
      <c r="AT126"/>
      <c r="AU126"/>
      <c r="AV126"/>
      <c r="AW126"/>
    </row>
    <row r="127" spans="14:49">
      <c r="N127"/>
      <c r="O127"/>
      <c r="P127"/>
      <c r="Q127"/>
      <c r="R127"/>
      <c r="S127" s="597"/>
      <c r="T127" s="596"/>
      <c r="U127" s="596"/>
      <c r="V127" s="596"/>
      <c r="W127" s="596"/>
      <c r="X127" s="596"/>
      <c r="Y127" s="589"/>
      <c r="Z127" s="589"/>
      <c r="AA127" s="589"/>
      <c r="AB127" s="589"/>
      <c r="AC127" s="589"/>
      <c r="AD127" s="589"/>
      <c r="AE127" s="589"/>
      <c r="AF127" s="589"/>
      <c r="AG127" s="587"/>
      <c r="AH127" s="587"/>
      <c r="AI127" s="587"/>
      <c r="AJ127" s="587"/>
      <c r="AK127" s="587"/>
      <c r="AL127" s="587"/>
      <c r="AM127"/>
      <c r="AN127"/>
      <c r="AO127"/>
      <c r="AP127"/>
      <c r="AQ127"/>
      <c r="AR127"/>
      <c r="AS127"/>
      <c r="AT127"/>
      <c r="AU127"/>
      <c r="AV127"/>
      <c r="AW127"/>
    </row>
    <row r="128" spans="14:49">
      <c r="N128"/>
      <c r="O128"/>
      <c r="P128"/>
      <c r="Q128"/>
      <c r="R128"/>
      <c r="S128" s="597"/>
      <c r="T128" s="596"/>
      <c r="U128" s="596"/>
      <c r="V128" s="596"/>
      <c r="W128" s="596"/>
      <c r="X128" s="596"/>
      <c r="Y128" s="589"/>
      <c r="Z128" s="589"/>
      <c r="AA128" s="589"/>
      <c r="AB128" s="589"/>
      <c r="AC128" s="589"/>
      <c r="AD128" s="589"/>
      <c r="AE128" s="589"/>
      <c r="AF128" s="589"/>
      <c r="AG128" s="587"/>
      <c r="AH128" s="587"/>
      <c r="AI128" s="587"/>
      <c r="AJ128" s="587"/>
      <c r="AK128" s="587"/>
      <c r="AL128" s="587"/>
      <c r="AM128"/>
      <c r="AN128"/>
      <c r="AO128"/>
      <c r="AP128"/>
      <c r="AQ128"/>
      <c r="AR128"/>
      <c r="AS128"/>
      <c r="AT128"/>
      <c r="AU128"/>
      <c r="AV128"/>
      <c r="AW128"/>
    </row>
    <row r="129" spans="14:49">
      <c r="N129"/>
      <c r="O129"/>
      <c r="P129"/>
      <c r="Q129"/>
      <c r="R129"/>
      <c r="S129" s="597"/>
      <c r="T129" s="596"/>
      <c r="U129" s="596"/>
      <c r="V129" s="596"/>
      <c r="W129" s="596"/>
      <c r="X129" s="596"/>
      <c r="Y129" s="589"/>
      <c r="Z129" s="589"/>
      <c r="AA129" s="589"/>
      <c r="AB129" s="589"/>
      <c r="AC129" s="589"/>
      <c r="AD129" s="589"/>
      <c r="AE129" s="589"/>
      <c r="AF129" s="589"/>
      <c r="AG129" s="587"/>
      <c r="AH129" s="587"/>
      <c r="AI129" s="587"/>
      <c r="AJ129" s="587"/>
      <c r="AK129" s="587"/>
      <c r="AL129" s="587"/>
      <c r="AM129"/>
      <c r="AN129"/>
      <c r="AO129"/>
      <c r="AP129"/>
      <c r="AQ129"/>
      <c r="AR129"/>
      <c r="AS129"/>
      <c r="AT129"/>
      <c r="AU129"/>
      <c r="AV129"/>
      <c r="AW129"/>
    </row>
    <row r="130" spans="14:49">
      <c r="N130"/>
      <c r="O130"/>
      <c r="P130"/>
      <c r="Q130"/>
      <c r="R130"/>
      <c r="S130" s="597"/>
      <c r="T130" s="596"/>
      <c r="U130" s="596"/>
      <c r="V130" s="596"/>
      <c r="W130" s="596"/>
      <c r="X130" s="596"/>
      <c r="Y130" s="589"/>
      <c r="Z130" s="589"/>
      <c r="AA130" s="589"/>
      <c r="AB130" s="589"/>
      <c r="AC130" s="589"/>
      <c r="AD130" s="589"/>
      <c r="AE130" s="589"/>
      <c r="AF130" s="589"/>
      <c r="AG130" s="587"/>
      <c r="AH130" s="587"/>
      <c r="AI130" s="587"/>
      <c r="AJ130" s="587"/>
      <c r="AK130" s="587"/>
      <c r="AL130" s="587"/>
      <c r="AM130"/>
      <c r="AN130"/>
      <c r="AO130"/>
      <c r="AP130"/>
      <c r="AQ130"/>
      <c r="AR130"/>
      <c r="AS130"/>
      <c r="AT130"/>
      <c r="AU130"/>
      <c r="AV130"/>
      <c r="AW130"/>
    </row>
    <row r="131" spans="14:49">
      <c r="N131"/>
      <c r="O131"/>
      <c r="P131"/>
      <c r="Q131"/>
      <c r="R131"/>
      <c r="S131" s="597"/>
      <c r="T131" s="596"/>
      <c r="U131" s="596"/>
      <c r="V131" s="596"/>
      <c r="W131" s="596"/>
      <c r="X131" s="596"/>
      <c r="Y131" s="589"/>
      <c r="Z131" s="589"/>
      <c r="AA131" s="589"/>
      <c r="AB131" s="589"/>
      <c r="AC131" s="589"/>
      <c r="AD131" s="589"/>
      <c r="AE131" s="589"/>
      <c r="AF131" s="589"/>
      <c r="AG131" s="587"/>
      <c r="AH131" s="587"/>
      <c r="AI131" s="587"/>
      <c r="AJ131" s="587"/>
      <c r="AK131" s="587"/>
      <c r="AL131" s="587"/>
      <c r="AM131"/>
      <c r="AN131"/>
      <c r="AO131"/>
      <c r="AP131"/>
      <c r="AQ131"/>
      <c r="AR131"/>
      <c r="AS131"/>
      <c r="AT131"/>
      <c r="AU131"/>
      <c r="AV131"/>
      <c r="AW131"/>
    </row>
    <row r="132" spans="14:49">
      <c r="N132"/>
      <c r="O132"/>
      <c r="P132"/>
      <c r="Q132"/>
      <c r="R132"/>
      <c r="S132" s="597"/>
      <c r="T132" s="596"/>
      <c r="U132" s="596"/>
      <c r="V132" s="596"/>
      <c r="W132" s="596"/>
      <c r="X132" s="596"/>
      <c r="Y132" s="589"/>
      <c r="Z132" s="589"/>
      <c r="AA132" s="589"/>
      <c r="AB132" s="589"/>
      <c r="AC132" s="589"/>
      <c r="AD132" s="589"/>
      <c r="AE132" s="589"/>
      <c r="AF132" s="589"/>
      <c r="AG132" s="587"/>
      <c r="AH132" s="587"/>
      <c r="AI132" s="587"/>
      <c r="AJ132" s="587"/>
      <c r="AK132" s="587"/>
      <c r="AL132" s="587"/>
      <c r="AM132"/>
      <c r="AN132"/>
      <c r="AO132"/>
      <c r="AP132"/>
      <c r="AQ132"/>
      <c r="AR132"/>
      <c r="AS132"/>
      <c r="AT132"/>
      <c r="AU132"/>
      <c r="AV132"/>
      <c r="AW132"/>
    </row>
    <row r="133" spans="14:49">
      <c r="N133"/>
      <c r="O133"/>
      <c r="P133"/>
      <c r="Q133"/>
      <c r="R133"/>
      <c r="S133" s="597"/>
      <c r="T133" s="596"/>
      <c r="U133" s="596"/>
      <c r="V133" s="596"/>
      <c r="W133" s="596"/>
      <c r="X133" s="596"/>
      <c r="Y133" s="589"/>
      <c r="Z133" s="589"/>
      <c r="AA133" s="589"/>
      <c r="AB133" s="589"/>
      <c r="AC133" s="589"/>
      <c r="AD133" s="589"/>
      <c r="AE133" s="589"/>
      <c r="AF133" s="589"/>
      <c r="AG133" s="587"/>
      <c r="AH133" s="587"/>
      <c r="AI133" s="587"/>
      <c r="AJ133" s="587"/>
      <c r="AK133" s="587"/>
      <c r="AL133" s="587"/>
      <c r="AM133"/>
      <c r="AN133"/>
      <c r="AO133"/>
      <c r="AP133"/>
      <c r="AQ133"/>
      <c r="AR133"/>
      <c r="AS133"/>
      <c r="AT133"/>
      <c r="AU133"/>
      <c r="AV133"/>
      <c r="AW133"/>
    </row>
    <row r="134" spans="14:49">
      <c r="N134"/>
      <c r="O134"/>
      <c r="P134"/>
      <c r="Q134"/>
      <c r="R134"/>
      <c r="S134" s="597"/>
      <c r="T134" s="596"/>
      <c r="U134" s="596"/>
      <c r="V134" s="596"/>
      <c r="W134" s="596"/>
      <c r="X134" s="596"/>
      <c r="Y134" s="589"/>
      <c r="Z134" s="589"/>
      <c r="AA134" s="589"/>
      <c r="AB134" s="589"/>
      <c r="AC134" s="589"/>
      <c r="AD134" s="589"/>
      <c r="AE134" s="589"/>
      <c r="AF134" s="589"/>
      <c r="AG134" s="587"/>
      <c r="AH134" s="587"/>
      <c r="AI134" s="587"/>
      <c r="AJ134" s="587"/>
      <c r="AK134" s="587"/>
      <c r="AL134" s="587"/>
      <c r="AM134"/>
      <c r="AN134"/>
      <c r="AO134"/>
      <c r="AP134"/>
      <c r="AQ134"/>
      <c r="AR134"/>
      <c r="AS134"/>
      <c r="AT134"/>
      <c r="AU134"/>
      <c r="AV134"/>
      <c r="AW134"/>
    </row>
    <row r="135" spans="14:49">
      <c r="N135"/>
      <c r="O135"/>
      <c r="P135"/>
      <c r="Q135"/>
      <c r="R135"/>
      <c r="S135" s="597"/>
      <c r="T135" s="596"/>
      <c r="U135" s="596"/>
      <c r="V135" s="596"/>
      <c r="W135" s="596"/>
      <c r="X135" s="596"/>
      <c r="Y135" s="589"/>
      <c r="Z135" s="589"/>
      <c r="AA135" s="589"/>
      <c r="AB135" s="589"/>
      <c r="AC135" s="589"/>
      <c r="AD135" s="589"/>
      <c r="AE135" s="589"/>
      <c r="AF135" s="589"/>
      <c r="AG135" s="587"/>
      <c r="AH135" s="587"/>
      <c r="AI135" s="587"/>
      <c r="AJ135" s="587"/>
      <c r="AK135" s="587"/>
      <c r="AL135" s="587"/>
      <c r="AM135"/>
      <c r="AN135"/>
      <c r="AO135"/>
      <c r="AP135"/>
      <c r="AQ135"/>
      <c r="AR135"/>
      <c r="AS135"/>
      <c r="AT135"/>
      <c r="AU135"/>
      <c r="AV135"/>
      <c r="AW135"/>
    </row>
    <row r="136" spans="14:49">
      <c r="N136"/>
      <c r="O136"/>
      <c r="P136"/>
      <c r="Q136"/>
      <c r="R136"/>
      <c r="S136" s="597"/>
      <c r="T136" s="596"/>
      <c r="U136" s="596"/>
      <c r="V136" s="596"/>
      <c r="W136" s="596"/>
      <c r="X136" s="596"/>
      <c r="Y136" s="595"/>
      <c r="Z136" s="595"/>
      <c r="AA136" s="587"/>
      <c r="AB136" s="587"/>
      <c r="AC136" s="587"/>
      <c r="AD136" s="593"/>
      <c r="AE136" s="589"/>
      <c r="AF136" s="589"/>
      <c r="AG136" s="593"/>
      <c r="AH136" s="589"/>
      <c r="AI136" s="589"/>
      <c r="AJ136" s="589"/>
      <c r="AK136" s="596"/>
      <c r="AL136" s="593"/>
      <c r="AM136" s="589"/>
      <c r="AN136" s="589"/>
      <c r="AO136" s="589"/>
      <c r="AP136" s="596"/>
      <c r="AQ136"/>
      <c r="AR136"/>
      <c r="AS136"/>
      <c r="AT136"/>
      <c r="AU136"/>
      <c r="AV136"/>
      <c r="AW136"/>
    </row>
    <row r="137" spans="14:49">
      <c r="N137"/>
      <c r="O137"/>
      <c r="P137"/>
      <c r="Q137"/>
      <c r="R137"/>
      <c r="S137" s="597"/>
      <c r="T137" s="596"/>
      <c r="U137" s="596"/>
      <c r="V137" s="596"/>
      <c r="W137" s="596"/>
      <c r="X137" s="596"/>
      <c r="Y137" s="595"/>
      <c r="Z137" s="595"/>
      <c r="AA137" s="587"/>
      <c r="AB137" s="587"/>
      <c r="AC137" s="587"/>
      <c r="AD137" s="593"/>
      <c r="AE137" s="589"/>
      <c r="AF137" s="589"/>
      <c r="AG137" s="593"/>
      <c r="AH137" s="589"/>
      <c r="AI137" s="589"/>
      <c r="AJ137" s="589"/>
      <c r="AK137" s="596"/>
      <c r="AL137" s="593"/>
      <c r="AM137" s="589"/>
      <c r="AN137" s="589"/>
      <c r="AO137" s="589"/>
      <c r="AP137" s="596"/>
      <c r="AQ137"/>
      <c r="AR137"/>
      <c r="AS137"/>
      <c r="AT137"/>
      <c r="AU137"/>
      <c r="AV137"/>
      <c r="AW137"/>
    </row>
    <row r="138" spans="14:49">
      <c r="N138"/>
      <c r="O138"/>
      <c r="P138"/>
      <c r="Q138"/>
      <c r="R138"/>
      <c r="S138" s="597"/>
      <c r="T138" s="596"/>
      <c r="U138" s="596"/>
      <c r="V138" s="596"/>
      <c r="W138" s="596"/>
      <c r="X138" s="596"/>
      <c r="Y138" s="595"/>
      <c r="Z138" s="595"/>
      <c r="AA138" s="587"/>
      <c r="AB138" s="587"/>
      <c r="AC138" s="587"/>
      <c r="AD138" s="593"/>
      <c r="AE138" s="589"/>
      <c r="AF138" s="589"/>
      <c r="AG138" s="593"/>
      <c r="AH138" s="589"/>
      <c r="AI138" s="589"/>
      <c r="AJ138" s="589"/>
      <c r="AK138" s="596"/>
      <c r="AL138" s="593"/>
      <c r="AM138" s="589"/>
      <c r="AN138" s="589"/>
      <c r="AO138" s="589"/>
      <c r="AP138" s="596"/>
      <c r="AQ138"/>
      <c r="AR138"/>
      <c r="AS138"/>
      <c r="AT138"/>
      <c r="AU138"/>
      <c r="AV138"/>
      <c r="AW138"/>
    </row>
    <row r="139" spans="14:49">
      <c r="N139"/>
      <c r="O139"/>
      <c r="P139"/>
      <c r="Q139"/>
      <c r="R139"/>
      <c r="S139" s="597"/>
      <c r="T139" s="596"/>
      <c r="U139" s="596"/>
      <c r="V139" s="596"/>
      <c r="W139" s="596"/>
      <c r="X139" s="596"/>
      <c r="Y139" s="595"/>
      <c r="Z139" s="595"/>
      <c r="AA139" s="587"/>
      <c r="AB139" s="587"/>
      <c r="AC139" s="587"/>
      <c r="AD139" s="593"/>
      <c r="AE139" s="589"/>
      <c r="AF139" s="589"/>
      <c r="AG139" s="593"/>
      <c r="AH139" s="589"/>
      <c r="AI139" s="589"/>
      <c r="AJ139" s="589"/>
      <c r="AK139" s="596"/>
      <c r="AL139" s="593"/>
      <c r="AM139" s="589"/>
      <c r="AN139" s="589"/>
      <c r="AO139" s="589"/>
      <c r="AP139" s="596"/>
      <c r="AQ139"/>
      <c r="AR139"/>
      <c r="AS139"/>
      <c r="AT139"/>
      <c r="AU139"/>
      <c r="AV139"/>
      <c r="AW139"/>
    </row>
    <row r="140" spans="14:49">
      <c r="N140"/>
      <c r="O140"/>
      <c r="P140"/>
      <c r="Q140"/>
      <c r="R140"/>
      <c r="S140" s="597"/>
      <c r="T140" s="596"/>
      <c r="U140" s="596"/>
      <c r="V140" s="596"/>
      <c r="W140" s="596"/>
      <c r="X140" s="596"/>
      <c r="Y140" s="595"/>
      <c r="Z140" s="595"/>
      <c r="AA140" s="587"/>
      <c r="AB140" s="587"/>
      <c r="AC140" s="587"/>
      <c r="AD140" s="593"/>
      <c r="AE140" s="589"/>
      <c r="AF140" s="589"/>
      <c r="AG140" s="593"/>
      <c r="AH140" s="589"/>
      <c r="AI140" s="589"/>
      <c r="AJ140" s="589"/>
      <c r="AK140" s="596"/>
      <c r="AL140" s="593"/>
      <c r="AM140" s="589"/>
      <c r="AN140" s="589"/>
      <c r="AO140" s="589"/>
      <c r="AP140" s="596"/>
      <c r="AQ140"/>
      <c r="AR140"/>
      <c r="AS140"/>
      <c r="AT140"/>
      <c r="AU140"/>
      <c r="AV140"/>
      <c r="AW140"/>
    </row>
    <row r="141" spans="14:49">
      <c r="N141"/>
      <c r="O141"/>
      <c r="P141"/>
      <c r="Q141"/>
      <c r="R141"/>
      <c r="S141" s="597"/>
      <c r="T141" s="596"/>
      <c r="U141" s="596"/>
      <c r="V141" s="596"/>
      <c r="W141" s="596"/>
      <c r="X141" s="596"/>
      <c r="Y141" s="595"/>
      <c r="Z141" s="595"/>
      <c r="AA141" s="587"/>
      <c r="AB141" s="587"/>
      <c r="AC141" s="587"/>
      <c r="AD141" s="593"/>
      <c r="AE141" s="589"/>
      <c r="AF141" s="589"/>
      <c r="AG141" s="593"/>
      <c r="AH141" s="589"/>
      <c r="AI141" s="589"/>
      <c r="AJ141" s="589"/>
      <c r="AK141" s="596"/>
      <c r="AL141" s="593"/>
      <c r="AM141" s="589"/>
      <c r="AN141" s="589"/>
      <c r="AO141" s="589"/>
      <c r="AP141" s="596"/>
      <c r="AQ141"/>
      <c r="AR141"/>
      <c r="AS141"/>
      <c r="AT141"/>
      <c r="AU141"/>
      <c r="AV141"/>
      <c r="AW141"/>
    </row>
    <row r="142" spans="14:49">
      <c r="N142"/>
      <c r="O142"/>
      <c r="P142"/>
      <c r="Q142"/>
      <c r="R142"/>
      <c r="S142" s="597"/>
      <c r="T142" s="596"/>
      <c r="U142" s="596"/>
      <c r="V142" s="596"/>
      <c r="W142" s="596"/>
      <c r="X142" s="596"/>
      <c r="Y142" s="595"/>
      <c r="Z142" s="595"/>
      <c r="AA142" s="587"/>
      <c r="AB142" s="587"/>
      <c r="AC142" s="587"/>
      <c r="AD142" s="593"/>
      <c r="AE142" s="589"/>
      <c r="AF142" s="589"/>
      <c r="AG142" s="593"/>
      <c r="AH142" s="589"/>
      <c r="AI142" s="589"/>
      <c r="AJ142" s="589"/>
      <c r="AK142" s="596"/>
      <c r="AL142" s="593"/>
      <c r="AM142" s="589"/>
      <c r="AN142" s="589"/>
      <c r="AO142" s="589"/>
      <c r="AP142" s="596"/>
      <c r="AQ142"/>
      <c r="AR142"/>
      <c r="AS142"/>
      <c r="AT142"/>
      <c r="AU142"/>
      <c r="AV142"/>
      <c r="AW142"/>
    </row>
    <row r="143" spans="14:49">
      <c r="N143"/>
      <c r="O143"/>
      <c r="P143"/>
      <c r="Q143"/>
      <c r="R143"/>
      <c r="S143" s="597"/>
      <c r="T143" s="596"/>
      <c r="U143" s="596"/>
      <c r="V143" s="596"/>
      <c r="W143" s="596"/>
      <c r="X143" s="596"/>
      <c r="Y143" s="594"/>
      <c r="Z143" s="594"/>
      <c r="AA143" s="587"/>
      <c r="AB143" s="587"/>
      <c r="AC143" s="587"/>
      <c r="AD143" s="593"/>
      <c r="AE143" s="589"/>
      <c r="AF143" s="589"/>
      <c r="AG143" s="593"/>
      <c r="AH143" s="589"/>
      <c r="AI143" s="589"/>
      <c r="AJ143" s="589"/>
      <c r="AK143" s="592"/>
      <c r="AL143" s="593"/>
      <c r="AM143" s="589"/>
      <c r="AN143" s="589"/>
      <c r="AO143" s="589"/>
      <c r="AP143" s="592"/>
      <c r="AQ143"/>
      <c r="AR143"/>
      <c r="AS143"/>
      <c r="AT143"/>
      <c r="AU143"/>
      <c r="AV143"/>
      <c r="AW143"/>
    </row>
    <row r="144" spans="14:49">
      <c r="N144"/>
      <c r="O144"/>
      <c r="P144"/>
      <c r="Q144"/>
      <c r="R144"/>
      <c r="S144" s="597"/>
      <c r="T144" s="596"/>
      <c r="U144" s="596"/>
      <c r="V144" s="596"/>
      <c r="W144" s="596"/>
      <c r="X144" s="596"/>
      <c r="Y144" s="595"/>
      <c r="Z144" s="594"/>
      <c r="AA144" s="587"/>
      <c r="AB144" s="587"/>
      <c r="AC144" s="587"/>
      <c r="AD144" s="593"/>
      <c r="AE144" s="589"/>
      <c r="AF144" s="589"/>
      <c r="AG144" s="593"/>
      <c r="AH144" s="589"/>
      <c r="AI144" s="589"/>
      <c r="AJ144" s="589"/>
      <c r="AK144" s="596"/>
      <c r="AL144" s="593"/>
      <c r="AM144" s="589"/>
      <c r="AN144" s="589"/>
      <c r="AO144" s="589"/>
      <c r="AP144" s="596"/>
      <c r="AQ144"/>
      <c r="AR144"/>
      <c r="AS144"/>
      <c r="AT144"/>
      <c r="AU144"/>
      <c r="AV144"/>
      <c r="AW144"/>
    </row>
    <row r="145" spans="14:49">
      <c r="N145"/>
      <c r="O145"/>
      <c r="P145"/>
      <c r="Q145"/>
      <c r="R145"/>
      <c r="S145" s="597"/>
      <c r="T145" s="596"/>
      <c r="U145" s="596"/>
      <c r="V145" s="596"/>
      <c r="W145" s="596"/>
      <c r="X145" s="596"/>
      <c r="Y145" s="595"/>
      <c r="Z145" s="594"/>
      <c r="AA145" s="587"/>
      <c r="AB145" s="587"/>
      <c r="AC145" s="587"/>
      <c r="AD145" s="593"/>
      <c r="AE145" s="589"/>
      <c r="AF145" s="589"/>
      <c r="AG145" s="593"/>
      <c r="AH145" s="589"/>
      <c r="AI145" s="589"/>
      <c r="AJ145" s="589"/>
      <c r="AK145" s="596"/>
      <c r="AL145" s="593"/>
      <c r="AM145" s="589"/>
      <c r="AN145" s="589"/>
      <c r="AO145" s="589"/>
      <c r="AP145" s="596"/>
      <c r="AQ145"/>
      <c r="AR145"/>
      <c r="AS145"/>
      <c r="AT145"/>
      <c r="AU145"/>
      <c r="AV145"/>
      <c r="AW145"/>
    </row>
    <row r="146" spans="14:49">
      <c r="N146"/>
      <c r="O146"/>
      <c r="P146"/>
      <c r="Q146"/>
      <c r="R146"/>
      <c r="S146" s="597"/>
      <c r="T146" s="596"/>
      <c r="U146" s="596"/>
      <c r="V146" s="596"/>
      <c r="W146" s="596"/>
      <c r="X146" s="596"/>
      <c r="Y146" s="595"/>
      <c r="Z146" s="594"/>
      <c r="AA146" s="587"/>
      <c r="AB146" s="587"/>
      <c r="AC146" s="587"/>
      <c r="AD146" s="593"/>
      <c r="AE146" s="589"/>
      <c r="AF146" s="589"/>
      <c r="AG146" s="593"/>
      <c r="AH146" s="589"/>
      <c r="AI146" s="589"/>
      <c r="AJ146" s="589"/>
      <c r="AK146" s="592"/>
      <c r="AL146" s="593"/>
      <c r="AM146" s="589"/>
      <c r="AN146" s="589"/>
      <c r="AO146" s="589"/>
      <c r="AP146" s="592"/>
      <c r="AQ146"/>
      <c r="AR146"/>
      <c r="AS146"/>
      <c r="AT146"/>
      <c r="AU146"/>
      <c r="AV146"/>
      <c r="AW146"/>
    </row>
    <row r="147" spans="14:49">
      <c r="N147"/>
      <c r="O147"/>
      <c r="P147"/>
      <c r="Q147"/>
      <c r="R147"/>
      <c r="S147"/>
      <c r="T147"/>
      <c r="U147"/>
      <c r="V147"/>
      <c r="W147"/>
      <c r="X147"/>
      <c r="Y147" s="587"/>
      <c r="Z147" s="587"/>
      <c r="AA147" s="587"/>
      <c r="AB147" s="587"/>
      <c r="AC147" s="587"/>
      <c r="AD147" s="587"/>
      <c r="AE147" s="587"/>
      <c r="AF147" s="587"/>
      <c r="AG147" s="587"/>
      <c r="AH147" s="587"/>
      <c r="AI147" s="587"/>
      <c r="AJ147" s="587"/>
      <c r="AK147" s="587"/>
      <c r="AL147" s="587"/>
      <c r="AM147"/>
      <c r="AN147"/>
      <c r="AO147"/>
      <c r="AP147"/>
      <c r="AQ147"/>
      <c r="AR147"/>
      <c r="AS147"/>
      <c r="AT147"/>
      <c r="AU147"/>
      <c r="AV147"/>
      <c r="AW147"/>
    </row>
    <row r="148" spans="14:49">
      <c r="N148"/>
      <c r="O148"/>
      <c r="P148"/>
      <c r="Q148"/>
      <c r="R148"/>
      <c r="S148"/>
      <c r="T148"/>
      <c r="U148"/>
      <c r="V148"/>
      <c r="W148"/>
      <c r="X148"/>
      <c r="Y148" s="587"/>
      <c r="Z148" s="587"/>
      <c r="AA148" s="587"/>
      <c r="AB148" s="587"/>
      <c r="AC148" s="587"/>
      <c r="AD148" s="587"/>
      <c r="AE148" s="587"/>
      <c r="AF148" s="587"/>
      <c r="AG148" s="587"/>
      <c r="AH148" s="587"/>
      <c r="AI148" s="590"/>
      <c r="AJ148" s="590"/>
      <c r="AK148" s="589"/>
      <c r="AL148" s="584"/>
      <c r="AM148" s="584"/>
      <c r="AN148" s="590"/>
      <c r="AO148" s="590"/>
      <c r="AP148" s="589"/>
      <c r="AQ148"/>
      <c r="AR148"/>
      <c r="AS148"/>
      <c r="AT148"/>
      <c r="AU148"/>
      <c r="AV148"/>
      <c r="AW148"/>
    </row>
    <row r="149" spans="14:49">
      <c r="N149"/>
      <c r="O149"/>
      <c r="P149"/>
      <c r="Q149"/>
      <c r="R149"/>
      <c r="S149"/>
      <c r="T149"/>
      <c r="U149"/>
      <c r="V149"/>
      <c r="W149"/>
      <c r="X149"/>
      <c r="Y149" s="587"/>
      <c r="Z149" s="587"/>
      <c r="AA149" s="587"/>
      <c r="AB149" s="587"/>
      <c r="AC149" s="587"/>
      <c r="AD149" s="587"/>
      <c r="AE149" s="587"/>
      <c r="AF149" s="587"/>
      <c r="AG149" s="591"/>
      <c r="AH149" s="587"/>
      <c r="AI149" s="590"/>
      <c r="AJ149" s="590"/>
      <c r="AK149" s="589"/>
      <c r="AL149" s="584"/>
      <c r="AM149" s="584"/>
      <c r="AN149" s="590"/>
      <c r="AO149" s="590"/>
      <c r="AP149" s="589"/>
      <c r="AQ149"/>
      <c r="AR149"/>
      <c r="AS149"/>
      <c r="AT149"/>
      <c r="AU149"/>
      <c r="AV149"/>
      <c r="AW149"/>
    </row>
    <row r="150" spans="14:49">
      <c r="N150"/>
      <c r="O150"/>
      <c r="P150"/>
      <c r="Q150"/>
      <c r="R150"/>
      <c r="S150"/>
      <c r="T150"/>
      <c r="U150"/>
      <c r="V150"/>
      <c r="W150"/>
      <c r="X150"/>
      <c r="Y150" s="587"/>
      <c r="Z150" s="587"/>
      <c r="AA150" s="587"/>
      <c r="AB150" s="587"/>
      <c r="AC150" s="587"/>
      <c r="AD150" s="587"/>
      <c r="AE150" s="587"/>
      <c r="AF150" s="587"/>
      <c r="AG150" s="587"/>
      <c r="AH150" s="587"/>
      <c r="AI150" s="586"/>
      <c r="AJ150" s="586"/>
      <c r="AK150" s="585"/>
      <c r="AL150" s="584"/>
      <c r="AM150" s="584"/>
      <c r="AN150" s="586"/>
      <c r="AO150" s="586"/>
      <c r="AP150" s="585"/>
      <c r="AQ150"/>
      <c r="AR150"/>
      <c r="AS150"/>
      <c r="AT150"/>
      <c r="AU150"/>
      <c r="AV150"/>
      <c r="AW150"/>
    </row>
    <row r="151" spans="14:49">
      <c r="N151"/>
      <c r="O151"/>
      <c r="P151"/>
      <c r="Q151"/>
      <c r="R151"/>
      <c r="S151"/>
      <c r="T151"/>
      <c r="U151"/>
      <c r="V151"/>
      <c r="W151"/>
      <c r="X151"/>
      <c r="Y151"/>
      <c r="Z151"/>
      <c r="AA151"/>
      <c r="AB151"/>
      <c r="AC151"/>
      <c r="AD151"/>
      <c r="AE151"/>
      <c r="AF151"/>
      <c r="AG151"/>
      <c r="AH151" s="587"/>
      <c r="AI151"/>
      <c r="AJ151"/>
      <c r="AK151" s="587"/>
      <c r="AL151" s="584"/>
      <c r="AM151" s="584"/>
      <c r="AN151" s="587"/>
      <c r="AO151" s="587"/>
      <c r="AP151"/>
      <c r="AQ151"/>
      <c r="AR151"/>
      <c r="AS151"/>
      <c r="AT151"/>
      <c r="AU151"/>
      <c r="AV151"/>
      <c r="AW151"/>
    </row>
    <row r="152" spans="14:49">
      <c r="N152"/>
      <c r="O152"/>
      <c r="P152"/>
      <c r="Q152"/>
      <c r="R152"/>
      <c r="S152"/>
      <c r="T152"/>
      <c r="U152"/>
      <c r="V152"/>
      <c r="W152"/>
      <c r="X152"/>
      <c r="Y152"/>
      <c r="Z152"/>
      <c r="AA152"/>
      <c r="AB152"/>
      <c r="AC152"/>
      <c r="AD152"/>
      <c r="AE152"/>
      <c r="AF152"/>
      <c r="AG152"/>
      <c r="AH152" s="587"/>
      <c r="AI152" s="590"/>
      <c r="AJ152" s="590"/>
      <c r="AK152" s="589"/>
      <c r="AM152" s="589"/>
      <c r="AN152" s="590"/>
      <c r="AO152" s="590"/>
      <c r="AP152" s="589"/>
      <c r="AQ152"/>
      <c r="AR152"/>
      <c r="AS152"/>
      <c r="AT152"/>
      <c r="AU152"/>
      <c r="AV152"/>
      <c r="AW152"/>
    </row>
    <row r="153" spans="14:49">
      <c r="N153"/>
      <c r="O153"/>
      <c r="P153"/>
      <c r="Q153"/>
      <c r="R153"/>
      <c r="S153"/>
      <c r="T153"/>
      <c r="U153"/>
      <c r="V153"/>
      <c r="W153"/>
      <c r="X153"/>
      <c r="Y153"/>
      <c r="Z153"/>
      <c r="AA153"/>
      <c r="AB153"/>
      <c r="AC153"/>
      <c r="AD153"/>
      <c r="AE153"/>
      <c r="AF153"/>
      <c r="AG153"/>
      <c r="AH153" s="587"/>
      <c r="AI153" s="586"/>
      <c r="AJ153" s="586"/>
      <c r="AK153" s="588"/>
      <c r="AL153" s="584"/>
      <c r="AM153" s="584"/>
      <c r="AN153" s="586"/>
      <c r="AO153" s="586"/>
      <c r="AP153" s="588"/>
      <c r="AQ153"/>
      <c r="AR153"/>
      <c r="AS153"/>
      <c r="AT153"/>
      <c r="AU153"/>
      <c r="AV153"/>
      <c r="AW153"/>
    </row>
    <row r="154" spans="14:49">
      <c r="N154"/>
      <c r="O154"/>
      <c r="P154"/>
      <c r="Q154"/>
      <c r="R154"/>
      <c r="S154"/>
      <c r="T154"/>
      <c r="U154" s="587"/>
      <c r="V154" s="587"/>
      <c r="W154" s="587"/>
      <c r="X154" s="587"/>
      <c r="Y154" s="587"/>
      <c r="Z154" s="587"/>
      <c r="AA154" s="587"/>
      <c r="AB154" s="587"/>
      <c r="AC154" s="587"/>
      <c r="AD154" s="587"/>
      <c r="AE154" s="587"/>
      <c r="AF154" s="587"/>
      <c r="AG154" s="587"/>
      <c r="AH154" s="587"/>
      <c r="AI154" s="586"/>
      <c r="AJ154" s="586"/>
      <c r="AK154" s="585"/>
      <c r="AM154"/>
      <c r="AN154" s="586"/>
      <c r="AO154" s="588"/>
      <c r="AP154" s="588"/>
      <c r="AQ154"/>
      <c r="AS154"/>
      <c r="AT154"/>
      <c r="AU154"/>
      <c r="AV154"/>
      <c r="AW154"/>
    </row>
    <row r="155" spans="14:49">
      <c r="N155"/>
      <c r="O155"/>
      <c r="P155"/>
      <c r="Q155"/>
      <c r="R155"/>
      <c r="S155"/>
      <c r="T155"/>
      <c r="U155" s="587"/>
      <c r="V155" s="587"/>
      <c r="W155" s="587"/>
      <c r="X155" s="587"/>
      <c r="Y155" s="587"/>
      <c r="Z155" s="587"/>
      <c r="AA155" s="587"/>
      <c r="AB155" s="587"/>
      <c r="AC155" s="587"/>
      <c r="AD155" s="587"/>
      <c r="AE155" s="587"/>
      <c r="AF155" s="587"/>
      <c r="AG155" s="587"/>
      <c r="AH155" s="586"/>
      <c r="AI155" s="586"/>
      <c r="AJ155" s="586"/>
      <c r="AK155" s="585"/>
      <c r="AM155"/>
      <c r="AN155" s="586"/>
      <c r="AO155" s="586"/>
      <c r="AP155" s="585"/>
      <c r="AQ155"/>
      <c r="AR155"/>
      <c r="AS155"/>
      <c r="AT155"/>
      <c r="AU155"/>
      <c r="AV155"/>
      <c r="AW155"/>
    </row>
    <row r="156" spans="14:49">
      <c r="AL156" s="584"/>
      <c r="AM156" s="584"/>
    </row>
  </sheetData>
  <mergeCells count="10">
    <mergeCell ref="C91:I92"/>
    <mergeCell ref="AA114:AE114"/>
    <mergeCell ref="AG114:AK114"/>
    <mergeCell ref="AL114:AP114"/>
    <mergeCell ref="D41:H41"/>
    <mergeCell ref="AA66:AE66"/>
    <mergeCell ref="AG66:AK66"/>
    <mergeCell ref="AL66:AP66"/>
    <mergeCell ref="C78:I79"/>
    <mergeCell ref="C84:I8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DEB9-962E-4191-B5B4-FE6819A4A549}">
  <dimension ref="A1:AW158"/>
  <sheetViews>
    <sheetView zoomScale="85" zoomScaleNormal="85" workbookViewId="0">
      <selection activeCell="O14" sqref="O14"/>
    </sheetView>
  </sheetViews>
  <sheetFormatPr defaultColWidth="8.88671875" defaultRowHeight="15.6"/>
  <cols>
    <col min="1" max="1" width="3.5546875" style="2" customWidth="1"/>
    <col min="2" max="2" width="11.109375" style="2" customWidth="1"/>
    <col min="3" max="3" width="27.6640625" style="2" customWidth="1"/>
    <col min="4" max="8" width="12.88671875" style="2" customWidth="1"/>
    <col min="9" max="9" width="8.88671875" style="2"/>
    <col min="10" max="10" width="2.5546875" style="2" customWidth="1"/>
    <col min="11" max="13" width="8.88671875" style="3"/>
    <col min="14" max="14" width="10.109375" style="3" bestFit="1" customWidth="1"/>
    <col min="15" max="15" width="24.5546875" style="3" customWidth="1"/>
    <col min="16" max="16" width="10.109375" style="3" bestFit="1" customWidth="1"/>
    <col min="17" max="17" width="10" style="3" customWidth="1"/>
    <col min="18" max="18" width="14.33203125" style="3" customWidth="1"/>
    <col min="19" max="19" width="17.33203125" style="3" bestFit="1" customWidth="1"/>
    <col min="20" max="20" width="9.109375" style="3" bestFit="1" customWidth="1"/>
    <col min="21" max="21" width="8.88671875" style="3"/>
    <col min="22" max="22" width="10.109375" style="3" bestFit="1" customWidth="1"/>
    <col min="23" max="23" width="8.88671875" style="3"/>
    <col min="24" max="24" width="10.109375" style="3" bestFit="1" customWidth="1"/>
    <col min="25" max="30" width="8.88671875" style="3"/>
    <col min="31" max="31" width="10" style="3" bestFit="1" customWidth="1"/>
    <col min="32" max="34" width="8.88671875" style="3"/>
    <col min="35" max="35" width="9.109375" style="3" bestFit="1" customWidth="1"/>
    <col min="36" max="36" width="8.88671875" style="3"/>
    <col min="37" max="37" width="10.109375" style="3" bestFit="1" customWidth="1"/>
    <col min="38" max="39" width="8.88671875" style="3"/>
    <col min="40" max="40" width="9.109375" style="3" bestFit="1" customWidth="1"/>
    <col min="41" max="41" width="8.88671875" style="3"/>
    <col min="42" max="42" width="10.109375" style="3" bestFit="1" customWidth="1"/>
    <col min="43" max="16384" width="8.88671875" style="3"/>
  </cols>
  <sheetData>
    <row r="1" spans="1:20">
      <c r="A1" s="1" t="s">
        <v>0</v>
      </c>
      <c r="B1" s="1"/>
      <c r="K1" s="3" t="str">
        <f>A1</f>
        <v>RETFRC Spring 2024</v>
      </c>
    </row>
    <row r="2" spans="1:20">
      <c r="A2" s="1" t="s">
        <v>880</v>
      </c>
      <c r="B2" s="1"/>
      <c r="K2" s="3" t="str">
        <f>A2</f>
        <v>Question 4</v>
      </c>
    </row>
    <row r="3" spans="1:20" ht="18.45" customHeight="1">
      <c r="A3" s="4"/>
    </row>
    <row r="4" spans="1:20" ht="18.45" customHeight="1">
      <c r="A4" s="1"/>
      <c r="K4" s="3" t="s">
        <v>2</v>
      </c>
    </row>
    <row r="5" spans="1:20">
      <c r="A5" s="1"/>
      <c r="B5" s="5" t="s">
        <v>879</v>
      </c>
      <c r="C5" s="2" t="s">
        <v>878</v>
      </c>
    </row>
    <row r="6" spans="1:20">
      <c r="C6" s="2" t="s">
        <v>877</v>
      </c>
      <c r="N6" s="614" t="s">
        <v>26</v>
      </c>
      <c r="O6" s="604" t="s">
        <v>936</v>
      </c>
      <c r="P6"/>
      <c r="Q6"/>
      <c r="R6"/>
      <c r="S6"/>
      <c r="T6"/>
    </row>
    <row r="7" spans="1:20">
      <c r="C7" s="32"/>
      <c r="N7"/>
      <c r="O7"/>
      <c r="P7"/>
      <c r="Q7"/>
      <c r="R7" s="618"/>
      <c r="S7" s="618"/>
      <c r="T7"/>
    </row>
    <row r="8" spans="1:20" ht="16.2">
      <c r="C8" s="2" t="s">
        <v>146</v>
      </c>
      <c r="N8"/>
      <c r="O8" s="654" t="s">
        <v>935</v>
      </c>
      <c r="P8" s="653">
        <f>((1+D52/2)^2-1)</f>
        <v>2.9210249999999993E-2</v>
      </c>
      <c r="Q8"/>
      <c r="R8" s="618"/>
      <c r="S8" s="618"/>
      <c r="T8"/>
    </row>
    <row r="9" spans="1:20" ht="16.2">
      <c r="C9" s="151"/>
      <c r="D9" s="151" t="s">
        <v>96</v>
      </c>
      <c r="E9" s="151" t="s">
        <v>66</v>
      </c>
      <c r="N9"/>
      <c r="O9" s="654" t="s">
        <v>934</v>
      </c>
      <c r="P9" s="653">
        <f>((1+E52/2)^2-1)</f>
        <v>3.0631040000000276E-2</v>
      </c>
      <c r="Q9" s="606"/>
      <c r="R9" s="618"/>
      <c r="S9" s="618"/>
      <c r="T9"/>
    </row>
    <row r="10" spans="1:20">
      <c r="C10" s="608" t="s">
        <v>327</v>
      </c>
      <c r="D10" s="628">
        <v>27030</v>
      </c>
      <c r="E10" s="628">
        <v>32509</v>
      </c>
      <c r="N10"/>
      <c r="O10"/>
      <c r="P10"/>
      <c r="Q10"/>
      <c r="R10" s="618"/>
      <c r="S10" s="618"/>
      <c r="T10"/>
    </row>
    <row r="11" spans="1:20">
      <c r="C11" s="608" t="s">
        <v>876</v>
      </c>
      <c r="D11" s="628">
        <v>45292</v>
      </c>
      <c r="E11" s="628">
        <v>45292</v>
      </c>
      <c r="N11"/>
      <c r="O11" s="654" t="s">
        <v>115</v>
      </c>
      <c r="P11" s="655">
        <f>((1+G52/2)^2-1)</f>
        <v>3.6120410000000103E-2</v>
      </c>
      <c r="Q11"/>
      <c r="R11" s="618"/>
      <c r="S11" s="618"/>
      <c r="T11" s="626"/>
    </row>
    <row r="12" spans="1:20">
      <c r="C12" s="608" t="s">
        <v>325</v>
      </c>
      <c r="D12" s="151">
        <v>5</v>
      </c>
      <c r="E12" s="151">
        <v>15</v>
      </c>
      <c r="N12"/>
      <c r="O12" s="654" t="s">
        <v>102</v>
      </c>
      <c r="P12" s="655">
        <f>((1+H52/2)^2-1)</f>
        <v>4.1318202500000067E-2</v>
      </c>
      <c r="Q12"/>
      <c r="R12" s="618"/>
      <c r="S12" s="618"/>
      <c r="T12" s="626"/>
    </row>
    <row r="13" spans="1:20">
      <c r="C13" s="608" t="s">
        <v>875</v>
      </c>
      <c r="D13" s="151">
        <v>6</v>
      </c>
      <c r="E13" s="151">
        <v>15</v>
      </c>
      <c r="N13"/>
      <c r="O13" s="654" t="s">
        <v>114</v>
      </c>
      <c r="P13" s="655">
        <f>((1+D57/2)^2-1)</f>
        <v>5.0112562500000069E-2</v>
      </c>
      <c r="Q13"/>
      <c r="R13" s="618"/>
      <c r="S13" s="618"/>
      <c r="T13" s="626"/>
    </row>
    <row r="14" spans="1:20" ht="31.2">
      <c r="C14" s="608" t="s">
        <v>874</v>
      </c>
      <c r="D14" s="620">
        <v>25000</v>
      </c>
      <c r="E14" s="620">
        <v>100000</v>
      </c>
      <c r="N14"/>
      <c r="O14" s="654" t="s">
        <v>101</v>
      </c>
      <c r="P14" s="655">
        <f>((1+E57/2)^2-1)</f>
        <v>5.1855360000000239E-2</v>
      </c>
      <c r="Q14"/>
      <c r="R14" s="618"/>
      <c r="S14" s="618"/>
      <c r="T14" s="626"/>
    </row>
    <row r="15" spans="1:20">
      <c r="N15"/>
      <c r="O15" s="654" t="s">
        <v>113</v>
      </c>
      <c r="P15" s="655">
        <f>((1+F57/2)^2-1)</f>
        <v>2.9413159999999827E-2</v>
      </c>
      <c r="Q15"/>
      <c r="R15" s="618"/>
      <c r="S15" s="618"/>
      <c r="T15" s="626"/>
    </row>
    <row r="16" spans="1:20">
      <c r="C16" s="627"/>
      <c r="D16" s="627" t="s">
        <v>96</v>
      </c>
      <c r="E16" s="627"/>
      <c r="F16" s="627" t="s">
        <v>66</v>
      </c>
      <c r="G16" s="627"/>
      <c r="H16" s="627"/>
      <c r="I16" s="627"/>
      <c r="N16"/>
      <c r="O16" s="654" t="s">
        <v>100</v>
      </c>
      <c r="P16" s="655">
        <f>((1+G57/2)^2-1)</f>
        <v>3.0732562499999894E-2</v>
      </c>
      <c r="Q16"/>
      <c r="R16" s="618"/>
      <c r="S16" s="618"/>
      <c r="T16" s="626"/>
    </row>
    <row r="17" spans="3:20">
      <c r="C17" s="627" t="s">
        <v>322</v>
      </c>
      <c r="D17" s="627" t="s">
        <v>320</v>
      </c>
      <c r="E17" s="627" t="s">
        <v>319</v>
      </c>
      <c r="F17" s="627" t="s">
        <v>320</v>
      </c>
      <c r="G17" s="627" t="s">
        <v>319</v>
      </c>
      <c r="H17" s="627" t="s">
        <v>321</v>
      </c>
      <c r="I17" s="627" t="s">
        <v>873</v>
      </c>
      <c r="N17"/>
      <c r="O17"/>
      <c r="P17"/>
      <c r="Q17"/>
      <c r="R17" s="618"/>
      <c r="S17" s="618"/>
      <c r="T17" s="626"/>
    </row>
    <row r="18" spans="3:20" ht="16.2">
      <c r="C18" s="151">
        <v>2009</v>
      </c>
      <c r="D18" s="151"/>
      <c r="E18" s="151"/>
      <c r="F18" s="151">
        <v>1</v>
      </c>
      <c r="G18" s="620">
        <v>75000</v>
      </c>
      <c r="H18" s="621">
        <v>2444.44</v>
      </c>
      <c r="I18" s="620">
        <v>46300</v>
      </c>
      <c r="N18"/>
      <c r="O18" s="656" t="s">
        <v>933</v>
      </c>
      <c r="P18" s="625">
        <f>P11-P15</f>
        <v>6.7072500000002755E-3</v>
      </c>
      <c r="Q18"/>
      <c r="R18" s="618"/>
      <c r="S18" s="618"/>
      <c r="T18" s="626"/>
    </row>
    <row r="19" spans="3:20" ht="16.2">
      <c r="C19" s="151">
        <v>2010</v>
      </c>
      <c r="D19" s="151"/>
      <c r="E19" s="151"/>
      <c r="F19" s="151">
        <v>1</v>
      </c>
      <c r="G19" s="620">
        <v>77500</v>
      </c>
      <c r="H19" s="621">
        <v>2494.44</v>
      </c>
      <c r="I19" s="620">
        <v>47200</v>
      </c>
      <c r="N19"/>
      <c r="O19" s="656" t="s">
        <v>932</v>
      </c>
      <c r="P19" s="625">
        <f>P13-P15</f>
        <v>2.0699402500000241E-2</v>
      </c>
      <c r="Q19"/>
      <c r="R19" s="618"/>
      <c r="S19" s="618"/>
      <c r="T19" s="626"/>
    </row>
    <row r="20" spans="3:20" ht="16.2">
      <c r="C20" s="151">
        <v>2011</v>
      </c>
      <c r="D20" s="151"/>
      <c r="E20" s="151"/>
      <c r="F20" s="151">
        <v>1</v>
      </c>
      <c r="G20" s="620">
        <v>80000</v>
      </c>
      <c r="H20" s="621">
        <v>2552.2199999999998</v>
      </c>
      <c r="I20" s="620">
        <v>48300</v>
      </c>
      <c r="N20"/>
      <c r="O20" s="656" t="s">
        <v>931</v>
      </c>
      <c r="P20" s="625">
        <f>P12-P16</f>
        <v>1.0585640000000174E-2</v>
      </c>
      <c r="Q20"/>
      <c r="R20" s="618"/>
      <c r="S20" s="618"/>
      <c r="T20"/>
    </row>
    <row r="21" spans="3:20" ht="16.2">
      <c r="C21" s="151">
        <v>2012</v>
      </c>
      <c r="D21" s="151"/>
      <c r="E21" s="151"/>
      <c r="F21" s="151">
        <v>1</v>
      </c>
      <c r="G21" s="620">
        <v>82400</v>
      </c>
      <c r="H21" s="621">
        <v>2646.67</v>
      </c>
      <c r="I21" s="620">
        <v>50100</v>
      </c>
      <c r="N21"/>
      <c r="O21" s="656" t="s">
        <v>930</v>
      </c>
      <c r="P21" s="625">
        <f>P14-P16</f>
        <v>2.1122797500000345E-2</v>
      </c>
      <c r="Q21"/>
      <c r="R21" s="618"/>
      <c r="S21" s="618"/>
      <c r="T21"/>
    </row>
    <row r="22" spans="3:20" ht="16.2">
      <c r="C22" s="151">
        <v>2013</v>
      </c>
      <c r="D22" s="151"/>
      <c r="E22" s="151"/>
      <c r="F22" s="151">
        <v>1</v>
      </c>
      <c r="G22" s="620">
        <v>83000</v>
      </c>
      <c r="H22" s="621">
        <v>2696.67</v>
      </c>
      <c r="I22" s="620">
        <v>51100</v>
      </c>
      <c r="N22"/>
      <c r="O22" s="656" t="s">
        <v>929</v>
      </c>
      <c r="P22" s="655">
        <f>MIN(1.5%,0.667*P18+0.333*P19)</f>
        <v>1.1366636782500265E-2</v>
      </c>
      <c r="Q22"/>
      <c r="R22" s="618"/>
      <c r="S22" s="618"/>
      <c r="T22"/>
    </row>
    <row r="23" spans="3:20" ht="16.2">
      <c r="C23" s="151">
        <v>2014</v>
      </c>
      <c r="D23" s="151"/>
      <c r="E23" s="151"/>
      <c r="F23" s="151">
        <v>1</v>
      </c>
      <c r="G23" s="620">
        <v>85200</v>
      </c>
      <c r="H23" s="621">
        <v>2770</v>
      </c>
      <c r="I23" s="620">
        <v>52500</v>
      </c>
      <c r="N23"/>
      <c r="O23" s="656" t="s">
        <v>928</v>
      </c>
      <c r="P23" s="655">
        <f>MIN(1.5%,0.667*P20+0.333*P21)</f>
        <v>1.4094513447500231E-2</v>
      </c>
      <c r="Q23"/>
      <c r="R23" s="618"/>
      <c r="S23" s="618"/>
      <c r="T23"/>
    </row>
    <row r="24" spans="3:20">
      <c r="C24" s="151">
        <v>2015</v>
      </c>
      <c r="D24" s="151"/>
      <c r="E24" s="151"/>
      <c r="F24" s="151">
        <v>1</v>
      </c>
      <c r="G24" s="620">
        <v>85700</v>
      </c>
      <c r="H24" s="621">
        <v>2818.89</v>
      </c>
      <c r="I24" s="620">
        <v>53600</v>
      </c>
      <c r="N24"/>
      <c r="O24"/>
      <c r="P24"/>
      <c r="Q24"/>
      <c r="R24" s="618"/>
      <c r="S24" s="618"/>
      <c r="T24"/>
    </row>
    <row r="25" spans="3:20" ht="16.2">
      <c r="C25" s="151">
        <v>2016</v>
      </c>
      <c r="D25" s="151"/>
      <c r="E25" s="151"/>
      <c r="F25" s="151">
        <v>1</v>
      </c>
      <c r="G25" s="620">
        <v>85900</v>
      </c>
      <c r="H25" s="621">
        <v>2890</v>
      </c>
      <c r="I25" s="620">
        <v>54900</v>
      </c>
      <c r="N25"/>
      <c r="O25" s="652" t="s">
        <v>927</v>
      </c>
      <c r="P25" s="623">
        <f>ROUND(P8+P22,3)</f>
        <v>4.1000000000000002E-2</v>
      </c>
      <c r="Q25"/>
      <c r="R25" s="618"/>
      <c r="S25" s="618"/>
      <c r="T25"/>
    </row>
    <row r="26" spans="3:20" ht="16.2">
      <c r="C26" s="151">
        <v>2017</v>
      </c>
      <c r="D26" s="151"/>
      <c r="E26" s="151"/>
      <c r="F26" s="151">
        <v>1</v>
      </c>
      <c r="G26" s="620">
        <v>86400</v>
      </c>
      <c r="H26" s="621">
        <v>2914.44</v>
      </c>
      <c r="I26" s="620">
        <v>55300</v>
      </c>
      <c r="N26"/>
      <c r="O26" s="652" t="s">
        <v>926</v>
      </c>
      <c r="P26" s="623">
        <f>ROUND(P9+0.5*(P9-P8)+P23,3)</f>
        <v>4.4999999999999998E-2</v>
      </c>
      <c r="Q26"/>
      <c r="R26" s="618"/>
      <c r="S26" s="618"/>
      <c r="T26"/>
    </row>
    <row r="27" spans="3:20">
      <c r="C27" s="151">
        <v>2018</v>
      </c>
      <c r="D27" s="151"/>
      <c r="E27" s="151"/>
      <c r="F27" s="151">
        <v>1</v>
      </c>
      <c r="G27" s="620">
        <v>84800</v>
      </c>
      <c r="H27" s="621">
        <v>2944.44</v>
      </c>
      <c r="I27" s="620">
        <v>55900</v>
      </c>
      <c r="N27"/>
      <c r="O27"/>
      <c r="P27"/>
      <c r="Q27"/>
      <c r="R27" s="618"/>
      <c r="S27" s="618"/>
      <c r="T27"/>
    </row>
    <row r="28" spans="3:20">
      <c r="C28" s="151">
        <v>2019</v>
      </c>
      <c r="D28" s="151">
        <v>1</v>
      </c>
      <c r="E28" s="620">
        <v>210000</v>
      </c>
      <c r="F28" s="151">
        <v>1</v>
      </c>
      <c r="G28" s="620">
        <v>84800</v>
      </c>
      <c r="H28" s="621">
        <v>3025.56</v>
      </c>
      <c r="I28" s="620">
        <v>57400</v>
      </c>
      <c r="N28" s="614" t="s">
        <v>34</v>
      </c>
      <c r="O28"/>
      <c r="P28"/>
      <c r="Q28"/>
      <c r="R28" s="618"/>
      <c r="S28" s="618"/>
      <c r="T28"/>
    </row>
    <row r="29" spans="3:20">
      <c r="C29" s="151">
        <v>2020</v>
      </c>
      <c r="D29" s="151">
        <v>1</v>
      </c>
      <c r="E29" s="620">
        <v>215000</v>
      </c>
      <c r="F29" s="151">
        <v>1</v>
      </c>
      <c r="G29" s="620">
        <v>85100</v>
      </c>
      <c r="H29" s="621">
        <v>3092.22</v>
      </c>
      <c r="I29" s="620">
        <v>58700</v>
      </c>
      <c r="N29"/>
      <c r="O29" s="654" t="s">
        <v>925</v>
      </c>
      <c r="P29" s="653">
        <f>((1+F52/2)^2-1)</f>
        <v>1.3444889999999932E-2</v>
      </c>
      <c r="Q29"/>
      <c r="R29" s="618"/>
      <c r="S29" s="618"/>
      <c r="T29"/>
    </row>
    <row r="30" spans="3:20">
      <c r="C30" s="151">
        <v>2021</v>
      </c>
      <c r="D30" s="151">
        <v>1</v>
      </c>
      <c r="E30" s="620">
        <v>245000</v>
      </c>
      <c r="F30" s="151">
        <v>1</v>
      </c>
      <c r="G30" s="620">
        <v>85400</v>
      </c>
      <c r="H30" s="621">
        <v>3245.56</v>
      </c>
      <c r="I30" s="620">
        <v>61600</v>
      </c>
      <c r="N30"/>
      <c r="O30" s="654" t="s">
        <v>924</v>
      </c>
      <c r="P30" s="653">
        <f>((1+P29)*(1+P8)/(1+P9)-1)</f>
        <v>1.2047792193530471E-2</v>
      </c>
      <c r="Q30"/>
      <c r="R30" s="618"/>
      <c r="S30" s="618"/>
      <c r="T30"/>
    </row>
    <row r="31" spans="3:20">
      <c r="C31" s="151">
        <v>2022</v>
      </c>
      <c r="D31" s="151">
        <v>1</v>
      </c>
      <c r="E31" s="620">
        <v>255500</v>
      </c>
      <c r="F31" s="151">
        <v>1</v>
      </c>
      <c r="G31" s="620">
        <v>86000</v>
      </c>
      <c r="H31" s="621">
        <v>3420</v>
      </c>
      <c r="I31" s="620">
        <v>64900</v>
      </c>
      <c r="N31"/>
      <c r="O31"/>
      <c r="P31"/>
      <c r="Q31"/>
      <c r="R31" s="618"/>
      <c r="S31" s="618"/>
      <c r="T31"/>
    </row>
    <row r="32" spans="3:20" ht="16.2">
      <c r="C32" s="151">
        <v>2023</v>
      </c>
      <c r="D32" s="151">
        <v>1</v>
      </c>
      <c r="E32" s="620">
        <v>230000</v>
      </c>
      <c r="F32" s="151">
        <v>1</v>
      </c>
      <c r="G32" s="620">
        <v>86500</v>
      </c>
      <c r="H32" s="621">
        <v>3506.67</v>
      </c>
      <c r="I32" s="620">
        <v>66600</v>
      </c>
      <c r="N32"/>
      <c r="O32" s="652" t="s">
        <v>923</v>
      </c>
      <c r="P32" s="651">
        <f>ROUND((1+P8)/(1+P30)-1,3)</f>
        <v>1.7000000000000001E-2</v>
      </c>
      <c r="Q32"/>
      <c r="R32" s="618"/>
      <c r="S32" s="618"/>
      <c r="T32"/>
    </row>
    <row r="33" spans="3:49" ht="16.2">
      <c r="N33"/>
      <c r="O33" s="652" t="s">
        <v>922</v>
      </c>
      <c r="P33" s="651">
        <f>ROUND((1+P9+0.5*(P9-P8))/(1+P29+0.5*(P29-P30))-1,3)</f>
        <v>1.7000000000000001E-2</v>
      </c>
      <c r="Q33"/>
      <c r="R33" s="618"/>
      <c r="S33" s="618"/>
      <c r="T33"/>
    </row>
    <row r="34" spans="3:49" ht="16.2">
      <c r="N34"/>
      <c r="O34" s="650" t="s">
        <v>921</v>
      </c>
      <c r="P34" s="649">
        <f>ROUND((1+P25)/(1+P32)-1,3)</f>
        <v>2.4E-2</v>
      </c>
      <c r="Q34"/>
      <c r="R34" s="618"/>
      <c r="S34" s="618"/>
      <c r="T34"/>
    </row>
    <row r="35" spans="3:49" ht="16.2">
      <c r="C35" s="2" t="s">
        <v>872</v>
      </c>
      <c r="N35"/>
      <c r="O35" s="650" t="s">
        <v>920</v>
      </c>
      <c r="P35" s="649">
        <f>ROUND((1+P26)/(1+P33)-1,3)</f>
        <v>2.8000000000000001E-2</v>
      </c>
      <c r="Q35"/>
      <c r="R35"/>
      <c r="S35"/>
      <c r="T35"/>
    </row>
    <row r="36" spans="3:49">
      <c r="C36" s="151" t="s">
        <v>871</v>
      </c>
      <c r="D36" s="150" t="s">
        <v>127</v>
      </c>
      <c r="E36" s="149"/>
      <c r="F36" s="149"/>
      <c r="G36" s="149"/>
      <c r="H36" s="148"/>
      <c r="N36"/>
      <c r="O36"/>
      <c r="P36" s="649"/>
      <c r="Q36"/>
      <c r="R36"/>
      <c r="S36"/>
      <c r="T36"/>
    </row>
    <row r="37" spans="3:49">
      <c r="C37" s="154" t="s">
        <v>870</v>
      </c>
      <c r="D37" s="55" t="s">
        <v>869</v>
      </c>
      <c r="E37" s="56"/>
      <c r="F37" s="56"/>
      <c r="G37" s="56"/>
      <c r="H37" s="57"/>
      <c r="N37"/>
      <c r="O37" s="648"/>
      <c r="P37" s="647" t="s">
        <v>105</v>
      </c>
      <c r="Q37" s="646" t="s">
        <v>104</v>
      </c>
      <c r="R37"/>
      <c r="S37"/>
      <c r="T37"/>
    </row>
    <row r="38" spans="3:49">
      <c r="C38" s="153"/>
      <c r="D38" s="152" t="s">
        <v>868</v>
      </c>
      <c r="E38" s="59"/>
      <c r="F38" s="59"/>
      <c r="G38" s="59"/>
      <c r="H38" s="60"/>
      <c r="N38"/>
      <c r="O38" s="645" t="s">
        <v>919</v>
      </c>
      <c r="P38" s="616">
        <f>P25</f>
        <v>4.1000000000000002E-2</v>
      </c>
      <c r="Q38" s="644">
        <f>P26</f>
        <v>4.4999999999999998E-2</v>
      </c>
      <c r="R38"/>
      <c r="S38"/>
      <c r="T38"/>
    </row>
    <row r="39" spans="3:49">
      <c r="C39" s="151" t="s">
        <v>867</v>
      </c>
      <c r="D39" s="150" t="s">
        <v>135</v>
      </c>
      <c r="E39" s="149"/>
      <c r="F39" s="149"/>
      <c r="G39" s="149"/>
      <c r="H39" s="148"/>
      <c r="N39"/>
      <c r="O39" s="645" t="s">
        <v>918</v>
      </c>
      <c r="P39" s="616">
        <f>P34</f>
        <v>2.4E-2</v>
      </c>
      <c r="Q39" s="644">
        <f>P35</f>
        <v>2.8000000000000001E-2</v>
      </c>
      <c r="R39"/>
      <c r="S39"/>
      <c r="T39"/>
    </row>
    <row r="40" spans="3:49">
      <c r="C40" s="154" t="s">
        <v>866</v>
      </c>
      <c r="D40" s="55" t="s">
        <v>865</v>
      </c>
      <c r="E40" s="56"/>
      <c r="F40" s="56"/>
      <c r="G40" s="56"/>
      <c r="H40" s="57"/>
      <c r="N40"/>
      <c r="O40" s="643" t="s">
        <v>917</v>
      </c>
      <c r="P40" s="642">
        <f>ROUND((1+P38)/(1+P39)-1,3)</f>
        <v>1.7000000000000001E-2</v>
      </c>
      <c r="Q40" s="641">
        <f>ROUND((1+Q38)/(1+Q39)-1,3)</f>
        <v>1.7000000000000001E-2</v>
      </c>
      <c r="R40"/>
      <c r="S40"/>
      <c r="T40"/>
    </row>
    <row r="41" spans="3:49" ht="31.5" customHeight="1">
      <c r="C41" s="153"/>
      <c r="D41" s="1831" t="s">
        <v>864</v>
      </c>
      <c r="E41" s="1832"/>
      <c r="F41" s="1832"/>
      <c r="G41" s="1832"/>
      <c r="H41" s="1833"/>
    </row>
    <row r="42" spans="3:49">
      <c r="C42" s="154" t="s">
        <v>863</v>
      </c>
      <c r="D42" s="55" t="s">
        <v>862</v>
      </c>
      <c r="E42" s="56"/>
      <c r="F42" s="56"/>
      <c r="G42" s="56"/>
      <c r="H42" s="57"/>
      <c r="N42" s="614" t="s">
        <v>38</v>
      </c>
      <c r="O42" s="639" t="s">
        <v>96</v>
      </c>
      <c r="P42" s="638"/>
      <c r="Q42" s="636"/>
      <c r="R42" s="636"/>
      <c r="S42" s="636"/>
      <c r="T42" s="636"/>
      <c r="U42" s="637"/>
      <c r="V42" s="637"/>
      <c r="W42" s="637"/>
      <c r="X42" s="637"/>
      <c r="Y42" s="637"/>
      <c r="Z42" s="637"/>
      <c r="AA42" s="637"/>
      <c r="AB42" s="637"/>
      <c r="AC42" s="637"/>
      <c r="AD42" s="637"/>
      <c r="AE42" s="637"/>
      <c r="AF42" s="637"/>
      <c r="AG42" s="637"/>
      <c r="AH42" s="637"/>
      <c r="AI42" s="637"/>
      <c r="AJ42" s="637"/>
      <c r="AK42" s="637"/>
      <c r="AL42" s="636"/>
      <c r="AM42" s="636"/>
      <c r="AN42" s="636"/>
      <c r="AO42" s="636"/>
      <c r="AP42" s="636"/>
      <c r="AQ42"/>
      <c r="AR42"/>
      <c r="AS42"/>
      <c r="AT42"/>
      <c r="AU42"/>
      <c r="AV42"/>
      <c r="AW42"/>
    </row>
    <row r="43" spans="3:49">
      <c r="C43" s="151" t="s">
        <v>861</v>
      </c>
      <c r="D43" s="150" t="s">
        <v>253</v>
      </c>
      <c r="E43" s="149"/>
      <c r="F43" s="149"/>
      <c r="G43" s="149"/>
      <c r="H43" s="148"/>
      <c r="N43"/>
      <c r="O43" t="s">
        <v>916</v>
      </c>
      <c r="P43"/>
      <c r="Q43"/>
      <c r="R43"/>
      <c r="S43"/>
      <c r="T43"/>
      <c r="U43" s="587"/>
      <c r="V43" s="587"/>
      <c r="W43" s="587"/>
      <c r="X43" s="587"/>
      <c r="Y43" s="587"/>
      <c r="Z43" s="587"/>
      <c r="AA43" s="587"/>
      <c r="AB43" s="587"/>
      <c r="AC43" s="587"/>
      <c r="AD43" s="587"/>
      <c r="AE43" s="587"/>
      <c r="AF43" s="587"/>
      <c r="AG43" s="587"/>
      <c r="AH43" s="587"/>
      <c r="AI43" s="587"/>
      <c r="AJ43" s="587"/>
      <c r="AK43" s="587"/>
      <c r="AL43"/>
      <c r="AM43"/>
      <c r="AN43"/>
      <c r="AO43"/>
      <c r="AP43"/>
      <c r="AQ43"/>
      <c r="AR43"/>
      <c r="AS43"/>
      <c r="AT43"/>
      <c r="AU43"/>
      <c r="AV43"/>
      <c r="AW43"/>
    </row>
    <row r="44" spans="3:49">
      <c r="C44" s="151" t="s">
        <v>311</v>
      </c>
      <c r="D44" s="150" t="s">
        <v>860</v>
      </c>
      <c r="E44" s="149"/>
      <c r="F44" s="149"/>
      <c r="G44" s="149"/>
      <c r="H44" s="148"/>
      <c r="N44"/>
      <c r="O44"/>
      <c r="P44"/>
      <c r="Q44"/>
      <c r="R44"/>
      <c r="S44" s="600"/>
      <c r="T44"/>
      <c r="U44" s="587"/>
      <c r="V44" s="587"/>
      <c r="W44" s="587"/>
      <c r="X44" s="587"/>
      <c r="Y44" s="587"/>
      <c r="Z44" s="587"/>
      <c r="AA44" s="587"/>
      <c r="AB44" s="587"/>
      <c r="AC44" s="587"/>
      <c r="AD44" s="587"/>
      <c r="AE44" s="587"/>
      <c r="AF44" s="587"/>
      <c r="AG44" s="587"/>
      <c r="AH44" s="587"/>
      <c r="AI44" s="587"/>
      <c r="AJ44" s="587"/>
      <c r="AK44" s="587"/>
      <c r="AL44"/>
      <c r="AM44"/>
      <c r="AN44"/>
      <c r="AO44"/>
      <c r="AP44"/>
      <c r="AQ44"/>
      <c r="AR44"/>
      <c r="AS44"/>
      <c r="AT44"/>
      <c r="AU44"/>
      <c r="AV44"/>
      <c r="AW44"/>
    </row>
    <row r="45" spans="3:49">
      <c r="C45" s="151" t="s">
        <v>859</v>
      </c>
      <c r="D45" s="150" t="s">
        <v>308</v>
      </c>
      <c r="E45" s="149"/>
      <c r="F45" s="149"/>
      <c r="G45" s="149"/>
      <c r="H45" s="148"/>
      <c r="N45"/>
      <c r="O45"/>
      <c r="P45" s="586" t="s">
        <v>322</v>
      </c>
      <c r="Q45" s="601" t="s">
        <v>252</v>
      </c>
      <c r="R45" s="601" t="s">
        <v>320</v>
      </c>
      <c r="S45" s="601" t="s">
        <v>319</v>
      </c>
      <c r="T45" s="601" t="s">
        <v>912</v>
      </c>
      <c r="U45" s="601" t="s">
        <v>911</v>
      </c>
      <c r="V45" s="601" t="s">
        <v>873</v>
      </c>
      <c r="W45" s="587"/>
      <c r="X45" s="587"/>
      <c r="Y45" s="587"/>
      <c r="Z45" s="587"/>
      <c r="AA45" s="587"/>
      <c r="AB45" s="587"/>
      <c r="AC45" s="587"/>
      <c r="AD45" s="587"/>
      <c r="AE45" s="587"/>
      <c r="AF45" s="587"/>
      <c r="AG45" s="587"/>
      <c r="AH45" s="587"/>
      <c r="AI45" s="587"/>
      <c r="AJ45" s="587"/>
      <c r="AK45" s="587"/>
      <c r="AL45"/>
      <c r="AM45"/>
      <c r="AN45"/>
      <c r="AO45"/>
      <c r="AP45"/>
      <c r="AQ45"/>
      <c r="AR45"/>
      <c r="AS45"/>
      <c r="AT45"/>
      <c r="AU45"/>
      <c r="AV45"/>
      <c r="AW45"/>
    </row>
    <row r="46" spans="3:49">
      <c r="N46"/>
      <c r="O46"/>
      <c r="P46">
        <f t="shared" ref="P46:P59" si="0">P47-1</f>
        <v>2009</v>
      </c>
      <c r="R46" s="587"/>
      <c r="S46" s="600"/>
      <c r="T46"/>
      <c r="U46" s="589">
        <f t="shared" ref="U46:U60" si="1">H18</f>
        <v>2444.44</v>
      </c>
      <c r="V46" s="589">
        <f t="shared" ref="V46:V60" si="2">I18</f>
        <v>46300</v>
      </c>
      <c r="W46" s="587"/>
      <c r="X46" s="587"/>
      <c r="Y46" s="587"/>
      <c r="Z46" s="587"/>
      <c r="AA46" s="587"/>
      <c r="AB46" s="587"/>
      <c r="AC46" s="587"/>
      <c r="AD46" s="587"/>
      <c r="AE46" s="587"/>
      <c r="AF46" s="587"/>
      <c r="AG46" s="587"/>
      <c r="AH46" s="587"/>
      <c r="AI46" s="587"/>
      <c r="AJ46" s="587"/>
      <c r="AK46" s="587"/>
      <c r="AL46"/>
      <c r="AM46"/>
      <c r="AN46"/>
      <c r="AO46"/>
      <c r="AP46"/>
      <c r="AQ46"/>
      <c r="AR46"/>
      <c r="AS46"/>
      <c r="AT46"/>
      <c r="AU46"/>
      <c r="AV46"/>
      <c r="AW46"/>
    </row>
    <row r="47" spans="3:49">
      <c r="C47" s="2" t="s">
        <v>126</v>
      </c>
      <c r="N47"/>
      <c r="O47"/>
      <c r="P47">
        <f t="shared" si="0"/>
        <v>2010</v>
      </c>
      <c r="R47" s="587"/>
      <c r="S47" s="600"/>
      <c r="T47"/>
      <c r="U47" s="589">
        <f t="shared" si="1"/>
        <v>2494.44</v>
      </c>
      <c r="V47" s="589">
        <f t="shared" si="2"/>
        <v>47200</v>
      </c>
      <c r="W47" s="587"/>
      <c r="X47" s="587"/>
      <c r="Y47" s="587"/>
      <c r="Z47" s="587"/>
      <c r="AA47" s="587"/>
      <c r="AB47" s="587"/>
      <c r="AC47" s="587"/>
      <c r="AD47" s="587"/>
      <c r="AE47" s="587"/>
      <c r="AF47" s="587"/>
      <c r="AG47" s="587"/>
      <c r="AH47" s="587"/>
      <c r="AI47" s="587"/>
      <c r="AJ47" s="587"/>
      <c r="AK47" s="587"/>
      <c r="AL47"/>
      <c r="AM47"/>
      <c r="AN47"/>
      <c r="AO47"/>
      <c r="AP47"/>
      <c r="AQ47"/>
      <c r="AR47"/>
      <c r="AS47"/>
      <c r="AT47"/>
      <c r="AU47"/>
      <c r="AV47"/>
      <c r="AW47"/>
    </row>
    <row r="48" spans="3:49">
      <c r="N48"/>
      <c r="O48"/>
      <c r="P48">
        <f t="shared" si="0"/>
        <v>2011</v>
      </c>
      <c r="R48" s="587"/>
      <c r="S48" s="600"/>
      <c r="T48"/>
      <c r="U48" s="589">
        <f t="shared" si="1"/>
        <v>2552.2199999999998</v>
      </c>
      <c r="V48" s="589">
        <f t="shared" si="2"/>
        <v>48300</v>
      </c>
      <c r="W48" s="587"/>
      <c r="X48" s="587"/>
      <c r="Y48" s="587"/>
      <c r="Z48" s="587"/>
      <c r="AA48" s="587"/>
      <c r="AB48" s="587"/>
      <c r="AC48" s="587"/>
      <c r="AD48" s="587"/>
      <c r="AE48" s="587"/>
      <c r="AF48" s="587"/>
      <c r="AG48" s="587"/>
      <c r="AH48" s="587"/>
      <c r="AI48" s="587"/>
      <c r="AJ48" s="587"/>
      <c r="AK48" s="587"/>
      <c r="AL48"/>
      <c r="AM48"/>
      <c r="AN48"/>
      <c r="AO48"/>
      <c r="AP48"/>
      <c r="AQ48"/>
      <c r="AR48"/>
      <c r="AS48"/>
      <c r="AT48"/>
      <c r="AU48"/>
      <c r="AV48"/>
      <c r="AW48"/>
    </row>
    <row r="49" spans="1:49" ht="46.8">
      <c r="A49" s="129"/>
      <c r="B49" s="129"/>
      <c r="C49" s="613" t="s">
        <v>103</v>
      </c>
      <c r="D49" s="612" t="s">
        <v>307</v>
      </c>
      <c r="E49" s="612" t="s">
        <v>858</v>
      </c>
      <c r="F49" s="612" t="s">
        <v>857</v>
      </c>
      <c r="G49" s="612" t="s">
        <v>115</v>
      </c>
      <c r="H49" s="612" t="s">
        <v>102</v>
      </c>
      <c r="I49" s="129"/>
      <c r="J49" s="129"/>
      <c r="N49"/>
      <c r="O49"/>
      <c r="P49">
        <f t="shared" si="0"/>
        <v>2012</v>
      </c>
      <c r="R49" s="587"/>
      <c r="S49" s="600"/>
      <c r="T49"/>
      <c r="U49" s="589">
        <f t="shared" si="1"/>
        <v>2646.67</v>
      </c>
      <c r="V49" s="589">
        <f t="shared" si="2"/>
        <v>50100</v>
      </c>
      <c r="W49" s="587"/>
      <c r="X49" s="587"/>
      <c r="Y49" s="587"/>
      <c r="Z49" s="587"/>
      <c r="AA49" s="587"/>
      <c r="AB49" s="587"/>
      <c r="AC49" s="587"/>
      <c r="AD49" s="587"/>
      <c r="AE49" s="587"/>
      <c r="AF49" s="587"/>
      <c r="AG49" s="587"/>
      <c r="AH49" s="587"/>
      <c r="AI49" s="587"/>
      <c r="AJ49" s="587"/>
      <c r="AK49" s="587"/>
      <c r="AL49"/>
      <c r="AM49"/>
      <c r="AN49"/>
      <c r="AO49"/>
      <c r="AP49"/>
      <c r="AQ49"/>
      <c r="AR49"/>
      <c r="AS49"/>
      <c r="AT49"/>
      <c r="AU49"/>
      <c r="AV49"/>
      <c r="AW49"/>
    </row>
    <row r="50" spans="1:49" s="607" customFormat="1">
      <c r="A50" s="2"/>
      <c r="B50" s="2"/>
      <c r="C50" s="152"/>
      <c r="D50" s="611" t="s">
        <v>306</v>
      </c>
      <c r="E50" s="611" t="s">
        <v>856</v>
      </c>
      <c r="F50" s="611" t="s">
        <v>855</v>
      </c>
      <c r="G50" s="611"/>
      <c r="H50" s="611"/>
      <c r="I50" s="2"/>
      <c r="J50" s="2"/>
      <c r="K50" s="3"/>
      <c r="L50" s="3"/>
      <c r="N50"/>
      <c r="O50"/>
      <c r="P50">
        <f t="shared" si="0"/>
        <v>2013</v>
      </c>
      <c r="R50" s="587"/>
      <c r="S50" s="600"/>
      <c r="T50"/>
      <c r="U50" s="589">
        <f t="shared" si="1"/>
        <v>2696.67</v>
      </c>
      <c r="V50" s="589">
        <f t="shared" si="2"/>
        <v>51100</v>
      </c>
      <c r="W50" s="587"/>
      <c r="X50" s="587"/>
      <c r="Y50" s="587"/>
      <c r="Z50" s="587"/>
      <c r="AA50" s="587"/>
      <c r="AB50" s="587"/>
      <c r="AC50" s="587"/>
      <c r="AD50" s="587"/>
      <c r="AE50" s="587"/>
      <c r="AF50" s="587"/>
      <c r="AG50" s="587"/>
      <c r="AH50" s="587"/>
      <c r="AI50" s="587"/>
      <c r="AJ50" s="587"/>
      <c r="AK50" s="587"/>
      <c r="AL50"/>
      <c r="AM50"/>
      <c r="AN50"/>
      <c r="AO50"/>
      <c r="AP50"/>
      <c r="AQ50"/>
      <c r="AR50"/>
      <c r="AS50"/>
      <c r="AT50"/>
      <c r="AU50"/>
      <c r="AV50"/>
      <c r="AW50"/>
    </row>
    <row r="51" spans="1:49">
      <c r="C51" s="610">
        <v>45231</v>
      </c>
      <c r="D51" s="73">
        <v>3.3700000000000001E-2</v>
      </c>
      <c r="E51" s="73">
        <v>3.3000000000000002E-2</v>
      </c>
      <c r="F51" s="73">
        <v>1.35E-2</v>
      </c>
      <c r="G51" s="73">
        <v>4.0099999999999997E-2</v>
      </c>
      <c r="H51" s="73">
        <v>4.3400000000000001E-2</v>
      </c>
      <c r="N51"/>
      <c r="O51"/>
      <c r="P51">
        <f t="shared" si="0"/>
        <v>2014</v>
      </c>
      <c r="R51" s="587"/>
      <c r="S51" s="600"/>
      <c r="T51"/>
      <c r="U51" s="589">
        <f t="shared" si="1"/>
        <v>2770</v>
      </c>
      <c r="V51" s="589">
        <f t="shared" si="2"/>
        <v>52500</v>
      </c>
      <c r="W51" s="587"/>
      <c r="X51" s="587"/>
      <c r="Y51" s="587"/>
      <c r="Z51" s="587"/>
      <c r="AA51" s="587"/>
      <c r="AB51" s="587"/>
      <c r="AC51" s="587"/>
      <c r="AD51" s="587"/>
      <c r="AE51" s="587"/>
      <c r="AF51" s="587"/>
      <c r="AG51" s="587"/>
      <c r="AH51" s="587"/>
      <c r="AI51" s="587"/>
      <c r="AJ51" s="587"/>
      <c r="AK51" s="587"/>
      <c r="AL51"/>
      <c r="AM51"/>
      <c r="AN51"/>
      <c r="AO51"/>
      <c r="AP51"/>
      <c r="AQ51"/>
      <c r="AR51"/>
      <c r="AS51"/>
      <c r="AT51"/>
      <c r="AU51"/>
      <c r="AV51"/>
      <c r="AW51"/>
    </row>
    <row r="52" spans="1:49">
      <c r="C52" s="610">
        <v>45261</v>
      </c>
      <c r="D52" s="73">
        <v>2.9000000000000001E-2</v>
      </c>
      <c r="E52" s="73">
        <v>3.04E-2</v>
      </c>
      <c r="F52" s="73">
        <v>1.34E-2</v>
      </c>
      <c r="G52" s="73">
        <v>3.5799999999999998E-2</v>
      </c>
      <c r="H52" s="73">
        <v>4.0899999999999999E-2</v>
      </c>
      <c r="N52"/>
      <c r="O52"/>
      <c r="P52">
        <f t="shared" si="0"/>
        <v>2015</v>
      </c>
      <c r="R52" s="587"/>
      <c r="S52" s="600"/>
      <c r="T52"/>
      <c r="U52" s="589">
        <f t="shared" si="1"/>
        <v>2818.89</v>
      </c>
      <c r="V52" s="589">
        <f t="shared" si="2"/>
        <v>53600</v>
      </c>
      <c r="W52" s="587"/>
      <c r="X52" s="587"/>
      <c r="Y52" s="587"/>
      <c r="Z52" s="587"/>
      <c r="AA52" s="587"/>
      <c r="AB52" s="587"/>
      <c r="AC52" s="587"/>
      <c r="AD52" s="587"/>
      <c r="AE52" s="587"/>
      <c r="AF52" s="587"/>
      <c r="AG52" s="587"/>
      <c r="AH52" s="587"/>
      <c r="AI52" s="587"/>
      <c r="AJ52" s="587"/>
      <c r="AK52" s="587"/>
      <c r="AL52"/>
      <c r="AM52"/>
      <c r="AN52"/>
      <c r="AO52"/>
      <c r="AP52"/>
      <c r="AQ52"/>
      <c r="AR52"/>
      <c r="AS52"/>
      <c r="AT52"/>
      <c r="AU52"/>
      <c r="AV52"/>
      <c r="AW52"/>
    </row>
    <row r="53" spans="1:49">
      <c r="C53" s="610">
        <v>45292</v>
      </c>
      <c r="D53" s="73">
        <v>2.92E-2</v>
      </c>
      <c r="E53" s="73">
        <v>3.0599999999999999E-2</v>
      </c>
      <c r="F53" s="73">
        <v>1.37E-2</v>
      </c>
      <c r="G53" s="73">
        <v>3.6499999999999998E-2</v>
      </c>
      <c r="H53" s="73">
        <v>4.1500000000000002E-2</v>
      </c>
      <c r="N53"/>
      <c r="O53"/>
      <c r="P53">
        <f t="shared" si="0"/>
        <v>2016</v>
      </c>
      <c r="R53" s="587"/>
      <c r="S53" s="600"/>
      <c r="T53"/>
      <c r="U53" s="589">
        <f t="shared" si="1"/>
        <v>2890</v>
      </c>
      <c r="V53" s="589">
        <f t="shared" si="2"/>
        <v>54900</v>
      </c>
      <c r="W53" s="587"/>
      <c r="X53" s="587"/>
      <c r="Y53" s="587"/>
      <c r="Z53" s="587"/>
      <c r="AA53" s="587"/>
      <c r="AB53" s="587"/>
      <c r="AC53" s="587"/>
      <c r="AD53" s="587"/>
      <c r="AE53" s="587"/>
      <c r="AF53" s="587"/>
      <c r="AG53" s="587"/>
      <c r="AH53" s="587"/>
      <c r="AI53" s="587"/>
      <c r="AJ53" s="587"/>
      <c r="AK53" s="587"/>
      <c r="AL53"/>
      <c r="AM53"/>
      <c r="AN53"/>
      <c r="AO53"/>
      <c r="AP53"/>
      <c r="AQ53"/>
      <c r="AR53"/>
      <c r="AS53"/>
      <c r="AT53"/>
      <c r="AU53"/>
      <c r="AV53"/>
      <c r="AW53"/>
    </row>
    <row r="54" spans="1:49">
      <c r="N54"/>
      <c r="O54"/>
      <c r="P54">
        <f t="shared" si="0"/>
        <v>2017</v>
      </c>
      <c r="R54" s="587"/>
      <c r="S54" s="600"/>
      <c r="T54"/>
      <c r="U54" s="589">
        <f t="shared" si="1"/>
        <v>2914.44</v>
      </c>
      <c r="V54" s="589">
        <f t="shared" si="2"/>
        <v>55300</v>
      </c>
      <c r="W54" s="587"/>
      <c r="X54" s="587"/>
      <c r="Y54" s="587"/>
      <c r="Z54" s="587"/>
      <c r="AA54" s="587"/>
      <c r="AB54" s="587"/>
      <c r="AC54" s="587"/>
      <c r="AD54" s="587"/>
      <c r="AE54" s="587"/>
      <c r="AF54" s="587"/>
      <c r="AG54" s="587"/>
      <c r="AH54" s="587"/>
      <c r="AI54" s="587"/>
      <c r="AJ54" s="587"/>
      <c r="AK54" s="587"/>
      <c r="AL54"/>
      <c r="AM54"/>
      <c r="AN54"/>
      <c r="AO54"/>
      <c r="AP54"/>
      <c r="AQ54"/>
      <c r="AR54"/>
      <c r="AS54"/>
      <c r="AT54"/>
      <c r="AU54"/>
      <c r="AV54"/>
      <c r="AW54"/>
    </row>
    <row r="55" spans="1:49" ht="62.4">
      <c r="A55" s="129"/>
      <c r="B55" s="129"/>
      <c r="C55" s="75" t="s">
        <v>103</v>
      </c>
      <c r="D55" s="75" t="s">
        <v>114</v>
      </c>
      <c r="E55" s="75" t="s">
        <v>101</v>
      </c>
      <c r="F55" s="75" t="s">
        <v>113</v>
      </c>
      <c r="G55" s="75" t="s">
        <v>100</v>
      </c>
      <c r="H55" s="129"/>
      <c r="I55" s="129"/>
      <c r="J55" s="129"/>
      <c r="N55"/>
      <c r="O55"/>
      <c r="P55">
        <f t="shared" si="0"/>
        <v>2018</v>
      </c>
      <c r="R55" s="587"/>
      <c r="S55" s="600"/>
      <c r="T55"/>
      <c r="U55" s="589">
        <f t="shared" si="1"/>
        <v>2944.44</v>
      </c>
      <c r="V55" s="589">
        <f t="shared" si="2"/>
        <v>55900</v>
      </c>
      <c r="W55" s="587"/>
      <c r="X55" s="587"/>
      <c r="Y55" s="587"/>
      <c r="Z55" s="587"/>
      <c r="AA55" s="587"/>
      <c r="AB55" s="587"/>
      <c r="AC55" s="587"/>
      <c r="AD55" s="587"/>
      <c r="AE55" s="587"/>
      <c r="AF55" s="587"/>
      <c r="AG55" s="587"/>
      <c r="AH55" s="587"/>
      <c r="AI55" s="587"/>
      <c r="AJ55" s="587"/>
      <c r="AK55" s="587"/>
      <c r="AL55"/>
      <c r="AM55"/>
      <c r="AN55"/>
      <c r="AO55"/>
      <c r="AP55"/>
      <c r="AQ55"/>
      <c r="AR55"/>
      <c r="AS55"/>
      <c r="AT55"/>
      <c r="AU55"/>
      <c r="AV55"/>
      <c r="AW55"/>
    </row>
    <row r="56" spans="1:49" s="607" customFormat="1">
      <c r="A56" s="2"/>
      <c r="B56" s="2"/>
      <c r="C56" s="610">
        <v>45231</v>
      </c>
      <c r="D56" s="73">
        <v>5.1700000000000003E-2</v>
      </c>
      <c r="E56" s="73">
        <v>5.2900000000000003E-2</v>
      </c>
      <c r="F56" s="73">
        <v>3.3799999999999997E-2</v>
      </c>
      <c r="G56" s="73">
        <v>3.0499999999999999E-2</v>
      </c>
      <c r="H56" s="2"/>
      <c r="I56" s="2"/>
      <c r="J56" s="2"/>
      <c r="K56" s="3"/>
      <c r="L56" s="3"/>
      <c r="N56"/>
      <c r="O56"/>
      <c r="P56">
        <f t="shared" si="0"/>
        <v>2019</v>
      </c>
      <c r="Q56" s="600">
        <f>Q57-1</f>
        <v>46</v>
      </c>
      <c r="R56" s="589">
        <f>F28</f>
        <v>1</v>
      </c>
      <c r="S56" s="589">
        <f>E28</f>
        <v>210000</v>
      </c>
      <c r="T56"/>
      <c r="U56" s="589">
        <f t="shared" si="1"/>
        <v>3025.56</v>
      </c>
      <c r="V56" s="589">
        <f t="shared" si="2"/>
        <v>57400</v>
      </c>
      <c r="W56" s="587"/>
      <c r="X56" s="587"/>
      <c r="Y56" s="587"/>
      <c r="Z56" s="587"/>
      <c r="AA56" s="587"/>
      <c r="AB56" s="587"/>
      <c r="AC56" s="587"/>
      <c r="AD56" s="587"/>
      <c r="AE56" s="587"/>
      <c r="AF56" s="587"/>
      <c r="AG56" s="587"/>
      <c r="AH56" s="587"/>
      <c r="AI56" s="587"/>
      <c r="AJ56" s="587"/>
      <c r="AK56" s="587"/>
      <c r="AL56"/>
      <c r="AM56"/>
      <c r="AN56"/>
      <c r="AO56"/>
      <c r="AP56"/>
      <c r="AQ56"/>
      <c r="AR56"/>
      <c r="AS56"/>
      <c r="AT56"/>
      <c r="AU56"/>
      <c r="AV56"/>
      <c r="AW56"/>
    </row>
    <row r="57" spans="1:49">
      <c r="C57" s="610">
        <v>45261</v>
      </c>
      <c r="D57" s="73">
        <v>4.9500000000000002E-2</v>
      </c>
      <c r="E57" s="73">
        <v>5.1200000000000002E-2</v>
      </c>
      <c r="F57" s="73">
        <v>2.92E-2</v>
      </c>
      <c r="G57" s="73">
        <v>3.0499999999999999E-2</v>
      </c>
      <c r="N57"/>
      <c r="O57"/>
      <c r="P57">
        <f t="shared" si="0"/>
        <v>2020</v>
      </c>
      <c r="Q57" s="600">
        <f>Q58-1</f>
        <v>47</v>
      </c>
      <c r="R57" s="589">
        <f>F29</f>
        <v>1</v>
      </c>
      <c r="S57" s="589">
        <f>E29</f>
        <v>215000</v>
      </c>
      <c r="T57"/>
      <c r="U57" s="589">
        <f t="shared" si="1"/>
        <v>3092.22</v>
      </c>
      <c r="V57" s="589">
        <f t="shared" si="2"/>
        <v>58700</v>
      </c>
      <c r="W57" s="587"/>
      <c r="X57" s="587"/>
      <c r="Y57" s="587"/>
      <c r="Z57" s="587"/>
      <c r="AA57" s="587"/>
      <c r="AB57" s="587"/>
      <c r="AC57" s="587"/>
      <c r="AD57" s="587"/>
      <c r="AE57" s="587"/>
      <c r="AF57" s="587"/>
      <c r="AG57" s="587"/>
      <c r="AH57" s="587"/>
      <c r="AI57" s="587"/>
      <c r="AJ57" s="587"/>
      <c r="AK57" s="587"/>
      <c r="AL57"/>
      <c r="AM57"/>
      <c r="AN57"/>
      <c r="AO57"/>
      <c r="AP57"/>
      <c r="AQ57"/>
      <c r="AR57"/>
      <c r="AS57"/>
      <c r="AT57"/>
      <c r="AU57"/>
      <c r="AV57"/>
      <c r="AW57"/>
    </row>
    <row r="58" spans="1:49">
      <c r="C58" s="610">
        <v>45292</v>
      </c>
      <c r="D58" s="73">
        <v>0.05</v>
      </c>
      <c r="E58" s="73">
        <v>5.1499999999999997E-2</v>
      </c>
      <c r="F58" s="73">
        <v>2.9499999999999998E-2</v>
      </c>
      <c r="G58" s="73">
        <v>3.0499999999999999E-2</v>
      </c>
      <c r="N58"/>
      <c r="O58"/>
      <c r="P58">
        <f t="shared" si="0"/>
        <v>2021</v>
      </c>
      <c r="Q58" s="600">
        <f>Q59-1</f>
        <v>48</v>
      </c>
      <c r="R58" s="589">
        <f>F30</f>
        <v>1</v>
      </c>
      <c r="S58" s="589">
        <f>E30</f>
        <v>245000</v>
      </c>
      <c r="T58"/>
      <c r="U58" s="589">
        <f t="shared" si="1"/>
        <v>3245.56</v>
      </c>
      <c r="V58" s="589">
        <f t="shared" si="2"/>
        <v>61600</v>
      </c>
      <c r="W58" s="587"/>
      <c r="X58" s="587"/>
      <c r="Y58" s="587"/>
      <c r="Z58" s="587"/>
      <c r="AA58" s="587"/>
      <c r="AB58" s="587"/>
      <c r="AC58" s="587"/>
      <c r="AD58" s="587"/>
      <c r="AE58" s="587"/>
      <c r="AF58" s="587"/>
      <c r="AG58" s="587"/>
      <c r="AH58" s="587"/>
      <c r="AI58" s="587"/>
      <c r="AJ58" s="587"/>
      <c r="AK58" s="587"/>
      <c r="AL58"/>
      <c r="AM58"/>
      <c r="AN58"/>
      <c r="AO58"/>
      <c r="AP58"/>
      <c r="AQ58"/>
      <c r="AR58"/>
      <c r="AS58"/>
      <c r="AT58"/>
      <c r="AU58"/>
      <c r="AV58"/>
      <c r="AW58"/>
    </row>
    <row r="59" spans="1:49">
      <c r="N59"/>
      <c r="O59"/>
      <c r="P59">
        <f t="shared" si="0"/>
        <v>2022</v>
      </c>
      <c r="Q59" s="600">
        <f>Q60-1</f>
        <v>49</v>
      </c>
      <c r="R59" s="589">
        <f>F31</f>
        <v>1</v>
      </c>
      <c r="S59" s="589">
        <f>E31</f>
        <v>255500</v>
      </c>
      <c r="T59"/>
      <c r="U59" s="589">
        <f t="shared" si="1"/>
        <v>3420</v>
      </c>
      <c r="V59" s="589">
        <f t="shared" si="2"/>
        <v>64900</v>
      </c>
      <c r="W59" s="587"/>
      <c r="X59" s="587"/>
      <c r="Y59" s="587"/>
      <c r="Z59" s="587"/>
      <c r="AA59" s="587"/>
      <c r="AB59" s="587"/>
      <c r="AC59" s="587"/>
      <c r="AD59" s="587"/>
      <c r="AE59" s="587"/>
      <c r="AF59" s="587"/>
      <c r="AG59" s="587"/>
      <c r="AH59" s="587"/>
      <c r="AI59" s="587"/>
      <c r="AJ59" s="587"/>
      <c r="AK59" s="587"/>
      <c r="AL59"/>
      <c r="AM59"/>
      <c r="AN59"/>
      <c r="AO59"/>
      <c r="AP59"/>
      <c r="AQ59"/>
      <c r="AR59"/>
      <c r="AS59"/>
      <c r="AT59"/>
      <c r="AU59"/>
      <c r="AV59"/>
      <c r="AW59"/>
    </row>
    <row r="60" spans="1:49">
      <c r="C60" s="2" t="s">
        <v>854</v>
      </c>
      <c r="N60"/>
      <c r="O60"/>
      <c r="P60">
        <v>2023</v>
      </c>
      <c r="Q60" s="600">
        <f>DATEDIF(D10,D11,"M")/12</f>
        <v>50</v>
      </c>
      <c r="R60" s="589">
        <f>F32</f>
        <v>1</v>
      </c>
      <c r="S60" s="589">
        <f>E32</f>
        <v>230000</v>
      </c>
      <c r="T60" s="600">
        <f>AVERAGE(S56:S60)</f>
        <v>231100</v>
      </c>
      <c r="U60" s="589">
        <f t="shared" si="1"/>
        <v>3506.67</v>
      </c>
      <c r="V60" s="589">
        <f t="shared" si="2"/>
        <v>66600</v>
      </c>
      <c r="W60" s="609"/>
      <c r="X60" s="609"/>
      <c r="Y60" s="587"/>
      <c r="Z60" s="587"/>
      <c r="AA60" s="587"/>
      <c r="AB60" s="587"/>
      <c r="AC60" s="587"/>
      <c r="AD60" s="587"/>
      <c r="AE60" s="587"/>
      <c r="AF60" s="587"/>
      <c r="AG60" s="587"/>
      <c r="AH60" s="587"/>
      <c r="AI60" s="587"/>
      <c r="AJ60" s="587"/>
      <c r="AK60" s="587"/>
      <c r="AL60"/>
      <c r="AM60"/>
      <c r="AN60"/>
      <c r="AO60"/>
      <c r="AP60"/>
      <c r="AQ60"/>
      <c r="AR60"/>
      <c r="AS60"/>
      <c r="AT60"/>
      <c r="AU60"/>
      <c r="AV60"/>
      <c r="AW60"/>
    </row>
    <row r="61" spans="1:49" ht="31.2">
      <c r="A61" s="129"/>
      <c r="B61" s="129"/>
      <c r="C61" s="608"/>
      <c r="D61" s="608" t="s">
        <v>244</v>
      </c>
      <c r="E61" s="608" t="s">
        <v>243</v>
      </c>
      <c r="F61" s="608"/>
      <c r="G61" s="608" t="s">
        <v>244</v>
      </c>
      <c r="H61" s="608" t="s">
        <v>243</v>
      </c>
      <c r="I61" s="129"/>
      <c r="J61" s="129"/>
      <c r="N61"/>
      <c r="O61"/>
      <c r="P61"/>
      <c r="Q61"/>
      <c r="R61"/>
      <c r="S61"/>
      <c r="T61"/>
      <c r="U61" s="587"/>
      <c r="V61" s="587"/>
      <c r="W61" s="587"/>
      <c r="X61" s="587"/>
      <c r="Y61" s="587"/>
      <c r="Z61" s="587"/>
      <c r="AA61" s="587"/>
      <c r="AB61" s="587"/>
      <c r="AC61" s="587"/>
      <c r="AD61" s="587"/>
      <c r="AE61" s="587"/>
      <c r="AF61" s="587"/>
      <c r="AG61" s="587"/>
      <c r="AH61" s="587"/>
      <c r="AI61" s="587"/>
      <c r="AJ61" s="587"/>
      <c r="AK61" s="587"/>
      <c r="AL61"/>
      <c r="AM61"/>
      <c r="AN61"/>
      <c r="AO61"/>
      <c r="AP61"/>
      <c r="AQ61"/>
      <c r="AR61"/>
      <c r="AS61"/>
      <c r="AT61"/>
      <c r="AU61"/>
      <c r="AV61"/>
      <c r="AW61"/>
    </row>
    <row r="62" spans="1:49" s="607" customFormat="1" ht="19.8">
      <c r="A62" s="2"/>
      <c r="B62" s="2"/>
      <c r="C62" s="131" t="s">
        <v>853</v>
      </c>
      <c r="D62" s="151">
        <v>22.3</v>
      </c>
      <c r="E62" s="151"/>
      <c r="F62" s="131" t="s">
        <v>852</v>
      </c>
      <c r="G62" s="151">
        <v>7.2</v>
      </c>
      <c r="H62" s="151"/>
      <c r="I62" s="2"/>
      <c r="J62" s="2"/>
      <c r="K62" s="3"/>
      <c r="L62" s="3"/>
      <c r="N62"/>
      <c r="O62"/>
      <c r="P62"/>
      <c r="Q62"/>
      <c r="R62" s="590" t="s">
        <v>910</v>
      </c>
      <c r="S62" s="600" t="str">
        <f>IF((D13+Q60)&gt;55,"Y","N")</f>
        <v>Y</v>
      </c>
      <c r="Y62" s="587"/>
      <c r="Z62" s="587"/>
      <c r="AA62" s="587"/>
      <c r="AB62" s="587"/>
      <c r="AC62" s="587"/>
      <c r="AD62" s="587"/>
      <c r="AE62" s="587"/>
      <c r="AF62" s="587"/>
      <c r="AG62" s="587"/>
      <c r="AH62" s="587"/>
      <c r="AI62" s="587"/>
      <c r="AJ62" s="587"/>
      <c r="AK62" s="587"/>
      <c r="AL62"/>
      <c r="AM62"/>
      <c r="AN62"/>
      <c r="AO62"/>
      <c r="AP62"/>
      <c r="AQ62"/>
      <c r="AR62"/>
      <c r="AS62"/>
      <c r="AT62"/>
      <c r="AU62"/>
      <c r="AV62"/>
      <c r="AW62"/>
    </row>
    <row r="63" spans="1:49" ht="19.8">
      <c r="C63" s="131" t="s">
        <v>851</v>
      </c>
      <c r="D63" s="151">
        <v>21.5</v>
      </c>
      <c r="E63" s="151"/>
      <c r="F63" s="131" t="s">
        <v>850</v>
      </c>
      <c r="G63" s="151">
        <v>6.8</v>
      </c>
      <c r="H63" s="151"/>
      <c r="N63"/>
      <c r="O63"/>
      <c r="P63"/>
      <c r="Q63"/>
      <c r="R63" s="590" t="s">
        <v>909</v>
      </c>
      <c r="S63" s="324">
        <f>MAX(T46:T60)</f>
        <v>231100</v>
      </c>
      <c r="T63"/>
      <c r="U63" s="587"/>
      <c r="V63" s="587"/>
      <c r="W63" s="587"/>
      <c r="X63" s="587"/>
      <c r="Y63" s="587"/>
      <c r="Z63" s="587"/>
      <c r="AA63" s="587"/>
      <c r="AB63" s="587"/>
      <c r="AC63" s="587"/>
      <c r="AD63" s="587"/>
      <c r="AE63" s="587"/>
      <c r="AF63" s="587"/>
      <c r="AG63" s="587"/>
      <c r="AH63" s="587"/>
      <c r="AI63" s="587"/>
      <c r="AJ63" s="587"/>
      <c r="AK63" s="587"/>
      <c r="AL63"/>
      <c r="AM63"/>
      <c r="AN63"/>
      <c r="AO63"/>
      <c r="AP63"/>
      <c r="AQ63"/>
      <c r="AR63"/>
      <c r="AS63"/>
      <c r="AT63"/>
      <c r="AU63"/>
      <c r="AV63"/>
      <c r="AW63"/>
    </row>
    <row r="64" spans="1:49" ht="19.8">
      <c r="C64" s="131" t="s">
        <v>849</v>
      </c>
      <c r="D64" s="151">
        <v>20.7</v>
      </c>
      <c r="E64" s="151"/>
      <c r="F64" s="131" t="s">
        <v>848</v>
      </c>
      <c r="G64" s="151">
        <v>6.5</v>
      </c>
      <c r="H64" s="151"/>
      <c r="N64"/>
      <c r="O64"/>
      <c r="P64"/>
      <c r="Q64"/>
      <c r="R64" s="590" t="s">
        <v>915</v>
      </c>
      <c r="S64" s="606">
        <f>P40+1%</f>
        <v>2.7000000000000003E-2</v>
      </c>
      <c r="T64" s="604" t="s">
        <v>914</v>
      </c>
      <c r="U64" s="587"/>
      <c r="V64" s="587"/>
      <c r="X64" s="587"/>
      <c r="Y64" s="587"/>
      <c r="Z64" s="587"/>
      <c r="AA64" s="587"/>
      <c r="AB64" s="587"/>
      <c r="AC64" s="587"/>
      <c r="AD64" s="587"/>
      <c r="AE64" s="587"/>
      <c r="AJ64" s="587"/>
      <c r="AK64" s="587"/>
      <c r="AO64" s="587"/>
      <c r="AP64" s="587"/>
      <c r="AQ64"/>
      <c r="AR64"/>
      <c r="AS64"/>
      <c r="AT64"/>
      <c r="AU64"/>
      <c r="AV64"/>
      <c r="AW64"/>
    </row>
    <row r="65" spans="1:49" ht="19.8">
      <c r="C65" s="131" t="s">
        <v>847</v>
      </c>
      <c r="D65" s="151">
        <v>19.899999999999999</v>
      </c>
      <c r="E65" s="151"/>
      <c r="F65" s="131" t="s">
        <v>846</v>
      </c>
      <c r="G65" s="151">
        <v>6.1</v>
      </c>
      <c r="H65" s="151"/>
      <c r="N65"/>
      <c r="O65"/>
      <c r="P65"/>
      <c r="Q65"/>
      <c r="R65" s="590"/>
      <c r="S65" s="324"/>
      <c r="Z65" s="587"/>
      <c r="AA65" s="587"/>
      <c r="AB65" s="587"/>
      <c r="AC65" s="587"/>
      <c r="AE65" s="587"/>
      <c r="AF65" s="587"/>
      <c r="AG65" s="587"/>
      <c r="AH65" s="605"/>
      <c r="AI65" s="587"/>
      <c r="AJ65" s="587"/>
      <c r="AK65" s="587"/>
      <c r="AL65"/>
      <c r="AM65"/>
      <c r="AN65"/>
      <c r="AO65"/>
      <c r="AP65"/>
      <c r="AQ65"/>
      <c r="AR65"/>
      <c r="AS65"/>
      <c r="AT65"/>
      <c r="AU65"/>
      <c r="AV65"/>
      <c r="AW65"/>
    </row>
    <row r="66" spans="1:49" ht="19.8">
      <c r="C66" s="131" t="s">
        <v>845</v>
      </c>
      <c r="D66" s="151">
        <v>19.100000000000001</v>
      </c>
      <c r="E66" s="151"/>
      <c r="F66" s="131" t="s">
        <v>844</v>
      </c>
      <c r="G66" s="151">
        <v>5.7</v>
      </c>
      <c r="H66" s="151"/>
      <c r="N66"/>
      <c r="O66"/>
      <c r="P66"/>
      <c r="Q66"/>
      <c r="R66"/>
      <c r="S66"/>
      <c r="T66" s="605"/>
      <c r="U66" s="605"/>
      <c r="V66" s="605"/>
      <c r="W66" s="605"/>
      <c r="X66" s="605"/>
      <c r="Y66" s="587"/>
      <c r="Z66" s="587"/>
      <c r="AA66" s="1834" t="s">
        <v>908</v>
      </c>
      <c r="AB66" s="1834"/>
      <c r="AC66" s="1834"/>
      <c r="AD66" s="1834"/>
      <c r="AE66" s="1834"/>
      <c r="AF66" s="634"/>
      <c r="AG66" s="1835" t="s">
        <v>440</v>
      </c>
      <c r="AH66" s="1835"/>
      <c r="AI66" s="1835"/>
      <c r="AJ66" s="1835"/>
      <c r="AK66" s="1835"/>
      <c r="AL66" s="1836" t="s">
        <v>907</v>
      </c>
      <c r="AM66" s="1836"/>
      <c r="AN66" s="1836"/>
      <c r="AO66" s="1836"/>
      <c r="AP66" s="1836"/>
      <c r="AQ66"/>
      <c r="AR66"/>
      <c r="AS66"/>
      <c r="AT66"/>
      <c r="AU66"/>
      <c r="AV66"/>
      <c r="AW66"/>
    </row>
    <row r="67" spans="1:49" ht="72">
      <c r="C67" s="131" t="s">
        <v>843</v>
      </c>
      <c r="D67" s="151">
        <v>18.3</v>
      </c>
      <c r="E67" s="151"/>
      <c r="F67" s="131" t="s">
        <v>842</v>
      </c>
      <c r="G67" s="151">
        <v>5.4</v>
      </c>
      <c r="H67" s="151"/>
      <c r="N67"/>
      <c r="O67"/>
      <c r="P67" s="598" t="s">
        <v>252</v>
      </c>
      <c r="Q67" s="598" t="s">
        <v>804</v>
      </c>
      <c r="R67" s="598" t="s">
        <v>906</v>
      </c>
      <c r="S67" s="598" t="s">
        <v>905</v>
      </c>
      <c r="T67" s="598" t="s">
        <v>904</v>
      </c>
      <c r="U67" s="598" t="s">
        <v>903</v>
      </c>
      <c r="V67" s="598" t="s">
        <v>913</v>
      </c>
      <c r="W67" s="598" t="s">
        <v>901</v>
      </c>
      <c r="X67" s="598" t="s">
        <v>900</v>
      </c>
      <c r="Y67" s="598" t="s">
        <v>899</v>
      </c>
      <c r="Z67" s="598" t="s">
        <v>898</v>
      </c>
      <c r="AA67" s="598" t="s">
        <v>897</v>
      </c>
      <c r="AB67" s="598" t="s">
        <v>896</v>
      </c>
      <c r="AC67" s="598" t="s">
        <v>895</v>
      </c>
      <c r="AD67" s="598" t="s">
        <v>894</v>
      </c>
      <c r="AE67" s="598" t="s">
        <v>893</v>
      </c>
      <c r="AF67" s="598" t="s">
        <v>892</v>
      </c>
      <c r="AG67" s="598" t="s">
        <v>890</v>
      </c>
      <c r="AH67" s="598" t="s">
        <v>889</v>
      </c>
      <c r="AI67" s="598" t="s">
        <v>888</v>
      </c>
      <c r="AJ67" s="598" t="s">
        <v>891</v>
      </c>
      <c r="AK67" s="598" t="s">
        <v>41</v>
      </c>
      <c r="AL67" s="598" t="s">
        <v>890</v>
      </c>
      <c r="AM67" s="598" t="s">
        <v>889</v>
      </c>
      <c r="AN67" s="598" t="s">
        <v>888</v>
      </c>
      <c r="AO67" s="598" t="s">
        <v>887</v>
      </c>
      <c r="AP67" s="598" t="s">
        <v>41</v>
      </c>
      <c r="AQ67"/>
      <c r="AR67"/>
      <c r="AS67"/>
      <c r="AT67"/>
      <c r="AU67"/>
      <c r="AV67"/>
      <c r="AW67"/>
    </row>
    <row r="68" spans="1:49" ht="19.8">
      <c r="C68" s="131" t="s">
        <v>841</v>
      </c>
      <c r="D68" s="151">
        <v>17.600000000000001</v>
      </c>
      <c r="E68" s="151"/>
      <c r="F68" s="131" t="s">
        <v>840</v>
      </c>
      <c r="G68" s="151">
        <v>5.0999999999999996</v>
      </c>
      <c r="H68" s="151"/>
      <c r="N68"/>
      <c r="O68">
        <v>1</v>
      </c>
      <c r="P68" s="640">
        <f>Q60</f>
        <v>50</v>
      </c>
      <c r="Q68" s="633">
        <f>SUM(R46:R60)</f>
        <v>5</v>
      </c>
      <c r="R68" s="633">
        <f>D13</f>
        <v>6</v>
      </c>
      <c r="S68" s="597">
        <f t="shared" ref="S68:S83" si="3">P68+R68</f>
        <v>56</v>
      </c>
      <c r="T68" s="632">
        <f>2%*$S$63*Q68</f>
        <v>23110</v>
      </c>
      <c r="U68" s="632">
        <f>500*Q68</f>
        <v>2500</v>
      </c>
      <c r="V68" s="632">
        <f>$U$60*Q68</f>
        <v>17533.349999999999</v>
      </c>
      <c r="W68" s="632">
        <f>25%*AVERAGE($V$58:$V$60)*Q68/35</f>
        <v>2298.8095238095239</v>
      </c>
      <c r="X68" s="596">
        <f t="shared" ref="X68:X83" si="4">SUM(V68:W68)</f>
        <v>19832.159523809521</v>
      </c>
      <c r="Y68" s="587"/>
      <c r="Z68" s="587"/>
      <c r="AA68" s="589"/>
      <c r="AB68" s="589"/>
      <c r="AC68" s="589"/>
      <c r="AD68" s="589"/>
      <c r="AE68" s="589"/>
      <c r="AF68" s="589"/>
      <c r="AG68" s="587"/>
      <c r="AH68" s="587"/>
      <c r="AI68" s="587"/>
      <c r="AJ68" s="587"/>
      <c r="AK68" s="587"/>
      <c r="AL68"/>
      <c r="AM68"/>
      <c r="AN68"/>
      <c r="AO68"/>
      <c r="AP68"/>
      <c r="AQ68"/>
      <c r="AR68"/>
      <c r="AS68"/>
      <c r="AT68"/>
      <c r="AU68"/>
      <c r="AV68"/>
      <c r="AW68"/>
    </row>
    <row r="69" spans="1:49" ht="19.8">
      <c r="C69" s="131" t="s">
        <v>839</v>
      </c>
      <c r="D69" s="151">
        <v>16.8</v>
      </c>
      <c r="E69" s="151">
        <v>2.4</v>
      </c>
      <c r="F69" s="131" t="s">
        <v>838</v>
      </c>
      <c r="G69" s="151">
        <v>4.8999999999999995</v>
      </c>
      <c r="H69" s="151">
        <v>0.9</v>
      </c>
      <c r="N69"/>
      <c r="O69">
        <f t="shared" ref="O69:O83" si="5">O68+1</f>
        <v>2</v>
      </c>
      <c r="P69">
        <f t="shared" ref="P69:P83" si="6">P68+1</f>
        <v>51</v>
      </c>
      <c r="Q69"/>
      <c r="R69">
        <f t="shared" ref="R69:R83" si="7">R68+1</f>
        <v>7</v>
      </c>
      <c r="S69">
        <f t="shared" si="3"/>
        <v>58</v>
      </c>
      <c r="T69" s="596">
        <f t="shared" ref="T69:T83" si="8">T68*(1+2%)</f>
        <v>23572.2</v>
      </c>
      <c r="U69" s="596">
        <f t="shared" ref="U69:U83" si="9">U68*(1+2%)</f>
        <v>2550</v>
      </c>
      <c r="V69" s="596">
        <f t="shared" ref="V69:V83" si="10">V68*(1+$S$64)</f>
        <v>18006.750449999996</v>
      </c>
      <c r="W69" s="596">
        <f t="shared" ref="W69:W83" si="11">W68*(1+$S$64)</f>
        <v>2360.8773809523809</v>
      </c>
      <c r="X69" s="596">
        <f t="shared" si="4"/>
        <v>20367.627830952377</v>
      </c>
      <c r="Y69" s="587"/>
      <c r="Z69" s="587"/>
      <c r="AA69" s="589"/>
      <c r="AB69" s="589"/>
      <c r="AC69" s="589"/>
      <c r="AD69" s="589"/>
      <c r="AE69" s="589"/>
      <c r="AF69" s="589"/>
      <c r="AG69" s="587"/>
      <c r="AH69" s="587"/>
      <c r="AI69" s="587"/>
      <c r="AJ69" s="587"/>
      <c r="AK69" s="587"/>
      <c r="AL69"/>
      <c r="AM69"/>
      <c r="AN69"/>
      <c r="AO69"/>
      <c r="AP69"/>
      <c r="AQ69"/>
      <c r="AR69"/>
      <c r="AS69"/>
      <c r="AT69"/>
      <c r="AU69"/>
      <c r="AV69"/>
      <c r="AW69"/>
    </row>
    <row r="70" spans="1:49" ht="19.8">
      <c r="C70" s="131" t="s">
        <v>837</v>
      </c>
      <c r="D70" s="151">
        <v>16.100000000000001</v>
      </c>
      <c r="E70" s="151">
        <v>1.6</v>
      </c>
      <c r="F70" s="131" t="s">
        <v>836</v>
      </c>
      <c r="G70" s="151">
        <v>4.5</v>
      </c>
      <c r="H70" s="151">
        <v>0.6</v>
      </c>
      <c r="N70"/>
      <c r="O70">
        <f t="shared" si="5"/>
        <v>3</v>
      </c>
      <c r="P70">
        <f t="shared" si="6"/>
        <v>52</v>
      </c>
      <c r="Q70"/>
      <c r="R70">
        <f t="shared" si="7"/>
        <v>8</v>
      </c>
      <c r="S70">
        <f t="shared" si="3"/>
        <v>60</v>
      </c>
      <c r="T70" s="596">
        <f t="shared" si="8"/>
        <v>24043.644</v>
      </c>
      <c r="U70" s="596">
        <f t="shared" si="9"/>
        <v>2601</v>
      </c>
      <c r="V70" s="596">
        <f t="shared" si="10"/>
        <v>18492.932712149995</v>
      </c>
      <c r="W70" s="596">
        <f t="shared" si="11"/>
        <v>2424.6210702380949</v>
      </c>
      <c r="X70" s="596">
        <f t="shared" si="4"/>
        <v>20917.553782388091</v>
      </c>
      <c r="Y70" s="587"/>
      <c r="Z70" s="587"/>
      <c r="AA70" s="589"/>
      <c r="AB70" s="589"/>
      <c r="AC70" s="589"/>
      <c r="AD70" s="589"/>
      <c r="AE70" s="589"/>
      <c r="AF70" s="589"/>
      <c r="AG70" s="587"/>
      <c r="AH70" s="587"/>
      <c r="AI70" s="587"/>
      <c r="AJ70" s="587"/>
      <c r="AK70" s="587"/>
      <c r="AL70"/>
      <c r="AM70"/>
      <c r="AN70"/>
      <c r="AO70"/>
      <c r="AP70"/>
      <c r="AQ70"/>
      <c r="AR70"/>
      <c r="AS70"/>
      <c r="AT70"/>
      <c r="AU70"/>
      <c r="AV70"/>
      <c r="AW70"/>
    </row>
    <row r="71" spans="1:49" ht="19.8">
      <c r="C71" s="131" t="s">
        <v>835</v>
      </c>
      <c r="D71" s="151">
        <v>15.4</v>
      </c>
      <c r="E71" s="151">
        <v>0.8</v>
      </c>
      <c r="F71" s="131" t="s">
        <v>834</v>
      </c>
      <c r="G71" s="151">
        <v>4.2</v>
      </c>
      <c r="H71" s="151">
        <v>0.3</v>
      </c>
      <c r="N71"/>
      <c r="O71">
        <f t="shared" si="5"/>
        <v>4</v>
      </c>
      <c r="P71">
        <f t="shared" si="6"/>
        <v>53</v>
      </c>
      <c r="Q71"/>
      <c r="R71">
        <f t="shared" si="7"/>
        <v>9</v>
      </c>
      <c r="S71">
        <f t="shared" si="3"/>
        <v>62</v>
      </c>
      <c r="T71" s="596">
        <f t="shared" si="8"/>
        <v>24524.516879999999</v>
      </c>
      <c r="U71" s="596">
        <f t="shared" si="9"/>
        <v>2653.02</v>
      </c>
      <c r="V71" s="596">
        <f t="shared" si="10"/>
        <v>18992.241895378043</v>
      </c>
      <c r="W71" s="596">
        <f t="shared" si="11"/>
        <v>2490.0858391345232</v>
      </c>
      <c r="X71" s="596">
        <f t="shared" si="4"/>
        <v>21482.327734512568</v>
      </c>
      <c r="Y71" s="587"/>
      <c r="Z71" s="587"/>
      <c r="AA71" s="589"/>
      <c r="AB71" s="589"/>
      <c r="AC71" s="589"/>
      <c r="AD71" s="589"/>
      <c r="AE71" s="589"/>
      <c r="AF71" s="589"/>
      <c r="AG71" s="587"/>
      <c r="AH71" s="587"/>
      <c r="AI71" s="587"/>
      <c r="AJ71" s="587"/>
      <c r="AK71" s="587"/>
      <c r="AL71"/>
      <c r="AM71"/>
      <c r="AN71"/>
      <c r="AO71"/>
      <c r="AP71"/>
      <c r="AQ71"/>
      <c r="AR71"/>
      <c r="AS71"/>
      <c r="AT71"/>
      <c r="AU71"/>
      <c r="AV71"/>
      <c r="AW71"/>
    </row>
    <row r="72" spans="1:49" ht="19.8">
      <c r="C72" s="131" t="s">
        <v>833</v>
      </c>
      <c r="D72" s="151">
        <v>14.7</v>
      </c>
      <c r="E72" s="151">
        <v>0</v>
      </c>
      <c r="F72" s="131" t="s">
        <v>832</v>
      </c>
      <c r="G72" s="151">
        <v>4</v>
      </c>
      <c r="H72" s="151">
        <v>0</v>
      </c>
      <c r="N72"/>
      <c r="O72">
        <f t="shared" si="5"/>
        <v>5</v>
      </c>
      <c r="P72">
        <f t="shared" si="6"/>
        <v>54</v>
      </c>
      <c r="Q72"/>
      <c r="R72">
        <f t="shared" si="7"/>
        <v>10</v>
      </c>
      <c r="S72">
        <f t="shared" si="3"/>
        <v>64</v>
      </c>
      <c r="T72" s="596">
        <f t="shared" si="8"/>
        <v>25015.007217599999</v>
      </c>
      <c r="U72" s="596">
        <f t="shared" si="9"/>
        <v>2706.0803999999998</v>
      </c>
      <c r="V72" s="596">
        <f t="shared" si="10"/>
        <v>19505.032426553247</v>
      </c>
      <c r="W72" s="596">
        <f t="shared" si="11"/>
        <v>2557.3181567911552</v>
      </c>
      <c r="X72" s="596">
        <f t="shared" si="4"/>
        <v>22062.350583344403</v>
      </c>
      <c r="Y72" s="587"/>
      <c r="Z72" s="587"/>
      <c r="AA72" s="589"/>
      <c r="AB72" s="589"/>
      <c r="AC72" s="589"/>
      <c r="AD72" s="589"/>
      <c r="AE72" s="589"/>
      <c r="AF72" s="589"/>
      <c r="AG72" s="587"/>
      <c r="AH72" s="587"/>
      <c r="AI72" s="587"/>
      <c r="AJ72" s="587"/>
      <c r="AK72" s="587"/>
      <c r="AL72"/>
      <c r="AM72"/>
      <c r="AN72"/>
      <c r="AO72"/>
      <c r="AP72"/>
      <c r="AQ72"/>
      <c r="AR72"/>
      <c r="AS72"/>
      <c r="AT72"/>
      <c r="AU72"/>
      <c r="AV72"/>
      <c r="AW72"/>
    </row>
    <row r="73" spans="1:49">
      <c r="N73"/>
      <c r="O73">
        <f t="shared" si="5"/>
        <v>6</v>
      </c>
      <c r="P73">
        <f t="shared" si="6"/>
        <v>55</v>
      </c>
      <c r="Q73"/>
      <c r="R73">
        <f t="shared" si="7"/>
        <v>11</v>
      </c>
      <c r="S73">
        <f t="shared" si="3"/>
        <v>66</v>
      </c>
      <c r="T73" s="596">
        <f t="shared" si="8"/>
        <v>25515.307361952</v>
      </c>
      <c r="U73" s="596">
        <f t="shared" si="9"/>
        <v>2760.2020079999998</v>
      </c>
      <c r="V73" s="596">
        <f t="shared" si="10"/>
        <v>20031.668302070182</v>
      </c>
      <c r="W73" s="596">
        <f t="shared" si="11"/>
        <v>2626.3657470245162</v>
      </c>
      <c r="X73" s="596">
        <f t="shared" si="4"/>
        <v>22658.034049094698</v>
      </c>
      <c r="Y73" s="587">
        <f t="shared" ref="Y73:Y83" si="12">D62</f>
        <v>22.3</v>
      </c>
      <c r="Z73" s="587"/>
      <c r="AA73" s="587">
        <f t="shared" ref="AA73:AA83" si="13">MAX(0,30-R73)</f>
        <v>19</v>
      </c>
      <c r="AB73" s="587">
        <f t="shared" ref="AB73:AB83" si="14">MAX(0,60-P73)</f>
        <v>5</v>
      </c>
      <c r="AC73" s="587">
        <f t="shared" ref="AC73:AC83" si="15">MAX(0,(80-S73)/2)</f>
        <v>7</v>
      </c>
      <c r="AD73" s="593">
        <f t="shared" ref="AD73:AD83" si="16">100%-3%*MIN(AA73:AC73)</f>
        <v>0.85</v>
      </c>
      <c r="AE73" s="589">
        <f t="shared" ref="AE73:AE83" si="17">V73*AD73</f>
        <v>17026.918056759656</v>
      </c>
      <c r="AF73" s="589"/>
      <c r="AG73" s="593">
        <f t="shared" ref="AG73:AG82" si="18">AG74-4%</f>
        <v>0.59999999999999964</v>
      </c>
      <c r="AH73" s="589">
        <f t="shared" ref="AH73:AH83" si="19">T73*AG73</f>
        <v>15309.184417171191</v>
      </c>
      <c r="AI73" s="589">
        <f t="shared" ref="AI73:AI83" si="20">MIN(AE73,AH73)</f>
        <v>15309.184417171191</v>
      </c>
      <c r="AJ73" s="587"/>
      <c r="AK73" s="596">
        <f t="shared" ref="AK73:AK83" si="21">$Y73*AI73+$Z73*AJ73</f>
        <v>341394.81250291754</v>
      </c>
      <c r="AL73" s="593">
        <f t="shared" ref="AL73:AL79" si="22">AL74-3%</f>
        <v>0.78999999999999981</v>
      </c>
      <c r="AM73" s="589">
        <f t="shared" ref="AM73:AM83" si="23">T73*AL73+IF($C72&gt;=62,U73,0)</f>
        <v>22917.294823942077</v>
      </c>
      <c r="AN73" s="589">
        <f t="shared" ref="AN73:AN83" si="24">MIN(AE73,AM73)</f>
        <v>17026.918056759656</v>
      </c>
      <c r="AO73" s="589"/>
      <c r="AP73" s="596">
        <f t="shared" ref="AP73:AP83" si="25">$Y73*AN73+$Z73*AO73</f>
        <v>379700.27266574034</v>
      </c>
      <c r="AQ73"/>
      <c r="AR73" s="596"/>
      <c r="AS73"/>
      <c r="AT73"/>
      <c r="AU73"/>
      <c r="AV73"/>
      <c r="AW73"/>
    </row>
    <row r="74" spans="1:49">
      <c r="N74"/>
      <c r="O74">
        <f t="shared" si="5"/>
        <v>7</v>
      </c>
      <c r="P74">
        <f t="shared" si="6"/>
        <v>56</v>
      </c>
      <c r="Q74"/>
      <c r="R74">
        <f t="shared" si="7"/>
        <v>12</v>
      </c>
      <c r="S74">
        <f t="shared" si="3"/>
        <v>68</v>
      </c>
      <c r="T74" s="596">
        <f t="shared" si="8"/>
        <v>26025.61350919104</v>
      </c>
      <c r="U74" s="596">
        <f t="shared" si="9"/>
        <v>2815.40604816</v>
      </c>
      <c r="V74" s="596">
        <f t="shared" si="10"/>
        <v>20572.523346226077</v>
      </c>
      <c r="W74" s="596">
        <f t="shared" si="11"/>
        <v>2697.2776221941781</v>
      </c>
      <c r="X74" s="596">
        <f t="shared" si="4"/>
        <v>23269.800968420255</v>
      </c>
      <c r="Y74" s="587">
        <f t="shared" si="12"/>
        <v>21.5</v>
      </c>
      <c r="Z74" s="587"/>
      <c r="AA74" s="587">
        <f t="shared" si="13"/>
        <v>18</v>
      </c>
      <c r="AB74" s="587">
        <f t="shared" si="14"/>
        <v>4</v>
      </c>
      <c r="AC74" s="587">
        <f t="shared" si="15"/>
        <v>6</v>
      </c>
      <c r="AD74" s="593">
        <f t="shared" si="16"/>
        <v>0.88</v>
      </c>
      <c r="AE74" s="589">
        <f t="shared" si="17"/>
        <v>18103.820544678947</v>
      </c>
      <c r="AF74" s="589"/>
      <c r="AG74" s="593">
        <f t="shared" si="18"/>
        <v>0.63999999999999968</v>
      </c>
      <c r="AH74" s="589">
        <f t="shared" si="19"/>
        <v>16656.392645882257</v>
      </c>
      <c r="AI74" s="589">
        <f t="shared" si="20"/>
        <v>16656.392645882257</v>
      </c>
      <c r="AJ74" s="587"/>
      <c r="AK74" s="596">
        <f t="shared" si="21"/>
        <v>358112.4418864685</v>
      </c>
      <c r="AL74" s="593">
        <f t="shared" si="22"/>
        <v>0.81999999999999984</v>
      </c>
      <c r="AM74" s="589">
        <f t="shared" si="23"/>
        <v>21341.00307753665</v>
      </c>
      <c r="AN74" s="589">
        <f t="shared" si="24"/>
        <v>18103.820544678947</v>
      </c>
      <c r="AO74" s="589"/>
      <c r="AP74" s="596">
        <f t="shared" si="25"/>
        <v>389232.14171059738</v>
      </c>
      <c r="AQ74"/>
      <c r="AR74" s="596"/>
      <c r="AS74"/>
      <c r="AT74"/>
      <c r="AU74"/>
      <c r="AV74"/>
      <c r="AW74"/>
    </row>
    <row r="75" spans="1:49">
      <c r="A75" s="2" t="s">
        <v>831</v>
      </c>
      <c r="B75" s="2" t="s">
        <v>830</v>
      </c>
      <c r="C75" s="2" t="s">
        <v>829</v>
      </c>
      <c r="N75"/>
      <c r="O75">
        <f t="shared" si="5"/>
        <v>8</v>
      </c>
      <c r="P75">
        <f t="shared" si="6"/>
        <v>57</v>
      </c>
      <c r="Q75"/>
      <c r="R75">
        <f t="shared" si="7"/>
        <v>13</v>
      </c>
      <c r="S75">
        <f t="shared" si="3"/>
        <v>70</v>
      </c>
      <c r="T75" s="596">
        <f t="shared" si="8"/>
        <v>26546.125779374863</v>
      </c>
      <c r="U75" s="596">
        <f t="shared" si="9"/>
        <v>2871.7141691232</v>
      </c>
      <c r="V75" s="596">
        <f t="shared" si="10"/>
        <v>21127.981476574179</v>
      </c>
      <c r="W75" s="596">
        <f t="shared" si="11"/>
        <v>2770.1041179934205</v>
      </c>
      <c r="X75" s="596">
        <f t="shared" si="4"/>
        <v>23898.085594567601</v>
      </c>
      <c r="Y75" s="587">
        <f t="shared" si="12"/>
        <v>20.7</v>
      </c>
      <c r="Z75" s="587"/>
      <c r="AA75" s="587">
        <f t="shared" si="13"/>
        <v>17</v>
      </c>
      <c r="AB75" s="587">
        <f t="shared" si="14"/>
        <v>3</v>
      </c>
      <c r="AC75" s="587">
        <f t="shared" si="15"/>
        <v>5</v>
      </c>
      <c r="AD75" s="593">
        <f t="shared" si="16"/>
        <v>0.91</v>
      </c>
      <c r="AE75" s="589">
        <f t="shared" si="17"/>
        <v>19226.463143682504</v>
      </c>
      <c r="AF75" s="589"/>
      <c r="AG75" s="593">
        <f t="shared" si="18"/>
        <v>0.67999999999999972</v>
      </c>
      <c r="AH75" s="589">
        <f t="shared" si="19"/>
        <v>18051.365529974901</v>
      </c>
      <c r="AI75" s="589">
        <f t="shared" si="20"/>
        <v>18051.365529974901</v>
      </c>
      <c r="AJ75" s="587"/>
      <c r="AK75" s="596">
        <f t="shared" si="21"/>
        <v>373663.26647048042</v>
      </c>
      <c r="AL75" s="593">
        <f t="shared" si="22"/>
        <v>0.84999999999999987</v>
      </c>
      <c r="AM75" s="589">
        <f t="shared" si="23"/>
        <v>22564.206912468631</v>
      </c>
      <c r="AN75" s="589">
        <f t="shared" si="24"/>
        <v>19226.463143682504</v>
      </c>
      <c r="AO75" s="589"/>
      <c r="AP75" s="596">
        <f t="shared" si="25"/>
        <v>397987.78707422782</v>
      </c>
      <c r="AQ75"/>
      <c r="AR75" s="596"/>
      <c r="AS75"/>
      <c r="AT75"/>
      <c r="AU75"/>
      <c r="AV75"/>
      <c r="AW75"/>
    </row>
    <row r="76" spans="1:49">
      <c r="C76" s="2" t="s">
        <v>828</v>
      </c>
      <c r="N76"/>
      <c r="O76">
        <f t="shared" si="5"/>
        <v>9</v>
      </c>
      <c r="P76">
        <f t="shared" si="6"/>
        <v>58</v>
      </c>
      <c r="Q76"/>
      <c r="R76">
        <f t="shared" si="7"/>
        <v>14</v>
      </c>
      <c r="S76">
        <f t="shared" si="3"/>
        <v>72</v>
      </c>
      <c r="T76" s="596">
        <f t="shared" si="8"/>
        <v>27077.048294962362</v>
      </c>
      <c r="U76" s="596">
        <f t="shared" si="9"/>
        <v>2929.148452505664</v>
      </c>
      <c r="V76" s="596">
        <f t="shared" si="10"/>
        <v>21698.436976441681</v>
      </c>
      <c r="W76" s="596">
        <f t="shared" si="11"/>
        <v>2844.8969291792428</v>
      </c>
      <c r="X76" s="596">
        <f t="shared" si="4"/>
        <v>24543.333905620922</v>
      </c>
      <c r="Y76" s="587">
        <f t="shared" si="12"/>
        <v>19.899999999999999</v>
      </c>
      <c r="Z76" s="587"/>
      <c r="AA76" s="587">
        <f t="shared" si="13"/>
        <v>16</v>
      </c>
      <c r="AB76" s="587">
        <f t="shared" si="14"/>
        <v>2</v>
      </c>
      <c r="AC76" s="587">
        <f t="shared" si="15"/>
        <v>4</v>
      </c>
      <c r="AD76" s="593">
        <f t="shared" si="16"/>
        <v>0.94</v>
      </c>
      <c r="AE76" s="589">
        <f t="shared" si="17"/>
        <v>20396.53075785518</v>
      </c>
      <c r="AF76" s="589"/>
      <c r="AG76" s="593">
        <f t="shared" si="18"/>
        <v>0.71999999999999975</v>
      </c>
      <c r="AH76" s="589">
        <f t="shared" si="19"/>
        <v>19495.474772372894</v>
      </c>
      <c r="AI76" s="589">
        <f t="shared" si="20"/>
        <v>19495.474772372894</v>
      </c>
      <c r="AJ76" s="587"/>
      <c r="AK76" s="596">
        <f t="shared" si="21"/>
        <v>387959.94797022059</v>
      </c>
      <c r="AL76" s="593">
        <f t="shared" si="22"/>
        <v>0.87999999999999989</v>
      </c>
      <c r="AM76" s="589">
        <f t="shared" si="23"/>
        <v>26756.950952072541</v>
      </c>
      <c r="AN76" s="589">
        <f t="shared" si="24"/>
        <v>20396.53075785518</v>
      </c>
      <c r="AO76" s="589"/>
      <c r="AP76" s="596">
        <f t="shared" si="25"/>
        <v>405890.96208131808</v>
      </c>
      <c r="AQ76"/>
      <c r="AR76" s="596"/>
      <c r="AS76"/>
      <c r="AT76"/>
      <c r="AU76"/>
      <c r="AV76"/>
      <c r="AW76"/>
    </row>
    <row r="77" spans="1:49">
      <c r="N77"/>
      <c r="O77">
        <f t="shared" si="5"/>
        <v>10</v>
      </c>
      <c r="P77">
        <f t="shared" si="6"/>
        <v>59</v>
      </c>
      <c r="Q77"/>
      <c r="R77">
        <f t="shared" si="7"/>
        <v>15</v>
      </c>
      <c r="S77">
        <f t="shared" si="3"/>
        <v>74</v>
      </c>
      <c r="T77" s="596">
        <f t="shared" si="8"/>
        <v>27618.589260861609</v>
      </c>
      <c r="U77" s="596">
        <f t="shared" si="9"/>
        <v>2987.7314215557772</v>
      </c>
      <c r="V77" s="596">
        <f t="shared" si="10"/>
        <v>22284.294774805603</v>
      </c>
      <c r="W77" s="596">
        <f t="shared" si="11"/>
        <v>2921.7091462670819</v>
      </c>
      <c r="X77" s="596">
        <f t="shared" si="4"/>
        <v>25206.003921072686</v>
      </c>
      <c r="Y77" s="587">
        <f t="shared" si="12"/>
        <v>19.100000000000001</v>
      </c>
      <c r="Z77" s="587"/>
      <c r="AA77" s="587">
        <f t="shared" si="13"/>
        <v>15</v>
      </c>
      <c r="AB77" s="587">
        <f t="shared" si="14"/>
        <v>1</v>
      </c>
      <c r="AC77" s="587">
        <f t="shared" si="15"/>
        <v>3</v>
      </c>
      <c r="AD77" s="593">
        <f t="shared" si="16"/>
        <v>0.97</v>
      </c>
      <c r="AE77" s="589">
        <f t="shared" si="17"/>
        <v>21615.765931561433</v>
      </c>
      <c r="AF77" s="589"/>
      <c r="AG77" s="593">
        <f t="shared" si="18"/>
        <v>0.75999999999999979</v>
      </c>
      <c r="AH77" s="589">
        <f t="shared" si="19"/>
        <v>20990.127838254815</v>
      </c>
      <c r="AI77" s="589">
        <f t="shared" si="20"/>
        <v>20990.127838254815</v>
      </c>
      <c r="AJ77" s="587"/>
      <c r="AK77" s="596">
        <f t="shared" si="21"/>
        <v>400911.44171066699</v>
      </c>
      <c r="AL77" s="593">
        <f t="shared" si="22"/>
        <v>0.90999999999999992</v>
      </c>
      <c r="AM77" s="589">
        <f t="shared" si="23"/>
        <v>28120.647648939841</v>
      </c>
      <c r="AN77" s="589">
        <f t="shared" si="24"/>
        <v>21615.765931561433</v>
      </c>
      <c r="AO77" s="589"/>
      <c r="AP77" s="596">
        <f t="shared" si="25"/>
        <v>412861.12929282337</v>
      </c>
      <c r="AQ77"/>
      <c r="AR77" s="596"/>
      <c r="AS77"/>
      <c r="AT77"/>
      <c r="AU77"/>
      <c r="AV77"/>
      <c r="AW77"/>
    </row>
    <row r="78" spans="1:49">
      <c r="C78" s="1629" t="s">
        <v>29</v>
      </c>
      <c r="D78" s="1630"/>
      <c r="E78" s="1630"/>
      <c r="F78" s="1630"/>
      <c r="G78" s="1630"/>
      <c r="H78" s="1630"/>
      <c r="I78" s="1631"/>
      <c r="N78"/>
      <c r="O78">
        <f t="shared" si="5"/>
        <v>11</v>
      </c>
      <c r="P78">
        <f t="shared" si="6"/>
        <v>60</v>
      </c>
      <c r="Q78"/>
      <c r="R78">
        <f t="shared" si="7"/>
        <v>16</v>
      </c>
      <c r="S78">
        <f t="shared" si="3"/>
        <v>76</v>
      </c>
      <c r="T78" s="596">
        <f t="shared" si="8"/>
        <v>28170.961046078843</v>
      </c>
      <c r="U78" s="596">
        <f t="shared" si="9"/>
        <v>3047.4860499868928</v>
      </c>
      <c r="V78" s="596">
        <f t="shared" si="10"/>
        <v>22885.970733725353</v>
      </c>
      <c r="W78" s="596">
        <f t="shared" si="11"/>
        <v>3000.5952932162927</v>
      </c>
      <c r="X78" s="596">
        <f t="shared" si="4"/>
        <v>25886.566026941648</v>
      </c>
      <c r="Y78" s="587">
        <f t="shared" si="12"/>
        <v>18.3</v>
      </c>
      <c r="Z78" s="587"/>
      <c r="AA78" s="587">
        <f t="shared" si="13"/>
        <v>14</v>
      </c>
      <c r="AB78" s="587">
        <f t="shared" si="14"/>
        <v>0</v>
      </c>
      <c r="AC78" s="587">
        <f t="shared" si="15"/>
        <v>2</v>
      </c>
      <c r="AD78" s="593">
        <f t="shared" si="16"/>
        <v>1</v>
      </c>
      <c r="AE78" s="589">
        <f t="shared" si="17"/>
        <v>22885.970733725353</v>
      </c>
      <c r="AF78" s="589"/>
      <c r="AG78" s="593">
        <f t="shared" si="18"/>
        <v>0.79999999999999982</v>
      </c>
      <c r="AH78" s="589">
        <f t="shared" si="19"/>
        <v>22536.76883686307</v>
      </c>
      <c r="AI78" s="589">
        <f t="shared" si="20"/>
        <v>22536.76883686307</v>
      </c>
      <c r="AJ78" s="587"/>
      <c r="AK78" s="596">
        <f t="shared" si="21"/>
        <v>412422.86971459421</v>
      </c>
      <c r="AL78" s="593">
        <f t="shared" si="22"/>
        <v>0.94</v>
      </c>
      <c r="AM78" s="589">
        <f t="shared" si="23"/>
        <v>26480.70338331411</v>
      </c>
      <c r="AN78" s="589">
        <f t="shared" si="24"/>
        <v>22885.970733725353</v>
      </c>
      <c r="AO78" s="589"/>
      <c r="AP78" s="596">
        <f t="shared" si="25"/>
        <v>418813.264427174</v>
      </c>
      <c r="AQ78"/>
      <c r="AR78" s="596"/>
      <c r="AS78"/>
      <c r="AT78"/>
      <c r="AU78"/>
      <c r="AV78"/>
      <c r="AW78"/>
    </row>
    <row r="79" spans="1:49">
      <c r="C79" s="1632"/>
      <c r="D79" s="1633"/>
      <c r="E79" s="1633"/>
      <c r="F79" s="1633"/>
      <c r="G79" s="1633"/>
      <c r="H79" s="1633"/>
      <c r="I79" s="1634"/>
      <c r="N79"/>
      <c r="O79">
        <f t="shared" si="5"/>
        <v>12</v>
      </c>
      <c r="P79">
        <f t="shared" si="6"/>
        <v>61</v>
      </c>
      <c r="Q79"/>
      <c r="R79">
        <f t="shared" si="7"/>
        <v>17</v>
      </c>
      <c r="S79">
        <f t="shared" si="3"/>
        <v>78</v>
      </c>
      <c r="T79" s="596">
        <f t="shared" si="8"/>
        <v>28734.380267000419</v>
      </c>
      <c r="U79" s="596">
        <f t="shared" si="9"/>
        <v>3108.4357709866308</v>
      </c>
      <c r="V79" s="596">
        <f t="shared" si="10"/>
        <v>23503.891943535935</v>
      </c>
      <c r="W79" s="596">
        <f t="shared" si="11"/>
        <v>3081.6113661331324</v>
      </c>
      <c r="X79" s="596">
        <f t="shared" si="4"/>
        <v>26585.503309669068</v>
      </c>
      <c r="Y79" s="587">
        <f t="shared" si="12"/>
        <v>17.600000000000001</v>
      </c>
      <c r="Z79" s="587"/>
      <c r="AA79" s="587">
        <f t="shared" si="13"/>
        <v>13</v>
      </c>
      <c r="AB79" s="587">
        <f t="shared" si="14"/>
        <v>0</v>
      </c>
      <c r="AC79" s="587">
        <f t="shared" si="15"/>
        <v>1</v>
      </c>
      <c r="AD79" s="593">
        <f t="shared" si="16"/>
        <v>1</v>
      </c>
      <c r="AE79" s="589">
        <f t="shared" si="17"/>
        <v>23503.891943535935</v>
      </c>
      <c r="AF79" s="589"/>
      <c r="AG79" s="593">
        <f t="shared" si="18"/>
        <v>0.83999999999999986</v>
      </c>
      <c r="AH79" s="589">
        <f t="shared" si="19"/>
        <v>24136.879424280349</v>
      </c>
      <c r="AI79" s="589">
        <f t="shared" si="20"/>
        <v>23503.891943535935</v>
      </c>
      <c r="AJ79" s="587"/>
      <c r="AK79" s="596">
        <f t="shared" si="21"/>
        <v>413668.4982062325</v>
      </c>
      <c r="AL79" s="593">
        <f t="shared" si="22"/>
        <v>0.97</v>
      </c>
      <c r="AM79" s="589">
        <f t="shared" si="23"/>
        <v>30980.784629977035</v>
      </c>
      <c r="AN79" s="589">
        <f t="shared" si="24"/>
        <v>23503.891943535935</v>
      </c>
      <c r="AO79" s="589"/>
      <c r="AP79" s="596">
        <f t="shared" si="25"/>
        <v>413668.4982062325</v>
      </c>
      <c r="AQ79"/>
      <c r="AR79" s="596"/>
      <c r="AS79"/>
      <c r="AT79"/>
      <c r="AU79"/>
      <c r="AV79"/>
      <c r="AW79"/>
    </row>
    <row r="80" spans="1:49">
      <c r="N80"/>
      <c r="O80">
        <f t="shared" si="5"/>
        <v>13</v>
      </c>
      <c r="P80">
        <f t="shared" si="6"/>
        <v>62</v>
      </c>
      <c r="Q80"/>
      <c r="R80">
        <f t="shared" si="7"/>
        <v>18</v>
      </c>
      <c r="S80">
        <f t="shared" si="3"/>
        <v>80</v>
      </c>
      <c r="T80" s="596">
        <f t="shared" si="8"/>
        <v>29309.067872340427</v>
      </c>
      <c r="U80" s="596">
        <f t="shared" si="9"/>
        <v>3170.6044864063633</v>
      </c>
      <c r="V80" s="596">
        <f t="shared" si="10"/>
        <v>24138.497026011402</v>
      </c>
      <c r="W80" s="596">
        <f t="shared" si="11"/>
        <v>3164.8148730187268</v>
      </c>
      <c r="X80" s="596">
        <f t="shared" si="4"/>
        <v>27303.31189903013</v>
      </c>
      <c r="Y80" s="587">
        <f t="shared" si="12"/>
        <v>16.8</v>
      </c>
      <c r="Z80" s="587">
        <f>E69</f>
        <v>2.4</v>
      </c>
      <c r="AA80" s="587">
        <f t="shared" si="13"/>
        <v>12</v>
      </c>
      <c r="AB80" s="587">
        <f t="shared" si="14"/>
        <v>0</v>
      </c>
      <c r="AC80" s="587">
        <f t="shared" si="15"/>
        <v>0</v>
      </c>
      <c r="AD80" s="593">
        <f t="shared" si="16"/>
        <v>1</v>
      </c>
      <c r="AE80" s="589">
        <f t="shared" si="17"/>
        <v>24138.497026011402</v>
      </c>
      <c r="AF80" s="589">
        <f>X80-AE80</f>
        <v>3164.8148730187277</v>
      </c>
      <c r="AG80" s="593">
        <f t="shared" si="18"/>
        <v>0.87999999999999989</v>
      </c>
      <c r="AH80" s="589">
        <f t="shared" si="19"/>
        <v>25791.979727659575</v>
      </c>
      <c r="AI80" s="589">
        <f t="shared" si="20"/>
        <v>24138.497026011402</v>
      </c>
      <c r="AJ80" s="589">
        <v>0</v>
      </c>
      <c r="AK80" s="596">
        <f t="shared" si="21"/>
        <v>405526.75003699155</v>
      </c>
      <c r="AL80" s="631">
        <v>1</v>
      </c>
      <c r="AM80" s="589">
        <f t="shared" si="23"/>
        <v>29309.067872340427</v>
      </c>
      <c r="AN80" s="589">
        <f t="shared" si="24"/>
        <v>24138.497026011402</v>
      </c>
      <c r="AO80" s="589">
        <f>MIN(AF80,U80)</f>
        <v>3164.8148730187277</v>
      </c>
      <c r="AP80" s="596">
        <f t="shared" si="25"/>
        <v>413122.30573223648</v>
      </c>
      <c r="AQ80" s="604"/>
      <c r="AR80"/>
      <c r="AS80"/>
      <c r="AT80"/>
      <c r="AU80"/>
      <c r="AV80"/>
      <c r="AW80"/>
    </row>
    <row r="81" spans="1:49">
      <c r="A81" s="2" t="s">
        <v>34</v>
      </c>
      <c r="B81" s="2" t="s">
        <v>827</v>
      </c>
      <c r="C81" s="2" t="s">
        <v>826</v>
      </c>
      <c r="N81"/>
      <c r="O81">
        <f t="shared" si="5"/>
        <v>14</v>
      </c>
      <c r="P81">
        <f t="shared" si="6"/>
        <v>63</v>
      </c>
      <c r="Q81"/>
      <c r="R81">
        <f t="shared" si="7"/>
        <v>19</v>
      </c>
      <c r="S81">
        <f t="shared" si="3"/>
        <v>82</v>
      </c>
      <c r="T81" s="596">
        <f t="shared" si="8"/>
        <v>29895.249229787238</v>
      </c>
      <c r="U81" s="596">
        <f t="shared" si="9"/>
        <v>3234.0165761344906</v>
      </c>
      <c r="V81" s="596">
        <f t="shared" si="10"/>
        <v>24790.236445713708</v>
      </c>
      <c r="W81" s="596">
        <f t="shared" si="11"/>
        <v>3250.264874590232</v>
      </c>
      <c r="X81" s="596">
        <f t="shared" si="4"/>
        <v>28040.501320303942</v>
      </c>
      <c r="Y81" s="587">
        <f t="shared" si="12"/>
        <v>16.100000000000001</v>
      </c>
      <c r="Z81" s="587">
        <f>E70</f>
        <v>1.6</v>
      </c>
      <c r="AA81" s="587">
        <f t="shared" si="13"/>
        <v>11</v>
      </c>
      <c r="AB81" s="587">
        <f t="shared" si="14"/>
        <v>0</v>
      </c>
      <c r="AC81" s="587">
        <f t="shared" si="15"/>
        <v>0</v>
      </c>
      <c r="AD81" s="593">
        <f t="shared" si="16"/>
        <v>1</v>
      </c>
      <c r="AE81" s="589">
        <f t="shared" si="17"/>
        <v>24790.236445713708</v>
      </c>
      <c r="AF81" s="589">
        <f>X81-AE81</f>
        <v>3250.2648745902334</v>
      </c>
      <c r="AG81" s="593">
        <f t="shared" si="18"/>
        <v>0.91999999999999993</v>
      </c>
      <c r="AH81" s="589">
        <f t="shared" si="19"/>
        <v>27503.629291404257</v>
      </c>
      <c r="AI81" s="589">
        <f t="shared" si="20"/>
        <v>24790.236445713708</v>
      </c>
      <c r="AJ81" s="589">
        <v>0</v>
      </c>
      <c r="AK81" s="596">
        <f t="shared" si="21"/>
        <v>399122.80677599076</v>
      </c>
      <c r="AL81" s="631">
        <v>1</v>
      </c>
      <c r="AM81" s="589">
        <f t="shared" si="23"/>
        <v>29895.249229787238</v>
      </c>
      <c r="AN81" s="589">
        <f t="shared" si="24"/>
        <v>24790.236445713708</v>
      </c>
      <c r="AO81" s="589">
        <f>MIN(AF81,U81)</f>
        <v>3234.0165761344906</v>
      </c>
      <c r="AP81" s="596">
        <f t="shared" si="25"/>
        <v>404297.23329780594</v>
      </c>
      <c r="AQ81"/>
      <c r="AR81"/>
      <c r="AS81"/>
      <c r="AT81"/>
      <c r="AU81"/>
      <c r="AV81"/>
      <c r="AW81"/>
    </row>
    <row r="82" spans="1:49">
      <c r="C82" s="2" t="s">
        <v>825</v>
      </c>
      <c r="N82"/>
      <c r="O82">
        <f t="shared" si="5"/>
        <v>15</v>
      </c>
      <c r="P82">
        <f t="shared" si="6"/>
        <v>64</v>
      </c>
      <c r="Q82"/>
      <c r="R82">
        <f t="shared" si="7"/>
        <v>20</v>
      </c>
      <c r="S82">
        <f t="shared" si="3"/>
        <v>84</v>
      </c>
      <c r="T82" s="596">
        <f t="shared" si="8"/>
        <v>30493.154214382983</v>
      </c>
      <c r="U82" s="596">
        <f t="shared" si="9"/>
        <v>3298.6969076571804</v>
      </c>
      <c r="V82" s="596">
        <f t="shared" si="10"/>
        <v>25459.572829747976</v>
      </c>
      <c r="W82" s="596">
        <f t="shared" si="11"/>
        <v>3338.022026204168</v>
      </c>
      <c r="X82" s="596">
        <f t="shared" si="4"/>
        <v>28797.594855952146</v>
      </c>
      <c r="Y82" s="587">
        <f t="shared" si="12"/>
        <v>15.4</v>
      </c>
      <c r="Z82" s="587">
        <f>E71</f>
        <v>0.8</v>
      </c>
      <c r="AA82" s="587">
        <f t="shared" si="13"/>
        <v>10</v>
      </c>
      <c r="AB82" s="587">
        <f t="shared" si="14"/>
        <v>0</v>
      </c>
      <c r="AC82" s="587">
        <f t="shared" si="15"/>
        <v>0</v>
      </c>
      <c r="AD82" s="593">
        <f t="shared" si="16"/>
        <v>1</v>
      </c>
      <c r="AE82" s="589">
        <f t="shared" si="17"/>
        <v>25459.572829747976</v>
      </c>
      <c r="AF82" s="589">
        <f>X82-AE82</f>
        <v>3338.0220262041694</v>
      </c>
      <c r="AG82" s="593">
        <f t="shared" si="18"/>
        <v>0.96</v>
      </c>
      <c r="AH82" s="589">
        <f t="shared" si="19"/>
        <v>29273.428045807661</v>
      </c>
      <c r="AI82" s="589">
        <f t="shared" si="20"/>
        <v>25459.572829747976</v>
      </c>
      <c r="AJ82" s="589">
        <v>0</v>
      </c>
      <c r="AK82" s="596">
        <f t="shared" si="21"/>
        <v>392077.42157811887</v>
      </c>
      <c r="AL82" s="631">
        <v>1</v>
      </c>
      <c r="AM82" s="589">
        <f t="shared" si="23"/>
        <v>33791.851122040163</v>
      </c>
      <c r="AN82" s="589">
        <f t="shared" si="24"/>
        <v>25459.572829747976</v>
      </c>
      <c r="AO82" s="589">
        <f>MIN(AF82,U82)</f>
        <v>3298.6969076571804</v>
      </c>
      <c r="AP82" s="596">
        <f t="shared" si="25"/>
        <v>394716.37910424464</v>
      </c>
      <c r="AQ82"/>
      <c r="AR82"/>
      <c r="AS82"/>
      <c r="AT82"/>
      <c r="AU82"/>
      <c r="AV82"/>
      <c r="AW82"/>
    </row>
    <row r="83" spans="1:49">
      <c r="N83"/>
      <c r="O83">
        <f t="shared" si="5"/>
        <v>16</v>
      </c>
      <c r="P83">
        <f t="shared" si="6"/>
        <v>65</v>
      </c>
      <c r="Q83"/>
      <c r="R83">
        <f t="shared" si="7"/>
        <v>21</v>
      </c>
      <c r="S83">
        <f t="shared" si="3"/>
        <v>86</v>
      </c>
      <c r="T83" s="596">
        <f t="shared" si="8"/>
        <v>31103.017298670642</v>
      </c>
      <c r="U83" s="596">
        <f t="shared" si="9"/>
        <v>3364.670845810324</v>
      </c>
      <c r="V83" s="596">
        <f t="shared" si="10"/>
        <v>26146.981296151171</v>
      </c>
      <c r="W83" s="596">
        <f t="shared" si="11"/>
        <v>3428.1486209116802</v>
      </c>
      <c r="X83" s="596">
        <f t="shared" si="4"/>
        <v>29575.129917062852</v>
      </c>
      <c r="Y83" s="587">
        <f t="shared" si="12"/>
        <v>14.7</v>
      </c>
      <c r="Z83" s="587">
        <f>E72</f>
        <v>0</v>
      </c>
      <c r="AA83" s="587">
        <f t="shared" si="13"/>
        <v>9</v>
      </c>
      <c r="AB83" s="587">
        <f t="shared" si="14"/>
        <v>0</v>
      </c>
      <c r="AC83" s="587">
        <f t="shared" si="15"/>
        <v>0</v>
      </c>
      <c r="AD83" s="593">
        <f t="shared" si="16"/>
        <v>1</v>
      </c>
      <c r="AE83" s="589">
        <f t="shared" si="17"/>
        <v>26146.981296151171</v>
      </c>
      <c r="AF83" s="589">
        <f>X83-AE83</f>
        <v>3428.1486209116811</v>
      </c>
      <c r="AG83" s="631">
        <v>1</v>
      </c>
      <c r="AH83" s="589">
        <f t="shared" si="19"/>
        <v>31103.017298670642</v>
      </c>
      <c r="AI83" s="589">
        <f t="shared" si="20"/>
        <v>26146.981296151171</v>
      </c>
      <c r="AJ83" s="589">
        <v>0</v>
      </c>
      <c r="AK83" s="596">
        <f t="shared" si="21"/>
        <v>384360.62505342218</v>
      </c>
      <c r="AL83" s="631">
        <v>1</v>
      </c>
      <c r="AM83" s="589">
        <f t="shared" si="23"/>
        <v>34467.68814448097</v>
      </c>
      <c r="AN83" s="589">
        <f t="shared" si="24"/>
        <v>26146.981296151171</v>
      </c>
      <c r="AO83" s="589">
        <f>MIN(AF83,U83)</f>
        <v>3364.670845810324</v>
      </c>
      <c r="AP83" s="596">
        <f t="shared" si="25"/>
        <v>384360.62505342218</v>
      </c>
      <c r="AQ83"/>
      <c r="AR83"/>
      <c r="AS83"/>
      <c r="AT83"/>
      <c r="AU83"/>
      <c r="AV83"/>
      <c r="AW83"/>
    </row>
    <row r="84" spans="1:49">
      <c r="C84" s="1629" t="s">
        <v>29</v>
      </c>
      <c r="D84" s="1630"/>
      <c r="E84" s="1630"/>
      <c r="F84" s="1630"/>
      <c r="G84" s="1630"/>
      <c r="H84" s="1630"/>
      <c r="I84" s="1631"/>
      <c r="N84"/>
      <c r="O84"/>
      <c r="P84"/>
      <c r="Q84"/>
      <c r="R84"/>
      <c r="S84"/>
      <c r="T84"/>
      <c r="U84"/>
      <c r="V84"/>
      <c r="W84"/>
      <c r="X84"/>
      <c r="Y84" s="587"/>
      <c r="Z84" s="587"/>
      <c r="AA84" s="587"/>
      <c r="AB84" s="587"/>
      <c r="AC84" s="587"/>
      <c r="AD84" s="587"/>
      <c r="AE84" s="587"/>
      <c r="AF84" s="587"/>
      <c r="AG84" s="587"/>
      <c r="AH84" s="587"/>
      <c r="AI84" s="587"/>
      <c r="AJ84" s="587"/>
      <c r="AK84" s="587"/>
      <c r="AL84"/>
      <c r="AM84"/>
      <c r="AN84"/>
      <c r="AO84"/>
      <c r="AP84"/>
      <c r="AQ84"/>
      <c r="AR84"/>
      <c r="AS84"/>
      <c r="AT84"/>
      <c r="AU84"/>
      <c r="AV84"/>
      <c r="AW84"/>
    </row>
    <row r="85" spans="1:49">
      <c r="C85" s="1632"/>
      <c r="D85" s="1633"/>
      <c r="E85" s="1633"/>
      <c r="F85" s="1633"/>
      <c r="G85" s="1633"/>
      <c r="H85" s="1633"/>
      <c r="I85" s="1634"/>
      <c r="N85"/>
      <c r="O85"/>
      <c r="P85"/>
      <c r="Q85"/>
      <c r="R85"/>
      <c r="S85"/>
      <c r="T85"/>
      <c r="U85"/>
      <c r="V85"/>
      <c r="W85"/>
      <c r="X85"/>
      <c r="Y85" s="587"/>
      <c r="Z85" s="587"/>
      <c r="AA85" s="587"/>
      <c r="AB85" s="587"/>
      <c r="AC85" s="587"/>
      <c r="AD85" s="587"/>
      <c r="AE85" s="587"/>
      <c r="AF85" s="587"/>
      <c r="AG85" s="587"/>
      <c r="AH85" s="587"/>
      <c r="AI85" s="587"/>
      <c r="AJ85" s="590" t="s">
        <v>886</v>
      </c>
      <c r="AK85" s="589">
        <f>MAX(AK73:AK83)</f>
        <v>413668.4982062325</v>
      </c>
      <c r="AN85" s="590"/>
      <c r="AO85" s="590" t="s">
        <v>886</v>
      </c>
      <c r="AP85" s="589">
        <f>MAX(AP73:AP83)</f>
        <v>418813.264427174</v>
      </c>
      <c r="AQ85"/>
      <c r="AR85"/>
      <c r="AS85"/>
      <c r="AT85"/>
      <c r="AU85"/>
      <c r="AV85"/>
      <c r="AW85"/>
    </row>
    <row r="86" spans="1:49">
      <c r="N86"/>
      <c r="O86"/>
      <c r="P86"/>
      <c r="Q86"/>
      <c r="R86"/>
      <c r="S86"/>
      <c r="T86"/>
      <c r="U86"/>
      <c r="V86"/>
      <c r="W86"/>
      <c r="X86"/>
      <c r="Y86" s="587"/>
      <c r="Z86" s="587"/>
      <c r="AA86" s="587"/>
      <c r="AB86" s="587"/>
      <c r="AC86" s="587"/>
      <c r="AD86" s="587"/>
      <c r="AE86" s="587"/>
      <c r="AF86" s="587"/>
      <c r="AG86" s="587"/>
      <c r="AH86" s="587"/>
      <c r="AI86" s="591"/>
      <c r="AJ86" s="590" t="s">
        <v>885</v>
      </c>
      <c r="AK86" s="589">
        <f>AK79</f>
        <v>413668.4982062325</v>
      </c>
      <c r="AN86" s="591"/>
      <c r="AO86" s="590" t="s">
        <v>885</v>
      </c>
      <c r="AP86" s="589">
        <f>_xlfn.XLOOKUP(1,AD73:AD83,AP73:AP83)</f>
        <v>418813.264427174</v>
      </c>
      <c r="AQ86"/>
      <c r="AR86"/>
      <c r="AS86"/>
      <c r="AT86"/>
      <c r="AU86"/>
      <c r="AV86"/>
      <c r="AW86"/>
    </row>
    <row r="87" spans="1:49">
      <c r="A87" s="2" t="s">
        <v>824</v>
      </c>
      <c r="B87" s="2" t="s">
        <v>823</v>
      </c>
      <c r="C87" s="2" t="s">
        <v>278</v>
      </c>
      <c r="N87"/>
      <c r="O87"/>
      <c r="P87"/>
      <c r="Q87"/>
      <c r="R87"/>
      <c r="S87"/>
      <c r="T87"/>
      <c r="U87"/>
      <c r="V87"/>
      <c r="W87"/>
      <c r="X87"/>
      <c r="Y87" s="587"/>
      <c r="Z87" s="587"/>
      <c r="AA87" s="587"/>
      <c r="AB87" s="587"/>
      <c r="AC87" s="587"/>
      <c r="AD87" s="587"/>
      <c r="AE87" s="587"/>
      <c r="AF87" s="587"/>
      <c r="AG87" s="587"/>
      <c r="AH87" s="587"/>
      <c r="AI87" s="587"/>
      <c r="AJ87" s="586" t="s">
        <v>884</v>
      </c>
      <c r="AK87" s="585">
        <f>0.5*SUM(AK85:AK86)</f>
        <v>413668.4982062325</v>
      </c>
      <c r="AN87" s="586"/>
      <c r="AO87" s="586" t="s">
        <v>884</v>
      </c>
      <c r="AP87" s="585">
        <f>0.5*SUM(AP85:AP86)</f>
        <v>418813.264427174</v>
      </c>
      <c r="AQ87"/>
      <c r="AR87"/>
      <c r="AS87"/>
      <c r="AT87"/>
      <c r="AU87"/>
      <c r="AV87"/>
      <c r="AW87"/>
    </row>
    <row r="88" spans="1:49">
      <c r="C88" s="2" t="s">
        <v>822</v>
      </c>
      <c r="N88"/>
      <c r="O88"/>
      <c r="P88"/>
      <c r="Q88"/>
      <c r="R88"/>
      <c r="S88"/>
      <c r="T88"/>
      <c r="U88"/>
      <c r="V88"/>
      <c r="W88"/>
      <c r="X88"/>
      <c r="Y88" s="587"/>
      <c r="Z88" s="587"/>
      <c r="AA88" s="587"/>
      <c r="AB88" s="587"/>
      <c r="AC88" s="587"/>
      <c r="AD88" s="587"/>
      <c r="AE88" s="587"/>
      <c r="AF88" s="587"/>
      <c r="AG88" s="587"/>
      <c r="AH88" s="587"/>
      <c r="AI88" s="587"/>
      <c r="AJ88" s="587"/>
      <c r="AK88" s="587"/>
      <c r="AN88" s="587"/>
      <c r="AO88" s="587"/>
      <c r="AP88"/>
      <c r="AQ88"/>
      <c r="AR88"/>
      <c r="AS88"/>
      <c r="AT88"/>
      <c r="AU88"/>
      <c r="AV88"/>
      <c r="AW88"/>
    </row>
    <row r="89" spans="1:49">
      <c r="C89" s="2" t="s">
        <v>821</v>
      </c>
      <c r="N89"/>
      <c r="O89"/>
      <c r="P89"/>
      <c r="Q89"/>
      <c r="R89"/>
      <c r="S89"/>
      <c r="T89"/>
      <c r="U89"/>
      <c r="V89"/>
      <c r="W89"/>
      <c r="X89"/>
      <c r="Y89" s="587"/>
      <c r="Z89" s="587"/>
      <c r="AA89" s="587"/>
      <c r="AB89" s="587"/>
      <c r="AC89" s="587"/>
      <c r="AD89" s="587"/>
      <c r="AE89" s="587"/>
      <c r="AF89" s="587"/>
      <c r="AG89" s="587"/>
      <c r="AH89" s="587"/>
      <c r="AI89" s="587"/>
      <c r="AJ89" s="590" t="s">
        <v>883</v>
      </c>
      <c r="AK89" s="589">
        <f>0.5*AK87</f>
        <v>206834.24910311625</v>
      </c>
      <c r="AL89"/>
      <c r="AM89"/>
      <c r="AN89" s="590"/>
      <c r="AO89" s="590" t="s">
        <v>883</v>
      </c>
      <c r="AP89" s="589">
        <f>0.5*AP87</f>
        <v>209406.632213587</v>
      </c>
      <c r="AQ89"/>
      <c r="AR89"/>
      <c r="AS89"/>
      <c r="AT89"/>
      <c r="AU89"/>
      <c r="AV89"/>
      <c r="AW89"/>
    </row>
    <row r="90" spans="1:49">
      <c r="N90"/>
      <c r="O90"/>
      <c r="P90"/>
      <c r="Q90"/>
      <c r="R90"/>
      <c r="S90"/>
      <c r="T90"/>
      <c r="U90"/>
      <c r="V90"/>
      <c r="W90"/>
      <c r="X90"/>
      <c r="Y90" s="587"/>
      <c r="Z90" s="587"/>
      <c r="AA90" s="587"/>
      <c r="AB90" s="587"/>
      <c r="AC90" s="587"/>
      <c r="AD90" s="587"/>
      <c r="AE90" s="587"/>
      <c r="AF90" s="587"/>
      <c r="AG90" s="587"/>
      <c r="AH90" s="587"/>
      <c r="AI90" s="587"/>
      <c r="AJ90" s="586" t="s">
        <v>882</v>
      </c>
      <c r="AK90" s="588">
        <f>MAX($D$14-AK89,0)</f>
        <v>0</v>
      </c>
      <c r="AL90" s="587"/>
      <c r="AM90"/>
      <c r="AN90" s="586"/>
      <c r="AO90" s="586" t="s">
        <v>882</v>
      </c>
      <c r="AP90" s="588">
        <f>MAX($D$14-AP89,0)</f>
        <v>0</v>
      </c>
      <c r="AQ90"/>
      <c r="AR90"/>
      <c r="AS90"/>
      <c r="AT90"/>
      <c r="AU90"/>
      <c r="AV90"/>
      <c r="AW90"/>
    </row>
    <row r="91" spans="1:49">
      <c r="C91" s="1629" t="s">
        <v>29</v>
      </c>
      <c r="D91" s="1630"/>
      <c r="E91" s="1630"/>
      <c r="F91" s="1630"/>
      <c r="G91" s="1630"/>
      <c r="H91" s="1630"/>
      <c r="I91" s="1631"/>
      <c r="N91"/>
      <c r="O91"/>
      <c r="P91"/>
      <c r="Q91"/>
      <c r="R91"/>
      <c r="S91"/>
      <c r="T91"/>
      <c r="U91" s="587"/>
      <c r="V91" s="587"/>
      <c r="W91" s="587"/>
      <c r="X91" s="587"/>
      <c r="Y91" s="587"/>
      <c r="Z91" s="587"/>
      <c r="AA91" s="587"/>
      <c r="AB91" s="587"/>
      <c r="AC91" s="587"/>
      <c r="AD91" s="587"/>
      <c r="AE91" s="587"/>
      <c r="AF91" s="587"/>
      <c r="AG91" s="587"/>
      <c r="AH91" s="587"/>
      <c r="AI91" s="587"/>
      <c r="AJ91" s="630" t="s">
        <v>881</v>
      </c>
      <c r="AK91" s="629">
        <f>AK87+AK90</f>
        <v>413668.4982062325</v>
      </c>
      <c r="AL91" s="587"/>
      <c r="AM91"/>
      <c r="AN91" s="586"/>
      <c r="AO91" s="630" t="s">
        <v>881</v>
      </c>
      <c r="AP91" s="629">
        <f>AP87+AP90</f>
        <v>418813.264427174</v>
      </c>
      <c r="AQ91"/>
      <c r="AR91"/>
      <c r="AS91"/>
      <c r="AT91"/>
      <c r="AU91"/>
      <c r="AV91"/>
      <c r="AW91"/>
    </row>
    <row r="92" spans="1:49">
      <c r="C92" s="1632"/>
      <c r="D92" s="1633"/>
      <c r="E92" s="1633"/>
      <c r="F92" s="1633"/>
      <c r="G92" s="1633"/>
      <c r="H92" s="1633"/>
      <c r="I92" s="1634"/>
      <c r="N92"/>
      <c r="O92"/>
      <c r="P92"/>
      <c r="Q92"/>
      <c r="R92"/>
      <c r="S92"/>
      <c r="T92"/>
      <c r="U92" s="587"/>
      <c r="V92" s="587"/>
      <c r="W92" s="587"/>
      <c r="X92" s="587"/>
      <c r="Y92" s="587"/>
      <c r="Z92" s="587"/>
      <c r="AA92" s="587"/>
      <c r="AB92" s="587"/>
      <c r="AC92" s="587"/>
      <c r="AD92" s="587"/>
      <c r="AE92" s="587"/>
      <c r="AF92" s="587"/>
      <c r="AG92" s="587"/>
      <c r="AH92" s="586"/>
      <c r="AI92" s="586"/>
      <c r="AJ92" s="586"/>
      <c r="AK92" s="585"/>
      <c r="AL92"/>
      <c r="AM92" s="586"/>
      <c r="AN92" s="586"/>
      <c r="AO92" s="586"/>
      <c r="AP92" s="585"/>
      <c r="AQ92"/>
      <c r="AR92"/>
      <c r="AS92"/>
      <c r="AT92"/>
      <c r="AU92"/>
      <c r="AV92"/>
      <c r="AW92"/>
    </row>
    <row r="93" spans="1:49">
      <c r="N93"/>
      <c r="O93" s="639" t="s">
        <v>66</v>
      </c>
      <c r="P93" s="638"/>
      <c r="Q93" s="636"/>
      <c r="R93" s="636"/>
      <c r="S93" s="636"/>
      <c r="T93" s="636"/>
      <c r="U93" s="637"/>
      <c r="V93" s="637"/>
      <c r="W93" s="637"/>
      <c r="X93" s="637"/>
      <c r="Y93" s="637"/>
      <c r="Z93" s="637"/>
      <c r="AA93" s="637"/>
      <c r="AB93" s="637"/>
      <c r="AC93" s="637"/>
      <c r="AD93" s="637"/>
      <c r="AE93" s="637"/>
      <c r="AF93" s="637"/>
      <c r="AG93" s="637"/>
      <c r="AH93" s="637"/>
      <c r="AI93" s="637"/>
      <c r="AJ93" s="637"/>
      <c r="AK93" s="637"/>
      <c r="AL93" s="636"/>
      <c r="AM93" s="636"/>
      <c r="AN93" s="636"/>
      <c r="AO93" s="636"/>
      <c r="AP93" s="636"/>
      <c r="AQ93"/>
      <c r="AR93"/>
      <c r="AS93"/>
      <c r="AT93"/>
      <c r="AU93"/>
      <c r="AV93"/>
      <c r="AW93"/>
    </row>
    <row r="94" spans="1:49">
      <c r="N94"/>
      <c r="O94"/>
      <c r="P94"/>
      <c r="Q94"/>
      <c r="R94"/>
      <c r="S94"/>
      <c r="T94"/>
      <c r="U94"/>
      <c r="V94"/>
      <c r="W94"/>
      <c r="X94"/>
      <c r="Y94"/>
      <c r="Z94"/>
      <c r="AA94"/>
      <c r="AB94"/>
      <c r="AC94"/>
      <c r="AD94"/>
      <c r="AE94"/>
      <c r="AF94"/>
      <c r="AG94"/>
      <c r="AH94"/>
      <c r="AI94"/>
      <c r="AJ94"/>
      <c r="AK94"/>
      <c r="AL94"/>
      <c r="AM94"/>
      <c r="AN94"/>
      <c r="AO94"/>
      <c r="AP94"/>
      <c r="AQ94"/>
      <c r="AR94"/>
      <c r="AS94"/>
      <c r="AT94"/>
      <c r="AU94"/>
      <c r="AV94"/>
      <c r="AW94"/>
    </row>
    <row r="95" spans="1:49">
      <c r="N95"/>
      <c r="O95"/>
      <c r="P95" s="601" t="s">
        <v>322</v>
      </c>
      <c r="Q95" s="601" t="s">
        <v>252</v>
      </c>
      <c r="R95" s="601" t="s">
        <v>320</v>
      </c>
      <c r="S95" s="601" t="s">
        <v>319</v>
      </c>
      <c r="T95" s="601" t="s">
        <v>912</v>
      </c>
      <c r="U95" s="601" t="s">
        <v>911</v>
      </c>
      <c r="V95" s="601" t="s">
        <v>873</v>
      </c>
      <c r="W95"/>
      <c r="X95"/>
      <c r="Y95"/>
      <c r="Z95"/>
      <c r="AA95"/>
      <c r="AB95"/>
      <c r="AC95"/>
      <c r="AD95"/>
      <c r="AE95"/>
      <c r="AF95"/>
      <c r="AG95"/>
      <c r="AH95"/>
      <c r="AI95"/>
      <c r="AJ95"/>
      <c r="AK95"/>
      <c r="AL95"/>
      <c r="AM95"/>
      <c r="AN95"/>
      <c r="AO95"/>
      <c r="AP95"/>
      <c r="AQ95"/>
      <c r="AR95"/>
      <c r="AS95"/>
      <c r="AT95"/>
      <c r="AU95"/>
      <c r="AV95"/>
      <c r="AW95"/>
    </row>
    <row r="96" spans="1:49">
      <c r="N96"/>
      <c r="O96"/>
      <c r="P96">
        <f t="shared" ref="P96:P109" si="26">P97-1</f>
        <v>2009</v>
      </c>
      <c r="R96" s="587">
        <f t="shared" ref="R96:R110" si="27">F18</f>
        <v>1</v>
      </c>
      <c r="S96" s="600">
        <f t="shared" ref="S96:S110" si="28">G18</f>
        <v>75000</v>
      </c>
      <c r="T96" s="635">
        <f>AVERAGE(S96)</f>
        <v>75000</v>
      </c>
      <c r="U96" s="589">
        <f t="shared" ref="U96:V110" si="29">U46</f>
        <v>2444.44</v>
      </c>
      <c r="V96" s="600">
        <f t="shared" si="29"/>
        <v>46300</v>
      </c>
      <c r="W96"/>
      <c r="X96"/>
      <c r="Y96"/>
      <c r="Z96"/>
      <c r="AA96"/>
      <c r="AB96"/>
      <c r="AC96"/>
      <c r="AD96"/>
      <c r="AE96"/>
      <c r="AF96"/>
      <c r="AG96"/>
      <c r="AH96"/>
      <c r="AI96"/>
      <c r="AJ96"/>
      <c r="AK96"/>
      <c r="AL96"/>
      <c r="AM96"/>
      <c r="AN96"/>
      <c r="AO96"/>
      <c r="AP96"/>
      <c r="AQ96"/>
      <c r="AR96"/>
      <c r="AS96"/>
      <c r="AT96"/>
      <c r="AU96"/>
      <c r="AV96"/>
      <c r="AW96"/>
    </row>
    <row r="97" spans="14:49">
      <c r="N97"/>
      <c r="O97"/>
      <c r="P97">
        <f t="shared" si="26"/>
        <v>2010</v>
      </c>
      <c r="R97" s="587">
        <f t="shared" si="27"/>
        <v>1</v>
      </c>
      <c r="S97" s="600">
        <f t="shared" si="28"/>
        <v>77500</v>
      </c>
      <c r="T97" s="635">
        <f>AVERAGE($S$96:S97)</f>
        <v>76250</v>
      </c>
      <c r="U97" s="589">
        <f t="shared" si="29"/>
        <v>2494.44</v>
      </c>
      <c r="V97" s="600">
        <f t="shared" si="29"/>
        <v>47200</v>
      </c>
      <c r="W97"/>
      <c r="X97"/>
      <c r="Y97"/>
      <c r="Z97"/>
      <c r="AA97"/>
      <c r="AB97"/>
      <c r="AC97"/>
      <c r="AD97"/>
      <c r="AE97"/>
      <c r="AF97"/>
      <c r="AG97"/>
      <c r="AH97"/>
      <c r="AI97"/>
      <c r="AJ97"/>
      <c r="AK97"/>
      <c r="AL97"/>
      <c r="AM97"/>
      <c r="AN97"/>
      <c r="AO97"/>
      <c r="AP97"/>
      <c r="AQ97"/>
      <c r="AR97"/>
      <c r="AS97"/>
      <c r="AT97"/>
      <c r="AU97"/>
      <c r="AV97"/>
      <c r="AW97"/>
    </row>
    <row r="98" spans="14:49">
      <c r="N98"/>
      <c r="O98"/>
      <c r="P98">
        <f t="shared" si="26"/>
        <v>2011</v>
      </c>
      <c r="R98" s="587">
        <f t="shared" si="27"/>
        <v>1</v>
      </c>
      <c r="S98" s="600">
        <f t="shared" si="28"/>
        <v>80000</v>
      </c>
      <c r="T98" s="635">
        <f>AVERAGE($S$96:S98)</f>
        <v>77500</v>
      </c>
      <c r="U98" s="589">
        <f t="shared" si="29"/>
        <v>2552.2199999999998</v>
      </c>
      <c r="V98" s="600">
        <f t="shared" si="29"/>
        <v>48300</v>
      </c>
      <c r="W98"/>
      <c r="X98"/>
      <c r="Y98"/>
      <c r="Z98"/>
      <c r="AA98"/>
      <c r="AB98"/>
      <c r="AC98"/>
      <c r="AD98"/>
      <c r="AE98"/>
      <c r="AF98"/>
      <c r="AG98"/>
      <c r="AH98"/>
      <c r="AI98"/>
      <c r="AJ98"/>
      <c r="AK98"/>
      <c r="AL98"/>
      <c r="AM98"/>
      <c r="AN98"/>
      <c r="AO98"/>
      <c r="AP98"/>
      <c r="AQ98"/>
      <c r="AR98"/>
      <c r="AS98"/>
      <c r="AT98"/>
      <c r="AU98"/>
      <c r="AV98"/>
      <c r="AW98"/>
    </row>
    <row r="99" spans="14:49">
      <c r="N99"/>
      <c r="O99"/>
      <c r="P99">
        <f t="shared" si="26"/>
        <v>2012</v>
      </c>
      <c r="R99" s="587">
        <f t="shared" si="27"/>
        <v>1</v>
      </c>
      <c r="S99" s="600">
        <f t="shared" si="28"/>
        <v>82400</v>
      </c>
      <c r="T99" s="635">
        <f>AVERAGE($S$96:S99)</f>
        <v>78725</v>
      </c>
      <c r="U99" s="589">
        <f t="shared" si="29"/>
        <v>2646.67</v>
      </c>
      <c r="V99" s="600">
        <f t="shared" si="29"/>
        <v>50100</v>
      </c>
      <c r="W99"/>
      <c r="X99"/>
      <c r="Y99"/>
      <c r="Z99"/>
      <c r="AA99"/>
      <c r="AB99"/>
      <c r="AC99"/>
      <c r="AD99"/>
      <c r="AE99"/>
      <c r="AF99"/>
      <c r="AG99"/>
      <c r="AH99"/>
      <c r="AI99"/>
      <c r="AJ99"/>
      <c r="AK99"/>
      <c r="AL99"/>
      <c r="AM99"/>
      <c r="AN99"/>
      <c r="AO99"/>
      <c r="AP99"/>
      <c r="AQ99"/>
      <c r="AR99"/>
      <c r="AS99"/>
      <c r="AT99"/>
      <c r="AU99"/>
      <c r="AV99"/>
      <c r="AW99"/>
    </row>
    <row r="100" spans="14:49">
      <c r="N100"/>
      <c r="O100"/>
      <c r="P100">
        <f t="shared" si="26"/>
        <v>2013</v>
      </c>
      <c r="R100" s="587">
        <f t="shared" si="27"/>
        <v>1</v>
      </c>
      <c r="S100" s="600">
        <f t="shared" si="28"/>
        <v>83000</v>
      </c>
      <c r="T100" s="635">
        <f>AVERAGE($S$96:S100)</f>
        <v>79580</v>
      </c>
      <c r="U100" s="589">
        <f t="shared" si="29"/>
        <v>2696.67</v>
      </c>
      <c r="V100" s="600">
        <f t="shared" si="29"/>
        <v>51100</v>
      </c>
      <c r="W100"/>
      <c r="X100"/>
      <c r="Y100"/>
      <c r="Z100"/>
      <c r="AA100"/>
      <c r="AB100"/>
      <c r="AC100"/>
      <c r="AD100"/>
      <c r="AE100"/>
      <c r="AF100"/>
      <c r="AG100"/>
      <c r="AH100"/>
      <c r="AI100"/>
      <c r="AJ100"/>
      <c r="AK100"/>
      <c r="AL100"/>
      <c r="AM100"/>
      <c r="AN100"/>
      <c r="AO100"/>
      <c r="AP100"/>
      <c r="AQ100"/>
      <c r="AR100"/>
      <c r="AS100"/>
      <c r="AT100"/>
      <c r="AU100"/>
      <c r="AV100"/>
      <c r="AW100"/>
    </row>
    <row r="101" spans="14:49">
      <c r="N101"/>
      <c r="O101"/>
      <c r="P101">
        <f t="shared" si="26"/>
        <v>2014</v>
      </c>
      <c r="R101" s="587">
        <f t="shared" si="27"/>
        <v>1</v>
      </c>
      <c r="S101" s="600">
        <f t="shared" si="28"/>
        <v>85200</v>
      </c>
      <c r="T101" s="600">
        <f t="shared" ref="T101:T110" si="30">AVERAGE(S97:S101)</f>
        <v>81620</v>
      </c>
      <c r="U101" s="589">
        <f t="shared" si="29"/>
        <v>2770</v>
      </c>
      <c r="V101" s="600">
        <f t="shared" si="29"/>
        <v>52500</v>
      </c>
      <c r="W101"/>
      <c r="X101"/>
      <c r="Y101"/>
      <c r="Z101"/>
      <c r="AA101"/>
      <c r="AB101"/>
      <c r="AC101"/>
      <c r="AD101"/>
      <c r="AE101"/>
      <c r="AF101"/>
      <c r="AG101"/>
      <c r="AH101"/>
      <c r="AI101"/>
      <c r="AJ101"/>
      <c r="AK101"/>
      <c r="AL101"/>
      <c r="AM101"/>
      <c r="AN101"/>
      <c r="AO101"/>
      <c r="AP101"/>
      <c r="AQ101"/>
      <c r="AR101"/>
      <c r="AS101"/>
      <c r="AT101"/>
      <c r="AU101"/>
      <c r="AV101"/>
      <c r="AW101"/>
    </row>
    <row r="102" spans="14:49">
      <c r="N102"/>
      <c r="O102"/>
      <c r="P102">
        <f t="shared" si="26"/>
        <v>2015</v>
      </c>
      <c r="R102" s="587">
        <f t="shared" si="27"/>
        <v>1</v>
      </c>
      <c r="S102" s="600">
        <f t="shared" si="28"/>
        <v>85700</v>
      </c>
      <c r="T102" s="600">
        <f t="shared" si="30"/>
        <v>83260</v>
      </c>
      <c r="U102" s="589">
        <f t="shared" si="29"/>
        <v>2818.89</v>
      </c>
      <c r="V102" s="600">
        <f t="shared" si="29"/>
        <v>53600</v>
      </c>
      <c r="W102"/>
      <c r="X102"/>
      <c r="Y102"/>
      <c r="Z102"/>
      <c r="AA102"/>
      <c r="AB102"/>
      <c r="AC102"/>
      <c r="AD102"/>
      <c r="AE102"/>
      <c r="AF102"/>
      <c r="AG102"/>
      <c r="AH102"/>
      <c r="AI102"/>
      <c r="AJ102"/>
      <c r="AK102"/>
      <c r="AL102"/>
      <c r="AM102"/>
      <c r="AN102"/>
      <c r="AO102"/>
      <c r="AP102"/>
      <c r="AQ102"/>
      <c r="AR102"/>
      <c r="AS102"/>
      <c r="AT102"/>
      <c r="AU102"/>
      <c r="AV102"/>
      <c r="AW102"/>
    </row>
    <row r="103" spans="14:49">
      <c r="N103"/>
      <c r="O103"/>
      <c r="P103">
        <f t="shared" si="26"/>
        <v>2016</v>
      </c>
      <c r="R103" s="587">
        <f t="shared" si="27"/>
        <v>1</v>
      </c>
      <c r="S103" s="600">
        <f t="shared" si="28"/>
        <v>85900</v>
      </c>
      <c r="T103" s="600">
        <f t="shared" si="30"/>
        <v>84440</v>
      </c>
      <c r="U103" s="589">
        <f t="shared" si="29"/>
        <v>2890</v>
      </c>
      <c r="V103" s="600">
        <f t="shared" si="29"/>
        <v>54900</v>
      </c>
      <c r="W103"/>
      <c r="X103"/>
      <c r="Y103"/>
      <c r="Z103"/>
      <c r="AA103"/>
      <c r="AB103"/>
      <c r="AC103"/>
      <c r="AD103"/>
      <c r="AE103"/>
      <c r="AF103"/>
      <c r="AG103"/>
      <c r="AH103"/>
      <c r="AI103"/>
      <c r="AJ103"/>
      <c r="AK103"/>
      <c r="AL103"/>
      <c r="AM103"/>
      <c r="AN103"/>
      <c r="AO103"/>
      <c r="AP103"/>
      <c r="AQ103"/>
      <c r="AR103"/>
      <c r="AS103"/>
      <c r="AT103"/>
      <c r="AU103"/>
      <c r="AV103"/>
      <c r="AW103"/>
    </row>
    <row r="104" spans="14:49">
      <c r="N104"/>
      <c r="O104"/>
      <c r="P104">
        <f t="shared" si="26"/>
        <v>2017</v>
      </c>
      <c r="R104" s="587">
        <f t="shared" si="27"/>
        <v>1</v>
      </c>
      <c r="S104" s="600">
        <f t="shared" si="28"/>
        <v>86400</v>
      </c>
      <c r="T104" s="600">
        <f t="shared" si="30"/>
        <v>85240</v>
      </c>
      <c r="U104" s="589">
        <f t="shared" si="29"/>
        <v>2914.44</v>
      </c>
      <c r="V104" s="600">
        <f t="shared" si="29"/>
        <v>55300</v>
      </c>
      <c r="W104"/>
      <c r="X104"/>
      <c r="Y104"/>
      <c r="Z104"/>
      <c r="AA104"/>
      <c r="AB104"/>
      <c r="AC104"/>
      <c r="AD104"/>
      <c r="AE104"/>
      <c r="AF104"/>
      <c r="AG104"/>
      <c r="AH104"/>
      <c r="AI104"/>
      <c r="AJ104"/>
      <c r="AK104"/>
      <c r="AL104"/>
      <c r="AM104"/>
      <c r="AN104"/>
      <c r="AO104"/>
      <c r="AP104"/>
      <c r="AQ104"/>
      <c r="AR104"/>
      <c r="AS104"/>
      <c r="AT104"/>
      <c r="AU104"/>
      <c r="AV104"/>
      <c r="AW104"/>
    </row>
    <row r="105" spans="14:49">
      <c r="N105"/>
      <c r="O105"/>
      <c r="P105">
        <f t="shared" si="26"/>
        <v>2018</v>
      </c>
      <c r="R105" s="587">
        <f t="shared" si="27"/>
        <v>1</v>
      </c>
      <c r="S105" s="600">
        <f t="shared" si="28"/>
        <v>84800</v>
      </c>
      <c r="T105" s="600">
        <f t="shared" si="30"/>
        <v>85600</v>
      </c>
      <c r="U105" s="589">
        <f t="shared" si="29"/>
        <v>2944.44</v>
      </c>
      <c r="V105" s="600">
        <f t="shared" si="29"/>
        <v>55900</v>
      </c>
      <c r="W105"/>
      <c r="X105"/>
      <c r="Y105"/>
      <c r="Z105"/>
      <c r="AA105"/>
      <c r="AB105"/>
      <c r="AC105"/>
      <c r="AD105"/>
      <c r="AE105"/>
      <c r="AF105"/>
      <c r="AG105"/>
      <c r="AH105"/>
      <c r="AI105"/>
      <c r="AJ105"/>
      <c r="AK105"/>
      <c r="AL105"/>
      <c r="AM105"/>
      <c r="AN105"/>
      <c r="AO105"/>
      <c r="AP105"/>
      <c r="AQ105"/>
      <c r="AR105"/>
      <c r="AS105"/>
      <c r="AT105"/>
      <c r="AU105"/>
      <c r="AV105"/>
      <c r="AW105"/>
    </row>
    <row r="106" spans="14:49">
      <c r="N106"/>
      <c r="O106"/>
      <c r="P106">
        <f t="shared" si="26"/>
        <v>2019</v>
      </c>
      <c r="R106" s="587">
        <f t="shared" si="27"/>
        <v>1</v>
      </c>
      <c r="S106" s="600">
        <f t="shared" si="28"/>
        <v>84800</v>
      </c>
      <c r="T106" s="600">
        <f t="shared" si="30"/>
        <v>85520</v>
      </c>
      <c r="U106" s="589">
        <f t="shared" si="29"/>
        <v>3025.56</v>
      </c>
      <c r="V106" s="600">
        <f t="shared" si="29"/>
        <v>57400</v>
      </c>
      <c r="W106"/>
      <c r="X106"/>
      <c r="Y106"/>
      <c r="Z106"/>
      <c r="AA106"/>
      <c r="AB106"/>
      <c r="AC106"/>
      <c r="AD106"/>
      <c r="AE106"/>
      <c r="AF106"/>
      <c r="AG106"/>
      <c r="AH106"/>
      <c r="AI106"/>
      <c r="AJ106"/>
      <c r="AK106"/>
      <c r="AL106"/>
      <c r="AM106"/>
      <c r="AN106"/>
      <c r="AO106"/>
      <c r="AP106"/>
      <c r="AQ106"/>
      <c r="AR106"/>
      <c r="AS106"/>
      <c r="AT106"/>
      <c r="AU106"/>
      <c r="AV106"/>
      <c r="AW106"/>
    </row>
    <row r="107" spans="14:49">
      <c r="N107"/>
      <c r="O107"/>
      <c r="P107">
        <f t="shared" si="26"/>
        <v>2020</v>
      </c>
      <c r="R107" s="587">
        <f t="shared" si="27"/>
        <v>1</v>
      </c>
      <c r="S107" s="600">
        <f t="shared" si="28"/>
        <v>85100</v>
      </c>
      <c r="T107" s="600">
        <f t="shared" si="30"/>
        <v>85400</v>
      </c>
      <c r="U107" s="589">
        <f t="shared" si="29"/>
        <v>3092.22</v>
      </c>
      <c r="V107" s="600">
        <f t="shared" si="29"/>
        <v>58700</v>
      </c>
      <c r="W107"/>
      <c r="X107"/>
      <c r="Y107"/>
      <c r="Z107"/>
      <c r="AA107"/>
      <c r="AB107"/>
      <c r="AC107"/>
      <c r="AD107"/>
      <c r="AE107"/>
      <c r="AF107"/>
      <c r="AG107"/>
      <c r="AH107"/>
      <c r="AI107"/>
      <c r="AJ107"/>
      <c r="AK107"/>
      <c r="AL107"/>
      <c r="AM107"/>
      <c r="AN107"/>
      <c r="AO107"/>
      <c r="AP107"/>
      <c r="AQ107"/>
      <c r="AR107"/>
      <c r="AS107"/>
      <c r="AT107"/>
      <c r="AU107"/>
      <c r="AV107"/>
      <c r="AW107"/>
    </row>
    <row r="108" spans="14:49">
      <c r="N108"/>
      <c r="O108"/>
      <c r="P108">
        <f t="shared" si="26"/>
        <v>2021</v>
      </c>
      <c r="R108" s="587">
        <f t="shared" si="27"/>
        <v>1</v>
      </c>
      <c r="S108" s="600">
        <f t="shared" si="28"/>
        <v>85400</v>
      </c>
      <c r="T108" s="600">
        <f t="shared" si="30"/>
        <v>85300</v>
      </c>
      <c r="U108" s="589">
        <f t="shared" si="29"/>
        <v>3245.56</v>
      </c>
      <c r="V108" s="600">
        <f t="shared" si="29"/>
        <v>61600</v>
      </c>
      <c r="W108"/>
      <c r="X108"/>
      <c r="Y108"/>
      <c r="Z108"/>
      <c r="AA108"/>
      <c r="AB108"/>
      <c r="AC108"/>
      <c r="AD108"/>
      <c r="AE108"/>
      <c r="AF108"/>
      <c r="AG108"/>
      <c r="AH108"/>
      <c r="AI108"/>
      <c r="AJ108"/>
      <c r="AK108"/>
      <c r="AL108"/>
      <c r="AM108"/>
      <c r="AN108"/>
      <c r="AO108"/>
      <c r="AP108"/>
      <c r="AQ108"/>
      <c r="AR108"/>
      <c r="AS108"/>
      <c r="AT108"/>
      <c r="AU108"/>
      <c r="AV108"/>
      <c r="AW108"/>
    </row>
    <row r="109" spans="14:49">
      <c r="N109"/>
      <c r="O109"/>
      <c r="P109">
        <f t="shared" si="26"/>
        <v>2022</v>
      </c>
      <c r="R109" s="587">
        <f t="shared" si="27"/>
        <v>1</v>
      </c>
      <c r="S109" s="600">
        <f t="shared" si="28"/>
        <v>86000</v>
      </c>
      <c r="T109" s="600">
        <f t="shared" si="30"/>
        <v>85220</v>
      </c>
      <c r="U109" s="589">
        <f t="shared" si="29"/>
        <v>3420</v>
      </c>
      <c r="V109" s="600">
        <f t="shared" si="29"/>
        <v>64900</v>
      </c>
      <c r="W109"/>
      <c r="X109"/>
      <c r="Y109"/>
      <c r="Z109"/>
      <c r="AA109"/>
      <c r="AB109"/>
      <c r="AC109"/>
      <c r="AD109"/>
      <c r="AE109"/>
      <c r="AF109"/>
      <c r="AG109"/>
      <c r="AH109"/>
      <c r="AI109"/>
      <c r="AJ109"/>
      <c r="AK109"/>
      <c r="AL109"/>
      <c r="AM109"/>
      <c r="AN109"/>
      <c r="AO109"/>
      <c r="AP109"/>
      <c r="AQ109"/>
      <c r="AR109"/>
      <c r="AS109"/>
      <c r="AT109"/>
      <c r="AU109"/>
      <c r="AV109"/>
      <c r="AW109"/>
    </row>
    <row r="110" spans="14:49">
      <c r="N110"/>
      <c r="O110"/>
      <c r="P110">
        <v>2023</v>
      </c>
      <c r="Q110" s="587">
        <f>DATEDIF(E10,E11,"M")/12</f>
        <v>35</v>
      </c>
      <c r="R110" s="587">
        <f t="shared" si="27"/>
        <v>1</v>
      </c>
      <c r="S110" s="600">
        <f t="shared" si="28"/>
        <v>86500</v>
      </c>
      <c r="T110" s="600">
        <f t="shared" si="30"/>
        <v>85560</v>
      </c>
      <c r="U110" s="589">
        <f t="shared" si="29"/>
        <v>3506.67</v>
      </c>
      <c r="V110" s="600">
        <f t="shared" si="29"/>
        <v>66600</v>
      </c>
      <c r="W110" s="587"/>
      <c r="X110" s="587"/>
      <c r="Y110"/>
      <c r="Z110"/>
      <c r="AA110"/>
      <c r="AB110"/>
      <c r="AC110"/>
      <c r="AD110"/>
      <c r="AE110"/>
      <c r="AF110"/>
      <c r="AG110"/>
      <c r="AH110"/>
      <c r="AI110"/>
      <c r="AJ110"/>
      <c r="AK110"/>
      <c r="AL110"/>
      <c r="AM110"/>
      <c r="AN110"/>
      <c r="AO110"/>
      <c r="AP110"/>
      <c r="AQ110"/>
      <c r="AR110"/>
      <c r="AS110"/>
      <c r="AT110"/>
      <c r="AU110"/>
      <c r="AV110"/>
      <c r="AW110"/>
    </row>
    <row r="111" spans="14:49">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row>
    <row r="112" spans="14:49">
      <c r="N112"/>
      <c r="O112"/>
      <c r="P112"/>
      <c r="Q112"/>
      <c r="R112" s="590" t="s">
        <v>910</v>
      </c>
      <c r="S112" s="600" t="str">
        <f>IF((Q110+E13)&gt;55,"Y","N")</f>
        <v>N</v>
      </c>
      <c r="T112"/>
      <c r="U112"/>
      <c r="V112"/>
      <c r="W112"/>
      <c r="X112"/>
      <c r="Y112"/>
      <c r="Z112"/>
      <c r="AA112"/>
      <c r="AB112"/>
      <c r="AC112"/>
      <c r="AD112"/>
      <c r="AE112"/>
      <c r="AF112"/>
      <c r="AH112"/>
      <c r="AI112"/>
      <c r="AJ112"/>
      <c r="AK112"/>
      <c r="AL112"/>
      <c r="AM112"/>
      <c r="AN112"/>
      <c r="AO112"/>
      <c r="AP112"/>
      <c r="AQ112"/>
      <c r="AR112"/>
      <c r="AS112"/>
      <c r="AT112"/>
      <c r="AU112"/>
      <c r="AV112"/>
      <c r="AW112"/>
    </row>
    <row r="113" spans="14:49">
      <c r="N113"/>
      <c r="O113"/>
      <c r="P113"/>
      <c r="Q113"/>
      <c r="R113" s="590" t="s">
        <v>909</v>
      </c>
      <c r="S113" s="324">
        <f>MAX(T96:T110)</f>
        <v>85600</v>
      </c>
      <c r="T113"/>
      <c r="U113"/>
      <c r="V113"/>
      <c r="W113"/>
      <c r="X113"/>
      <c r="Y113"/>
      <c r="Z113"/>
      <c r="AA113"/>
      <c r="AB113"/>
      <c r="AC113"/>
      <c r="AD113"/>
      <c r="AE113"/>
      <c r="AF113"/>
      <c r="AG113"/>
      <c r="AH113"/>
      <c r="AI113"/>
      <c r="AJ113"/>
      <c r="AK113"/>
      <c r="AL113"/>
      <c r="AM113"/>
      <c r="AN113"/>
      <c r="AO113"/>
      <c r="AP113"/>
      <c r="AQ113"/>
      <c r="AR113"/>
      <c r="AS113"/>
      <c r="AT113"/>
      <c r="AU113"/>
      <c r="AV113"/>
      <c r="AW113"/>
    </row>
    <row r="114" spans="14:49">
      <c r="N114"/>
      <c r="O114"/>
      <c r="P114"/>
      <c r="Q114"/>
      <c r="R114"/>
      <c r="S114"/>
      <c r="T114"/>
      <c r="U114"/>
      <c r="V114"/>
      <c r="W114"/>
      <c r="X114"/>
      <c r="Y114" s="587"/>
      <c r="Z114" s="587"/>
      <c r="AA114" s="1834" t="s">
        <v>908</v>
      </c>
      <c r="AB114" s="1834"/>
      <c r="AC114" s="1834"/>
      <c r="AD114" s="1834"/>
      <c r="AE114" s="1834"/>
      <c r="AF114" s="634"/>
      <c r="AG114" s="1835" t="s">
        <v>440</v>
      </c>
      <c r="AH114" s="1835"/>
      <c r="AI114" s="1835"/>
      <c r="AJ114" s="1835"/>
      <c r="AK114" s="1835"/>
      <c r="AL114" s="1836" t="s">
        <v>907</v>
      </c>
      <c r="AM114" s="1836"/>
      <c r="AN114" s="1836"/>
      <c r="AO114" s="1836"/>
      <c r="AP114" s="1836"/>
      <c r="AQ114"/>
      <c r="AR114"/>
      <c r="AS114"/>
      <c r="AT114"/>
      <c r="AU114"/>
      <c r="AV114"/>
      <c r="AW114"/>
    </row>
    <row r="115" spans="14:49" ht="72">
      <c r="N115"/>
      <c r="O115"/>
      <c r="P115" t="s">
        <v>252</v>
      </c>
      <c r="Q115" s="598" t="s">
        <v>804</v>
      </c>
      <c r="R115" s="598" t="s">
        <v>906</v>
      </c>
      <c r="S115" s="598" t="s">
        <v>905</v>
      </c>
      <c r="T115" s="598" t="s">
        <v>904</v>
      </c>
      <c r="U115" s="598" t="s">
        <v>903</v>
      </c>
      <c r="V115" s="598" t="s">
        <v>902</v>
      </c>
      <c r="W115" s="598" t="s">
        <v>901</v>
      </c>
      <c r="X115" s="598" t="s">
        <v>900</v>
      </c>
      <c r="Y115" s="598" t="s">
        <v>899</v>
      </c>
      <c r="Z115" s="598" t="s">
        <v>898</v>
      </c>
      <c r="AA115" s="598" t="s">
        <v>897</v>
      </c>
      <c r="AB115" s="598" t="s">
        <v>896</v>
      </c>
      <c r="AC115" s="598" t="s">
        <v>895</v>
      </c>
      <c r="AD115" s="598" t="s">
        <v>894</v>
      </c>
      <c r="AE115" s="598" t="s">
        <v>893</v>
      </c>
      <c r="AF115" s="598" t="s">
        <v>892</v>
      </c>
      <c r="AG115" s="598" t="s">
        <v>890</v>
      </c>
      <c r="AH115" s="598" t="s">
        <v>889</v>
      </c>
      <c r="AI115" s="598" t="s">
        <v>888</v>
      </c>
      <c r="AJ115" s="598" t="s">
        <v>891</v>
      </c>
      <c r="AK115" s="598" t="s">
        <v>41</v>
      </c>
      <c r="AL115" s="598" t="s">
        <v>890</v>
      </c>
      <c r="AM115" s="598" t="s">
        <v>889</v>
      </c>
      <c r="AN115" s="598" t="s">
        <v>888</v>
      </c>
      <c r="AO115" s="598" t="s">
        <v>887</v>
      </c>
      <c r="AP115" s="598" t="s">
        <v>41</v>
      </c>
      <c r="AQ115"/>
      <c r="AR115"/>
      <c r="AS115"/>
      <c r="AT115"/>
      <c r="AU115"/>
      <c r="AV115"/>
      <c r="AW115"/>
    </row>
    <row r="116" spans="14:49">
      <c r="N116"/>
      <c r="O116">
        <v>1</v>
      </c>
      <c r="P116" s="633">
        <f>Q110</f>
        <v>35</v>
      </c>
      <c r="Q116" s="633">
        <f>E12</f>
        <v>15</v>
      </c>
      <c r="R116" s="633">
        <f>E13</f>
        <v>15</v>
      </c>
      <c r="S116" s="597">
        <f t="shared" ref="S116:S146" si="31">P116+R116</f>
        <v>50</v>
      </c>
      <c r="T116" s="632">
        <f>2%*$S$113*Q116</f>
        <v>25680</v>
      </c>
      <c r="U116" s="632">
        <f>500*R116</f>
        <v>7500</v>
      </c>
      <c r="V116" s="632">
        <f>$U$110*Q116</f>
        <v>52600.05</v>
      </c>
      <c r="W116" s="632">
        <f>25%*AVERAGE($V$108:$V$110)*Q116/35</f>
        <v>6896.4285714285716</v>
      </c>
      <c r="X116" s="596">
        <f t="shared" ref="X116:X146" si="32">SUM(V116:W116)</f>
        <v>59496.478571428575</v>
      </c>
      <c r="Y116" s="589"/>
      <c r="Z116" s="589"/>
      <c r="AA116" s="589"/>
      <c r="AB116" s="589"/>
      <c r="AC116" s="589"/>
      <c r="AD116" s="589"/>
      <c r="AE116" s="589"/>
      <c r="AF116" s="589"/>
      <c r="AG116" s="587"/>
      <c r="AH116" s="587"/>
      <c r="AI116" s="587"/>
      <c r="AJ116" s="587"/>
      <c r="AK116" s="587"/>
      <c r="AL116" s="587"/>
      <c r="AM116"/>
      <c r="AN116"/>
      <c r="AO116"/>
      <c r="AP116"/>
      <c r="AQ116"/>
      <c r="AR116"/>
      <c r="AS116"/>
      <c r="AT116"/>
      <c r="AU116"/>
      <c r="AV116"/>
      <c r="AW116"/>
    </row>
    <row r="117" spans="14:49">
      <c r="N117"/>
      <c r="O117">
        <f t="shared" ref="O117:O146" si="33">O116+1</f>
        <v>2</v>
      </c>
      <c r="P117">
        <f t="shared" ref="P117:P146" si="34">P116+1</f>
        <v>36</v>
      </c>
      <c r="Q117"/>
      <c r="R117">
        <f t="shared" ref="R117:R146" si="35">R116+1</f>
        <v>16</v>
      </c>
      <c r="S117" s="597">
        <f t="shared" si="31"/>
        <v>52</v>
      </c>
      <c r="T117" s="596">
        <f t="shared" ref="T117:T146" si="36">T116*(1+2%)</f>
        <v>26193.600000000002</v>
      </c>
      <c r="U117" s="596">
        <f t="shared" ref="U117:U146" si="37">U116*(1+2%)</f>
        <v>7650</v>
      </c>
      <c r="V117" s="596">
        <f t="shared" ref="V117:V146" si="38">V116*(1+$S$64)</f>
        <v>54020.251349999999</v>
      </c>
      <c r="W117" s="596">
        <f t="shared" ref="W117:W146" si="39">W116*(1+$S$64)</f>
        <v>7082.6321428571428</v>
      </c>
      <c r="X117" s="596">
        <f t="shared" si="32"/>
        <v>61102.883492857145</v>
      </c>
      <c r="Y117" s="589"/>
      <c r="Z117" s="589"/>
      <c r="AA117" s="589"/>
      <c r="AB117" s="589"/>
      <c r="AC117" s="589"/>
      <c r="AD117" s="589"/>
      <c r="AE117" s="589"/>
      <c r="AF117" s="589"/>
      <c r="AG117" s="587"/>
      <c r="AH117" s="587"/>
      <c r="AI117" s="587"/>
      <c r="AJ117" s="587"/>
      <c r="AK117" s="587"/>
      <c r="AL117" s="587"/>
      <c r="AM117"/>
      <c r="AN117"/>
      <c r="AO117"/>
      <c r="AP117"/>
      <c r="AQ117"/>
      <c r="AR117"/>
      <c r="AS117"/>
      <c r="AT117"/>
      <c r="AU117"/>
      <c r="AV117"/>
      <c r="AW117"/>
    </row>
    <row r="118" spans="14:49">
      <c r="N118"/>
      <c r="O118">
        <f t="shared" si="33"/>
        <v>3</v>
      </c>
      <c r="P118">
        <f t="shared" si="34"/>
        <v>37</v>
      </c>
      <c r="Q118"/>
      <c r="R118">
        <f t="shared" si="35"/>
        <v>17</v>
      </c>
      <c r="S118" s="597">
        <f t="shared" si="31"/>
        <v>54</v>
      </c>
      <c r="T118" s="596">
        <f t="shared" si="36"/>
        <v>26717.472000000002</v>
      </c>
      <c r="U118" s="596">
        <f t="shared" si="37"/>
        <v>7803</v>
      </c>
      <c r="V118" s="596">
        <f t="shared" si="38"/>
        <v>55478.798136449994</v>
      </c>
      <c r="W118" s="596">
        <f t="shared" si="39"/>
        <v>7273.8632107142848</v>
      </c>
      <c r="X118" s="596">
        <f t="shared" si="32"/>
        <v>62752.661347164278</v>
      </c>
      <c r="Y118" s="589"/>
      <c r="Z118" s="589"/>
      <c r="AA118" s="589"/>
      <c r="AB118" s="589"/>
      <c r="AC118" s="589"/>
      <c r="AD118" s="589"/>
      <c r="AE118" s="589"/>
      <c r="AF118" s="589"/>
      <c r="AG118" s="587"/>
      <c r="AH118" s="587"/>
      <c r="AI118" s="587"/>
      <c r="AJ118" s="587"/>
      <c r="AK118" s="587"/>
      <c r="AL118" s="587"/>
      <c r="AM118"/>
      <c r="AN118"/>
      <c r="AO118"/>
      <c r="AP118"/>
      <c r="AQ118"/>
      <c r="AR118"/>
      <c r="AS118"/>
      <c r="AT118"/>
      <c r="AU118"/>
      <c r="AV118"/>
      <c r="AW118"/>
    </row>
    <row r="119" spans="14:49">
      <c r="N119"/>
      <c r="O119">
        <f t="shared" si="33"/>
        <v>4</v>
      </c>
      <c r="P119">
        <f t="shared" si="34"/>
        <v>38</v>
      </c>
      <c r="Q119"/>
      <c r="R119">
        <f t="shared" si="35"/>
        <v>18</v>
      </c>
      <c r="S119" s="597">
        <f t="shared" si="31"/>
        <v>56</v>
      </c>
      <c r="T119" s="596">
        <f t="shared" si="36"/>
        <v>27251.821440000003</v>
      </c>
      <c r="U119" s="596">
        <f t="shared" si="37"/>
        <v>7959.06</v>
      </c>
      <c r="V119" s="596">
        <f t="shared" si="38"/>
        <v>56976.725686134138</v>
      </c>
      <c r="W119" s="596">
        <f t="shared" si="39"/>
        <v>7470.2575174035701</v>
      </c>
      <c r="X119" s="596">
        <f t="shared" si="32"/>
        <v>64446.983203537704</v>
      </c>
      <c r="Y119" s="589"/>
      <c r="Z119" s="589"/>
      <c r="AA119" s="589"/>
      <c r="AB119" s="589"/>
      <c r="AC119" s="589"/>
      <c r="AD119" s="589"/>
      <c r="AE119" s="589"/>
      <c r="AF119" s="589"/>
      <c r="AG119" s="587"/>
      <c r="AH119" s="587"/>
      <c r="AI119" s="587"/>
      <c r="AJ119" s="587"/>
      <c r="AK119" s="587"/>
      <c r="AL119" s="587"/>
      <c r="AM119"/>
      <c r="AN119"/>
      <c r="AO119"/>
      <c r="AP119"/>
      <c r="AQ119"/>
      <c r="AR119"/>
      <c r="AS119"/>
      <c r="AT119"/>
      <c r="AU119"/>
      <c r="AV119"/>
      <c r="AW119"/>
    </row>
    <row r="120" spans="14:49">
      <c r="N120"/>
      <c r="O120">
        <f t="shared" si="33"/>
        <v>5</v>
      </c>
      <c r="P120">
        <f t="shared" si="34"/>
        <v>39</v>
      </c>
      <c r="Q120"/>
      <c r="R120">
        <f t="shared" si="35"/>
        <v>19</v>
      </c>
      <c r="S120" s="597">
        <f t="shared" si="31"/>
        <v>58</v>
      </c>
      <c r="T120" s="596">
        <f t="shared" si="36"/>
        <v>27796.857868800005</v>
      </c>
      <c r="U120" s="596">
        <f t="shared" si="37"/>
        <v>8118.2412000000004</v>
      </c>
      <c r="V120" s="596">
        <f t="shared" si="38"/>
        <v>58515.097279659756</v>
      </c>
      <c r="W120" s="596">
        <f t="shared" si="39"/>
        <v>7671.9544703734655</v>
      </c>
      <c r="X120" s="596">
        <f t="shared" si="32"/>
        <v>66187.051750033221</v>
      </c>
      <c r="Y120" s="589"/>
      <c r="Z120" s="589"/>
      <c r="AA120" s="589"/>
      <c r="AB120" s="589"/>
      <c r="AC120" s="589"/>
      <c r="AD120" s="589"/>
      <c r="AE120" s="589"/>
      <c r="AF120" s="589"/>
      <c r="AG120" s="587"/>
      <c r="AH120" s="587"/>
      <c r="AI120" s="587"/>
      <c r="AJ120" s="587"/>
      <c r="AK120" s="587"/>
      <c r="AL120" s="587"/>
      <c r="AM120"/>
      <c r="AN120"/>
      <c r="AO120"/>
      <c r="AP120"/>
      <c r="AQ120"/>
      <c r="AR120"/>
      <c r="AS120"/>
      <c r="AT120"/>
      <c r="AU120"/>
      <c r="AV120"/>
      <c r="AW120"/>
    </row>
    <row r="121" spans="14:49">
      <c r="N121"/>
      <c r="O121">
        <f t="shared" si="33"/>
        <v>6</v>
      </c>
      <c r="P121">
        <f t="shared" si="34"/>
        <v>40</v>
      </c>
      <c r="Q121"/>
      <c r="R121">
        <f t="shared" si="35"/>
        <v>20</v>
      </c>
      <c r="S121" s="597">
        <f t="shared" si="31"/>
        <v>60</v>
      </c>
      <c r="T121" s="596">
        <f t="shared" si="36"/>
        <v>28352.795026176005</v>
      </c>
      <c r="U121" s="596">
        <f t="shared" si="37"/>
        <v>8280.6060240000006</v>
      </c>
      <c r="V121" s="596">
        <f t="shared" si="38"/>
        <v>60095.004906210561</v>
      </c>
      <c r="W121" s="596">
        <f t="shared" si="39"/>
        <v>7879.0972410735485</v>
      </c>
      <c r="X121" s="596">
        <f t="shared" si="32"/>
        <v>67974.102147284109</v>
      </c>
      <c r="Y121" s="589"/>
      <c r="Z121" s="589"/>
      <c r="AA121" s="589"/>
      <c r="AB121" s="589"/>
      <c r="AC121" s="589"/>
      <c r="AD121" s="589"/>
      <c r="AE121" s="589"/>
      <c r="AF121" s="589"/>
      <c r="AG121" s="587"/>
      <c r="AH121" s="587"/>
      <c r="AI121" s="587"/>
      <c r="AJ121" s="587"/>
      <c r="AK121" s="587"/>
      <c r="AL121" s="587"/>
      <c r="AM121"/>
      <c r="AN121"/>
      <c r="AO121"/>
      <c r="AP121"/>
      <c r="AQ121"/>
      <c r="AR121"/>
      <c r="AS121"/>
      <c r="AT121"/>
      <c r="AU121"/>
      <c r="AV121"/>
      <c r="AW121"/>
    </row>
    <row r="122" spans="14:49">
      <c r="N122"/>
      <c r="O122">
        <f t="shared" si="33"/>
        <v>7</v>
      </c>
      <c r="P122">
        <f t="shared" si="34"/>
        <v>41</v>
      </c>
      <c r="Q122"/>
      <c r="R122">
        <f t="shared" si="35"/>
        <v>21</v>
      </c>
      <c r="S122" s="597">
        <f t="shared" si="31"/>
        <v>62</v>
      </c>
      <c r="T122" s="596">
        <f t="shared" si="36"/>
        <v>28919.850926699524</v>
      </c>
      <c r="U122" s="596">
        <f t="shared" si="37"/>
        <v>8446.2181444800008</v>
      </c>
      <c r="V122" s="596">
        <f t="shared" si="38"/>
        <v>61717.570038678241</v>
      </c>
      <c r="W122" s="596">
        <f t="shared" si="39"/>
        <v>8091.8328665825338</v>
      </c>
      <c r="X122" s="596">
        <f t="shared" si="32"/>
        <v>69809.40290526078</v>
      </c>
      <c r="Y122" s="589"/>
      <c r="Z122" s="589"/>
      <c r="AA122" s="589"/>
      <c r="AB122" s="589"/>
      <c r="AC122" s="589"/>
      <c r="AD122" s="589"/>
      <c r="AE122" s="589"/>
      <c r="AF122" s="589"/>
      <c r="AG122" s="587"/>
      <c r="AH122" s="587"/>
      <c r="AI122" s="587"/>
      <c r="AJ122" s="587"/>
      <c r="AK122" s="587"/>
      <c r="AL122" s="587"/>
      <c r="AM122"/>
      <c r="AN122"/>
      <c r="AO122"/>
      <c r="AP122"/>
      <c r="AQ122"/>
      <c r="AR122"/>
      <c r="AS122"/>
      <c r="AT122"/>
      <c r="AU122"/>
      <c r="AV122"/>
      <c r="AW122"/>
    </row>
    <row r="123" spans="14:49">
      <c r="N123"/>
      <c r="O123">
        <f t="shared" si="33"/>
        <v>8</v>
      </c>
      <c r="P123">
        <f t="shared" si="34"/>
        <v>42</v>
      </c>
      <c r="Q123"/>
      <c r="R123">
        <f t="shared" si="35"/>
        <v>22</v>
      </c>
      <c r="S123" s="597">
        <f t="shared" si="31"/>
        <v>64</v>
      </c>
      <c r="T123" s="596">
        <f t="shared" si="36"/>
        <v>29498.247945233514</v>
      </c>
      <c r="U123" s="596">
        <f t="shared" si="37"/>
        <v>8615.1425073696009</v>
      </c>
      <c r="V123" s="596">
        <f t="shared" si="38"/>
        <v>63383.944429722549</v>
      </c>
      <c r="W123" s="596">
        <f t="shared" si="39"/>
        <v>8310.3123539802618</v>
      </c>
      <c r="X123" s="596">
        <f t="shared" si="32"/>
        <v>71694.256783702818</v>
      </c>
      <c r="Y123" s="589"/>
      <c r="Z123" s="589"/>
      <c r="AA123" s="589"/>
      <c r="AB123" s="589"/>
      <c r="AC123" s="589"/>
      <c r="AD123" s="589"/>
      <c r="AE123" s="589"/>
      <c r="AF123" s="589"/>
      <c r="AG123" s="587"/>
      <c r="AH123" s="587"/>
      <c r="AI123" s="587"/>
      <c r="AJ123" s="587"/>
      <c r="AK123" s="587"/>
      <c r="AL123" s="587"/>
      <c r="AM123"/>
      <c r="AN123"/>
      <c r="AO123"/>
      <c r="AP123"/>
      <c r="AQ123"/>
      <c r="AR123"/>
      <c r="AS123"/>
      <c r="AT123"/>
      <c r="AU123"/>
      <c r="AV123"/>
      <c r="AW123"/>
    </row>
    <row r="124" spans="14:49">
      <c r="N124"/>
      <c r="O124">
        <f t="shared" si="33"/>
        <v>9</v>
      </c>
      <c r="P124">
        <f t="shared" si="34"/>
        <v>43</v>
      </c>
      <c r="Q124"/>
      <c r="R124">
        <f t="shared" si="35"/>
        <v>23</v>
      </c>
      <c r="S124" s="597">
        <f t="shared" si="31"/>
        <v>66</v>
      </c>
      <c r="T124" s="596">
        <f t="shared" si="36"/>
        <v>30088.212904138185</v>
      </c>
      <c r="U124" s="596">
        <f t="shared" si="37"/>
        <v>8787.4453575169937</v>
      </c>
      <c r="V124" s="596">
        <f t="shared" si="38"/>
        <v>65095.310929325053</v>
      </c>
      <c r="W124" s="596">
        <f t="shared" si="39"/>
        <v>8534.6907875377274</v>
      </c>
      <c r="X124" s="596">
        <f t="shared" si="32"/>
        <v>73630.001716862782</v>
      </c>
      <c r="Y124" s="589"/>
      <c r="Z124" s="589"/>
      <c r="AA124" s="589"/>
      <c r="AB124" s="589"/>
      <c r="AC124" s="589"/>
      <c r="AD124" s="589"/>
      <c r="AE124" s="589"/>
      <c r="AF124" s="589"/>
      <c r="AG124" s="587"/>
      <c r="AH124" s="587"/>
      <c r="AI124" s="587"/>
      <c r="AJ124" s="587"/>
      <c r="AK124" s="587"/>
      <c r="AL124" s="587"/>
      <c r="AM124"/>
      <c r="AN124"/>
      <c r="AO124"/>
      <c r="AP124"/>
      <c r="AQ124"/>
      <c r="AR124"/>
      <c r="AS124"/>
      <c r="AT124"/>
      <c r="AU124"/>
      <c r="AV124"/>
      <c r="AW124"/>
    </row>
    <row r="125" spans="14:49">
      <c r="N125"/>
      <c r="O125">
        <f t="shared" si="33"/>
        <v>10</v>
      </c>
      <c r="P125">
        <f t="shared" si="34"/>
        <v>44</v>
      </c>
      <c r="Q125"/>
      <c r="R125">
        <f t="shared" si="35"/>
        <v>24</v>
      </c>
      <c r="S125" s="597">
        <f t="shared" si="31"/>
        <v>68</v>
      </c>
      <c r="T125" s="596">
        <f t="shared" si="36"/>
        <v>30689.977162220948</v>
      </c>
      <c r="U125" s="596">
        <f t="shared" si="37"/>
        <v>8963.1942646673342</v>
      </c>
      <c r="V125" s="596">
        <f t="shared" si="38"/>
        <v>66852.884324416824</v>
      </c>
      <c r="W125" s="596">
        <f t="shared" si="39"/>
        <v>8765.1274388012462</v>
      </c>
      <c r="X125" s="596">
        <f t="shared" si="32"/>
        <v>75618.011763218063</v>
      </c>
      <c r="Y125" s="589"/>
      <c r="Z125" s="589"/>
      <c r="AA125" s="589"/>
      <c r="AB125" s="589"/>
      <c r="AC125" s="589"/>
      <c r="AD125" s="589"/>
      <c r="AE125" s="589"/>
      <c r="AF125" s="589"/>
      <c r="AG125" s="587"/>
      <c r="AH125" s="587"/>
      <c r="AI125" s="587"/>
      <c r="AJ125" s="587"/>
      <c r="AK125" s="587"/>
      <c r="AL125" s="587"/>
      <c r="AM125"/>
      <c r="AN125"/>
      <c r="AO125"/>
      <c r="AP125"/>
      <c r="AQ125"/>
      <c r="AR125"/>
      <c r="AS125"/>
      <c r="AT125"/>
      <c r="AU125"/>
      <c r="AV125"/>
      <c r="AW125"/>
    </row>
    <row r="126" spans="14:49">
      <c r="N126"/>
      <c r="O126">
        <f t="shared" si="33"/>
        <v>11</v>
      </c>
      <c r="P126">
        <f t="shared" si="34"/>
        <v>45</v>
      </c>
      <c r="Q126"/>
      <c r="R126">
        <f t="shared" si="35"/>
        <v>25</v>
      </c>
      <c r="S126" s="597">
        <f t="shared" si="31"/>
        <v>70</v>
      </c>
      <c r="T126" s="596">
        <f t="shared" si="36"/>
        <v>31303.776705465367</v>
      </c>
      <c r="U126" s="596">
        <f t="shared" si="37"/>
        <v>9142.4581499606811</v>
      </c>
      <c r="V126" s="596">
        <f t="shared" si="38"/>
        <v>68657.912201176077</v>
      </c>
      <c r="W126" s="596">
        <f t="shared" si="39"/>
        <v>9001.7858796488799</v>
      </c>
      <c r="X126" s="596">
        <f t="shared" si="32"/>
        <v>77659.69808082495</v>
      </c>
      <c r="Y126" s="589"/>
      <c r="Z126" s="589"/>
      <c r="AA126" s="589"/>
      <c r="AB126" s="589"/>
      <c r="AC126" s="589"/>
      <c r="AD126" s="589"/>
      <c r="AE126" s="589"/>
      <c r="AF126" s="589"/>
      <c r="AG126" s="587"/>
      <c r="AH126" s="587"/>
      <c r="AI126" s="587"/>
      <c r="AJ126" s="587"/>
      <c r="AK126" s="587"/>
      <c r="AL126" s="587"/>
      <c r="AM126"/>
      <c r="AN126"/>
      <c r="AO126"/>
      <c r="AP126"/>
      <c r="AQ126"/>
      <c r="AR126"/>
      <c r="AS126"/>
      <c r="AT126"/>
      <c r="AU126"/>
      <c r="AV126"/>
      <c r="AW126"/>
    </row>
    <row r="127" spans="14:49">
      <c r="N127"/>
      <c r="O127">
        <f t="shared" si="33"/>
        <v>12</v>
      </c>
      <c r="P127">
        <f t="shared" si="34"/>
        <v>46</v>
      </c>
      <c r="Q127"/>
      <c r="R127">
        <f t="shared" si="35"/>
        <v>26</v>
      </c>
      <c r="S127" s="597">
        <f t="shared" si="31"/>
        <v>72</v>
      </c>
      <c r="T127" s="596">
        <f t="shared" si="36"/>
        <v>31929.852239574673</v>
      </c>
      <c r="U127" s="596">
        <f t="shared" si="37"/>
        <v>9325.3073129598943</v>
      </c>
      <c r="V127" s="596">
        <f t="shared" si="38"/>
        <v>70511.675830607826</v>
      </c>
      <c r="W127" s="596">
        <f t="shared" si="39"/>
        <v>9244.8340983993985</v>
      </c>
      <c r="X127" s="596">
        <f t="shared" si="32"/>
        <v>79756.509929007225</v>
      </c>
      <c r="Y127" s="589"/>
      <c r="Z127" s="589"/>
      <c r="AA127" s="589"/>
      <c r="AB127" s="589"/>
      <c r="AC127" s="589"/>
      <c r="AD127" s="589"/>
      <c r="AE127" s="589"/>
      <c r="AF127" s="589"/>
      <c r="AG127" s="587"/>
      <c r="AH127" s="587"/>
      <c r="AI127" s="587"/>
      <c r="AJ127" s="587"/>
      <c r="AK127" s="587"/>
      <c r="AL127" s="587"/>
      <c r="AM127"/>
      <c r="AN127"/>
      <c r="AO127"/>
      <c r="AP127"/>
      <c r="AQ127"/>
      <c r="AR127"/>
      <c r="AS127"/>
      <c r="AT127"/>
      <c r="AU127"/>
      <c r="AV127"/>
      <c r="AW127"/>
    </row>
    <row r="128" spans="14:49">
      <c r="N128"/>
      <c r="O128">
        <f t="shared" si="33"/>
        <v>13</v>
      </c>
      <c r="P128">
        <f t="shared" si="34"/>
        <v>47</v>
      </c>
      <c r="Q128"/>
      <c r="R128">
        <f t="shared" si="35"/>
        <v>27</v>
      </c>
      <c r="S128" s="597">
        <f t="shared" si="31"/>
        <v>74</v>
      </c>
      <c r="T128" s="596">
        <f t="shared" si="36"/>
        <v>32568.449284366168</v>
      </c>
      <c r="U128" s="596">
        <f t="shared" si="37"/>
        <v>9511.8134592190927</v>
      </c>
      <c r="V128" s="596">
        <f t="shared" si="38"/>
        <v>72415.491078034232</v>
      </c>
      <c r="W128" s="596">
        <f t="shared" si="39"/>
        <v>9494.4446190561812</v>
      </c>
      <c r="X128" s="596">
        <f t="shared" si="32"/>
        <v>81909.935697090419</v>
      </c>
      <c r="Y128" s="589"/>
      <c r="Z128" s="589"/>
      <c r="AA128" s="589"/>
      <c r="AB128" s="589"/>
      <c r="AC128" s="589"/>
      <c r="AD128" s="589"/>
      <c r="AE128" s="589"/>
      <c r="AF128" s="589"/>
      <c r="AG128" s="587"/>
      <c r="AH128" s="587"/>
      <c r="AI128" s="587"/>
      <c r="AJ128" s="587"/>
      <c r="AK128" s="587"/>
      <c r="AL128" s="587"/>
      <c r="AM128"/>
      <c r="AN128"/>
      <c r="AO128"/>
      <c r="AP128"/>
      <c r="AQ128"/>
      <c r="AR128"/>
      <c r="AS128"/>
      <c r="AT128"/>
      <c r="AU128"/>
      <c r="AV128"/>
      <c r="AW128"/>
    </row>
    <row r="129" spans="14:49">
      <c r="N129"/>
      <c r="O129">
        <f t="shared" si="33"/>
        <v>14</v>
      </c>
      <c r="P129">
        <f t="shared" si="34"/>
        <v>48</v>
      </c>
      <c r="Q129"/>
      <c r="R129">
        <f t="shared" si="35"/>
        <v>28</v>
      </c>
      <c r="S129" s="597">
        <f t="shared" si="31"/>
        <v>76</v>
      </c>
      <c r="T129" s="596">
        <f t="shared" si="36"/>
        <v>33219.818270053489</v>
      </c>
      <c r="U129" s="596">
        <f t="shared" si="37"/>
        <v>9702.0497284034755</v>
      </c>
      <c r="V129" s="596">
        <f t="shared" si="38"/>
        <v>74370.709337141147</v>
      </c>
      <c r="W129" s="596">
        <f t="shared" si="39"/>
        <v>9750.7946237706965</v>
      </c>
      <c r="X129" s="596">
        <f t="shared" si="32"/>
        <v>84121.503960911839</v>
      </c>
      <c r="Y129" s="589"/>
      <c r="Z129" s="589"/>
      <c r="AA129" s="589"/>
      <c r="AB129" s="589"/>
      <c r="AC129" s="589"/>
      <c r="AD129" s="589"/>
      <c r="AE129" s="589"/>
      <c r="AF129" s="589"/>
      <c r="AG129" s="587"/>
      <c r="AH129" s="587"/>
      <c r="AI129" s="587"/>
      <c r="AJ129" s="587"/>
      <c r="AK129" s="587"/>
      <c r="AL129" s="587"/>
      <c r="AM129"/>
      <c r="AN129"/>
      <c r="AO129"/>
      <c r="AP129"/>
      <c r="AQ129"/>
      <c r="AR129"/>
      <c r="AS129"/>
      <c r="AT129"/>
      <c r="AU129"/>
      <c r="AV129"/>
      <c r="AW129"/>
    </row>
    <row r="130" spans="14:49">
      <c r="N130"/>
      <c r="O130">
        <f t="shared" si="33"/>
        <v>15</v>
      </c>
      <c r="P130">
        <f t="shared" si="34"/>
        <v>49</v>
      </c>
      <c r="Q130"/>
      <c r="R130">
        <f t="shared" si="35"/>
        <v>29</v>
      </c>
      <c r="S130" s="597">
        <f t="shared" si="31"/>
        <v>78</v>
      </c>
      <c r="T130" s="596">
        <f t="shared" si="36"/>
        <v>33884.214635454562</v>
      </c>
      <c r="U130" s="596">
        <f t="shared" si="37"/>
        <v>9896.0907229715449</v>
      </c>
      <c r="V130" s="596">
        <f t="shared" si="38"/>
        <v>76378.718489243955</v>
      </c>
      <c r="W130" s="596">
        <f t="shared" si="39"/>
        <v>10014.066078612504</v>
      </c>
      <c r="X130" s="596">
        <f t="shared" si="32"/>
        <v>86392.784567856463</v>
      </c>
      <c r="Y130" s="589"/>
      <c r="Z130" s="589"/>
      <c r="AA130" s="589"/>
      <c r="AB130" s="589"/>
      <c r="AC130" s="589"/>
      <c r="AD130" s="589"/>
      <c r="AE130" s="589"/>
      <c r="AF130" s="589"/>
      <c r="AG130" s="587"/>
      <c r="AH130" s="587"/>
      <c r="AI130" s="587"/>
      <c r="AJ130" s="587"/>
      <c r="AK130" s="587"/>
      <c r="AL130" s="587"/>
      <c r="AM130"/>
      <c r="AN130"/>
      <c r="AO130"/>
      <c r="AP130"/>
      <c r="AQ130"/>
      <c r="AR130"/>
      <c r="AS130"/>
      <c r="AT130"/>
      <c r="AU130"/>
      <c r="AV130"/>
      <c r="AW130"/>
    </row>
    <row r="131" spans="14:49">
      <c r="N131"/>
      <c r="O131">
        <f t="shared" si="33"/>
        <v>16</v>
      </c>
      <c r="P131">
        <f t="shared" si="34"/>
        <v>50</v>
      </c>
      <c r="Q131"/>
      <c r="R131">
        <f t="shared" si="35"/>
        <v>30</v>
      </c>
      <c r="S131" s="597">
        <f t="shared" si="31"/>
        <v>80</v>
      </c>
      <c r="T131" s="596">
        <f t="shared" si="36"/>
        <v>34561.898928163653</v>
      </c>
      <c r="U131" s="596">
        <f t="shared" si="37"/>
        <v>10094.012537430975</v>
      </c>
      <c r="V131" s="596">
        <f t="shared" si="38"/>
        <v>78440.943888453534</v>
      </c>
      <c r="W131" s="596">
        <f t="shared" si="39"/>
        <v>10284.445862735041</v>
      </c>
      <c r="X131" s="596">
        <f t="shared" si="32"/>
        <v>88725.389751188573</v>
      </c>
      <c r="Y131" s="589"/>
      <c r="Z131" s="589"/>
      <c r="AA131" s="589"/>
      <c r="AB131" s="589"/>
      <c r="AC131" s="589"/>
      <c r="AD131" s="589"/>
      <c r="AE131" s="589"/>
      <c r="AF131" s="589"/>
      <c r="AG131" s="587"/>
      <c r="AH131" s="587"/>
      <c r="AI131" s="587"/>
      <c r="AJ131" s="587"/>
      <c r="AK131" s="587"/>
      <c r="AL131" s="587"/>
      <c r="AM131"/>
      <c r="AN131"/>
      <c r="AO131"/>
      <c r="AP131"/>
      <c r="AQ131"/>
      <c r="AR131"/>
      <c r="AS131"/>
      <c r="AT131"/>
      <c r="AU131"/>
      <c r="AV131"/>
      <c r="AW131"/>
    </row>
    <row r="132" spans="14:49">
      <c r="N132"/>
      <c r="O132">
        <f t="shared" si="33"/>
        <v>17</v>
      </c>
      <c r="P132">
        <f t="shared" si="34"/>
        <v>51</v>
      </c>
      <c r="Q132"/>
      <c r="R132">
        <f t="shared" si="35"/>
        <v>31</v>
      </c>
      <c r="S132" s="597">
        <f t="shared" si="31"/>
        <v>82</v>
      </c>
      <c r="T132" s="596">
        <f t="shared" si="36"/>
        <v>35253.136906726926</v>
      </c>
      <c r="U132" s="596">
        <f t="shared" si="37"/>
        <v>10295.892788179595</v>
      </c>
      <c r="V132" s="596">
        <f t="shared" si="38"/>
        <v>80558.849373441772</v>
      </c>
      <c r="W132" s="596">
        <f t="shared" si="39"/>
        <v>10562.125901028887</v>
      </c>
      <c r="X132" s="596">
        <f t="shared" si="32"/>
        <v>91120.975274470664</v>
      </c>
      <c r="Y132" s="589"/>
      <c r="Z132" s="589"/>
      <c r="AA132" s="589"/>
      <c r="AB132" s="589"/>
      <c r="AC132" s="589"/>
      <c r="AD132" s="589"/>
      <c r="AE132" s="589"/>
      <c r="AF132" s="589"/>
      <c r="AG132" s="587"/>
      <c r="AH132" s="587"/>
      <c r="AI132" s="587"/>
      <c r="AJ132" s="587"/>
      <c r="AK132" s="587"/>
      <c r="AL132" s="587"/>
      <c r="AM132"/>
      <c r="AN132"/>
      <c r="AO132"/>
      <c r="AP132"/>
      <c r="AQ132"/>
      <c r="AR132"/>
      <c r="AS132"/>
      <c r="AT132"/>
      <c r="AU132"/>
      <c r="AV132"/>
      <c r="AW132"/>
    </row>
    <row r="133" spans="14:49">
      <c r="N133"/>
      <c r="O133">
        <f t="shared" si="33"/>
        <v>18</v>
      </c>
      <c r="P133">
        <f t="shared" si="34"/>
        <v>52</v>
      </c>
      <c r="Q133"/>
      <c r="R133">
        <f t="shared" si="35"/>
        <v>32</v>
      </c>
      <c r="S133" s="597">
        <f t="shared" si="31"/>
        <v>84</v>
      </c>
      <c r="T133" s="596">
        <f t="shared" si="36"/>
        <v>35958.199644861466</v>
      </c>
      <c r="U133" s="596">
        <f t="shared" si="37"/>
        <v>10501.810643943187</v>
      </c>
      <c r="V133" s="596">
        <f t="shared" si="38"/>
        <v>82733.938306524695</v>
      </c>
      <c r="W133" s="596">
        <f t="shared" si="39"/>
        <v>10847.303300356665</v>
      </c>
      <c r="X133" s="596">
        <f t="shared" si="32"/>
        <v>93581.241606881362</v>
      </c>
      <c r="Y133" s="589"/>
      <c r="Z133" s="589"/>
      <c r="AA133" s="589"/>
      <c r="AB133" s="589"/>
      <c r="AC133" s="589"/>
      <c r="AD133" s="589"/>
      <c r="AE133" s="589"/>
      <c r="AF133" s="589"/>
      <c r="AG133" s="587"/>
      <c r="AH133" s="587"/>
      <c r="AI133" s="587"/>
      <c r="AJ133" s="587"/>
      <c r="AK133" s="587"/>
      <c r="AL133" s="587"/>
      <c r="AM133"/>
      <c r="AN133"/>
      <c r="AO133"/>
      <c r="AP133"/>
      <c r="AQ133"/>
      <c r="AR133"/>
      <c r="AS133"/>
      <c r="AT133"/>
      <c r="AU133"/>
      <c r="AV133"/>
      <c r="AW133"/>
    </row>
    <row r="134" spans="14:49">
      <c r="N134"/>
      <c r="O134">
        <f t="shared" si="33"/>
        <v>19</v>
      </c>
      <c r="P134">
        <f t="shared" si="34"/>
        <v>53</v>
      </c>
      <c r="Q134"/>
      <c r="R134">
        <f t="shared" si="35"/>
        <v>33</v>
      </c>
      <c r="S134" s="597">
        <f t="shared" si="31"/>
        <v>86</v>
      </c>
      <c r="T134" s="596">
        <f t="shared" si="36"/>
        <v>36677.363637758695</v>
      </c>
      <c r="U134" s="596">
        <f t="shared" si="37"/>
        <v>10711.846856822051</v>
      </c>
      <c r="V134" s="596">
        <f t="shared" si="38"/>
        <v>84967.754640800849</v>
      </c>
      <c r="W134" s="596">
        <f t="shared" si="39"/>
        <v>11140.180489466295</v>
      </c>
      <c r="X134" s="596">
        <f t="shared" si="32"/>
        <v>96107.935130267142</v>
      </c>
      <c r="Y134" s="589"/>
      <c r="Z134" s="589"/>
      <c r="AA134" s="589"/>
      <c r="AB134" s="589"/>
      <c r="AC134" s="589"/>
      <c r="AD134" s="589"/>
      <c r="AE134" s="589"/>
      <c r="AF134" s="589"/>
      <c r="AG134" s="587"/>
      <c r="AH134" s="587"/>
      <c r="AI134" s="587"/>
      <c r="AJ134" s="587"/>
      <c r="AK134" s="587"/>
      <c r="AL134" s="587"/>
      <c r="AM134"/>
      <c r="AN134"/>
      <c r="AO134"/>
      <c r="AP134"/>
      <c r="AQ134"/>
      <c r="AR134"/>
      <c r="AS134"/>
      <c r="AT134"/>
      <c r="AU134"/>
      <c r="AV134"/>
      <c r="AW134"/>
    </row>
    <row r="135" spans="14:49">
      <c r="N135"/>
      <c r="O135">
        <f t="shared" si="33"/>
        <v>20</v>
      </c>
      <c r="P135">
        <f t="shared" si="34"/>
        <v>54</v>
      </c>
      <c r="Q135"/>
      <c r="R135">
        <f t="shared" si="35"/>
        <v>34</v>
      </c>
      <c r="S135" s="597">
        <f t="shared" si="31"/>
        <v>88</v>
      </c>
      <c r="T135" s="596">
        <f t="shared" si="36"/>
        <v>37410.91091051387</v>
      </c>
      <c r="U135" s="596">
        <f t="shared" si="37"/>
        <v>10926.083793958493</v>
      </c>
      <c r="V135" s="596">
        <f t="shared" si="38"/>
        <v>87261.884016102471</v>
      </c>
      <c r="W135" s="596">
        <f t="shared" si="39"/>
        <v>11440.965362681884</v>
      </c>
      <c r="X135" s="596">
        <f t="shared" si="32"/>
        <v>98702.849378784362</v>
      </c>
      <c r="Y135" s="589"/>
      <c r="Z135" s="589"/>
      <c r="AA135" s="589"/>
      <c r="AB135" s="589"/>
      <c r="AC135" s="589"/>
      <c r="AD135" s="589"/>
      <c r="AE135" s="589"/>
      <c r="AF135" s="589"/>
      <c r="AG135" s="587"/>
      <c r="AH135" s="587"/>
      <c r="AI135" s="587"/>
      <c r="AJ135" s="587"/>
      <c r="AK135" s="587"/>
      <c r="AL135" s="587"/>
      <c r="AM135"/>
      <c r="AN135"/>
      <c r="AO135"/>
      <c r="AP135"/>
      <c r="AQ135"/>
      <c r="AR135"/>
      <c r="AS135"/>
      <c r="AT135"/>
      <c r="AU135"/>
      <c r="AV135"/>
      <c r="AW135"/>
    </row>
    <row r="136" spans="14:49">
      <c r="N136"/>
      <c r="O136">
        <f t="shared" si="33"/>
        <v>21</v>
      </c>
      <c r="P136">
        <f t="shared" si="34"/>
        <v>55</v>
      </c>
      <c r="Q136"/>
      <c r="R136">
        <f t="shared" si="35"/>
        <v>35</v>
      </c>
      <c r="S136" s="597">
        <f t="shared" si="31"/>
        <v>90</v>
      </c>
      <c r="T136" s="596">
        <f t="shared" si="36"/>
        <v>38159.129128724147</v>
      </c>
      <c r="U136" s="596">
        <f t="shared" si="37"/>
        <v>11144.605469837663</v>
      </c>
      <c r="V136" s="596">
        <f t="shared" si="38"/>
        <v>89617.954884537234</v>
      </c>
      <c r="W136" s="596">
        <f t="shared" si="39"/>
        <v>11749.871427474294</v>
      </c>
      <c r="X136" s="596">
        <f t="shared" si="32"/>
        <v>101367.82631201153</v>
      </c>
      <c r="Y136" s="595">
        <f t="shared" ref="Y136:Y146" si="40">G62</f>
        <v>7.2</v>
      </c>
      <c r="Z136" s="595"/>
      <c r="AA136" s="587">
        <f t="shared" ref="AA136:AA146" si="41">MAX(0,30-R136)</f>
        <v>0</v>
      </c>
      <c r="AB136" s="587">
        <f t="shared" ref="AB136:AB146" si="42">MAX(0,60-P136)</f>
        <v>5</v>
      </c>
      <c r="AC136" s="587">
        <f t="shared" ref="AC136:AC146" si="43">MAX(0,(80-S136)/2)</f>
        <v>0</v>
      </c>
      <c r="AD136" s="593">
        <f t="shared" ref="AD136:AD146" si="44">100%-3%*MIN(AA136:AC136)</f>
        <v>1</v>
      </c>
      <c r="AE136" s="589">
        <f t="shared" ref="AE136:AE146" si="45">V136*AD136</f>
        <v>89617.954884537234</v>
      </c>
      <c r="AF136" s="589"/>
      <c r="AG136" s="593">
        <f t="shared" ref="AG136:AG145" si="46">AG137-4%</f>
        <v>0.59999999999999964</v>
      </c>
      <c r="AH136" s="589">
        <f t="shared" ref="AH136:AH146" si="47">T136*AG136</f>
        <v>22895.477477234475</v>
      </c>
      <c r="AI136" s="589">
        <f t="shared" ref="AI136:AI146" si="48">MIN(AH136,$AE136)</f>
        <v>22895.477477234475</v>
      </c>
      <c r="AJ136" s="589"/>
      <c r="AK136" s="596">
        <f t="shared" ref="AK136:AK146" si="49">$Y136*AI136+$Z136*AJ136</f>
        <v>164847.43783608824</v>
      </c>
      <c r="AL136" s="593">
        <f t="shared" ref="AL136:AL145" si="50">AL137-4%</f>
        <v>0.59999999999999964</v>
      </c>
      <c r="AM136" s="589">
        <f t="shared" ref="AM136:AM146" si="51">T136*AL136</f>
        <v>22895.477477234475</v>
      </c>
      <c r="AN136" s="589">
        <f t="shared" ref="AN136:AN146" si="52">MIN(AM136,$AK136)</f>
        <v>22895.477477234475</v>
      </c>
      <c r="AO136" s="589"/>
      <c r="AP136" s="596">
        <f t="shared" ref="AP136:AP146" si="53">$Y136*AN136+$Z136*AO136</f>
        <v>164847.43783608824</v>
      </c>
      <c r="AQ136"/>
      <c r="AR136"/>
      <c r="AS136"/>
      <c r="AT136"/>
      <c r="AU136"/>
      <c r="AV136"/>
      <c r="AW136"/>
    </row>
    <row r="137" spans="14:49">
      <c r="N137"/>
      <c r="O137">
        <f t="shared" si="33"/>
        <v>22</v>
      </c>
      <c r="P137">
        <f t="shared" si="34"/>
        <v>56</v>
      </c>
      <c r="Q137"/>
      <c r="R137">
        <f t="shared" si="35"/>
        <v>36</v>
      </c>
      <c r="S137" s="597">
        <f t="shared" si="31"/>
        <v>92</v>
      </c>
      <c r="T137" s="596">
        <f t="shared" si="36"/>
        <v>38922.311711298629</v>
      </c>
      <c r="U137" s="596">
        <f t="shared" si="37"/>
        <v>11367.497579234416</v>
      </c>
      <c r="V137" s="596">
        <f t="shared" si="38"/>
        <v>92037.639666419738</v>
      </c>
      <c r="W137" s="596">
        <f t="shared" si="39"/>
        <v>12067.1179560161</v>
      </c>
      <c r="X137" s="596">
        <f t="shared" si="32"/>
        <v>104104.75762243583</v>
      </c>
      <c r="Y137" s="595">
        <f t="shared" si="40"/>
        <v>6.8</v>
      </c>
      <c r="Z137" s="595"/>
      <c r="AA137" s="587">
        <f t="shared" si="41"/>
        <v>0</v>
      </c>
      <c r="AB137" s="587">
        <f t="shared" si="42"/>
        <v>4</v>
      </c>
      <c r="AC137" s="587">
        <f t="shared" si="43"/>
        <v>0</v>
      </c>
      <c r="AD137" s="593">
        <f t="shared" si="44"/>
        <v>1</v>
      </c>
      <c r="AE137" s="589">
        <f t="shared" si="45"/>
        <v>92037.639666419738</v>
      </c>
      <c r="AF137" s="589"/>
      <c r="AG137" s="593">
        <f t="shared" si="46"/>
        <v>0.63999999999999968</v>
      </c>
      <c r="AH137" s="589">
        <f t="shared" si="47"/>
        <v>24910.279495231109</v>
      </c>
      <c r="AI137" s="589">
        <f t="shared" si="48"/>
        <v>24910.279495231109</v>
      </c>
      <c r="AJ137" s="589"/>
      <c r="AK137" s="596">
        <f t="shared" si="49"/>
        <v>169389.90056757155</v>
      </c>
      <c r="AL137" s="593">
        <f t="shared" si="50"/>
        <v>0.63999999999999968</v>
      </c>
      <c r="AM137" s="589">
        <f t="shared" si="51"/>
        <v>24910.279495231109</v>
      </c>
      <c r="AN137" s="589">
        <f t="shared" si="52"/>
        <v>24910.279495231109</v>
      </c>
      <c r="AO137" s="589"/>
      <c r="AP137" s="596">
        <f t="shared" si="53"/>
        <v>169389.90056757155</v>
      </c>
      <c r="AQ137"/>
      <c r="AR137"/>
      <c r="AS137"/>
      <c r="AT137"/>
      <c r="AU137"/>
      <c r="AV137"/>
      <c r="AW137"/>
    </row>
    <row r="138" spans="14:49">
      <c r="N138"/>
      <c r="O138">
        <f t="shared" si="33"/>
        <v>23</v>
      </c>
      <c r="P138">
        <f t="shared" si="34"/>
        <v>57</v>
      </c>
      <c r="Q138"/>
      <c r="R138">
        <f t="shared" si="35"/>
        <v>37</v>
      </c>
      <c r="S138" s="597">
        <f t="shared" si="31"/>
        <v>94</v>
      </c>
      <c r="T138" s="596">
        <f t="shared" si="36"/>
        <v>39700.757945524601</v>
      </c>
      <c r="U138" s="596">
        <f t="shared" si="37"/>
        <v>11594.847530819105</v>
      </c>
      <c r="V138" s="596">
        <f t="shared" si="38"/>
        <v>94522.655937413059</v>
      </c>
      <c r="W138" s="596">
        <f t="shared" si="39"/>
        <v>12392.930140828534</v>
      </c>
      <c r="X138" s="596">
        <f t="shared" si="32"/>
        <v>106915.5860782416</v>
      </c>
      <c r="Y138" s="595">
        <f t="shared" si="40"/>
        <v>6.5</v>
      </c>
      <c r="Z138" s="595"/>
      <c r="AA138" s="587">
        <f t="shared" si="41"/>
        <v>0</v>
      </c>
      <c r="AB138" s="587">
        <f t="shared" si="42"/>
        <v>3</v>
      </c>
      <c r="AC138" s="587">
        <f t="shared" si="43"/>
        <v>0</v>
      </c>
      <c r="AD138" s="593">
        <f t="shared" si="44"/>
        <v>1</v>
      </c>
      <c r="AE138" s="589">
        <f t="shared" si="45"/>
        <v>94522.655937413059</v>
      </c>
      <c r="AF138" s="589"/>
      <c r="AG138" s="593">
        <f t="shared" si="46"/>
        <v>0.67999999999999972</v>
      </c>
      <c r="AH138" s="589">
        <f t="shared" si="47"/>
        <v>26996.515402956717</v>
      </c>
      <c r="AI138" s="589">
        <f t="shared" si="48"/>
        <v>26996.515402956717</v>
      </c>
      <c r="AJ138" s="589"/>
      <c r="AK138" s="596">
        <f t="shared" si="49"/>
        <v>175477.35011921867</v>
      </c>
      <c r="AL138" s="593">
        <f t="shared" si="50"/>
        <v>0.67999999999999972</v>
      </c>
      <c r="AM138" s="589">
        <f t="shared" si="51"/>
        <v>26996.515402956717</v>
      </c>
      <c r="AN138" s="589">
        <f t="shared" si="52"/>
        <v>26996.515402956717</v>
      </c>
      <c r="AO138" s="589"/>
      <c r="AP138" s="596">
        <f t="shared" si="53"/>
        <v>175477.35011921867</v>
      </c>
      <c r="AQ138"/>
      <c r="AR138"/>
      <c r="AS138"/>
      <c r="AT138"/>
      <c r="AU138"/>
      <c r="AV138"/>
      <c r="AW138"/>
    </row>
    <row r="139" spans="14:49">
      <c r="N139"/>
      <c r="O139">
        <f t="shared" si="33"/>
        <v>24</v>
      </c>
      <c r="P139">
        <f t="shared" si="34"/>
        <v>58</v>
      </c>
      <c r="Q139"/>
      <c r="R139">
        <f t="shared" si="35"/>
        <v>38</v>
      </c>
      <c r="S139" s="597">
        <f t="shared" si="31"/>
        <v>96</v>
      </c>
      <c r="T139" s="596">
        <f t="shared" si="36"/>
        <v>40494.773104435095</v>
      </c>
      <c r="U139" s="596">
        <f t="shared" si="37"/>
        <v>11826.744481435488</v>
      </c>
      <c r="V139" s="596">
        <f t="shared" si="38"/>
        <v>97074.767647723202</v>
      </c>
      <c r="W139" s="596">
        <f t="shared" si="39"/>
        <v>12727.539254630903</v>
      </c>
      <c r="X139" s="596">
        <f t="shared" si="32"/>
        <v>109802.3069023541</v>
      </c>
      <c r="Y139" s="595">
        <f t="shared" si="40"/>
        <v>6.1</v>
      </c>
      <c r="Z139" s="595"/>
      <c r="AA139" s="587">
        <f t="shared" si="41"/>
        <v>0</v>
      </c>
      <c r="AB139" s="587">
        <f t="shared" si="42"/>
        <v>2</v>
      </c>
      <c r="AC139" s="587">
        <f t="shared" si="43"/>
        <v>0</v>
      </c>
      <c r="AD139" s="593">
        <f t="shared" si="44"/>
        <v>1</v>
      </c>
      <c r="AE139" s="589">
        <f t="shared" si="45"/>
        <v>97074.767647723202</v>
      </c>
      <c r="AF139" s="589"/>
      <c r="AG139" s="593">
        <f t="shared" si="46"/>
        <v>0.71999999999999975</v>
      </c>
      <c r="AH139" s="589">
        <f t="shared" si="47"/>
        <v>29156.236635193258</v>
      </c>
      <c r="AI139" s="589">
        <f t="shared" si="48"/>
        <v>29156.236635193258</v>
      </c>
      <c r="AJ139" s="589"/>
      <c r="AK139" s="596">
        <f t="shared" si="49"/>
        <v>177853.04347467885</v>
      </c>
      <c r="AL139" s="593">
        <f t="shared" si="50"/>
        <v>0.71999999999999975</v>
      </c>
      <c r="AM139" s="589">
        <f t="shared" si="51"/>
        <v>29156.236635193258</v>
      </c>
      <c r="AN139" s="589">
        <f t="shared" si="52"/>
        <v>29156.236635193258</v>
      </c>
      <c r="AO139" s="589"/>
      <c r="AP139" s="596">
        <f t="shared" si="53"/>
        <v>177853.04347467885</v>
      </c>
      <c r="AQ139"/>
      <c r="AR139"/>
      <c r="AS139"/>
      <c r="AT139"/>
      <c r="AU139"/>
      <c r="AV139"/>
      <c r="AW139"/>
    </row>
    <row r="140" spans="14:49">
      <c r="N140"/>
      <c r="O140">
        <f t="shared" si="33"/>
        <v>25</v>
      </c>
      <c r="P140">
        <f t="shared" si="34"/>
        <v>59</v>
      </c>
      <c r="Q140"/>
      <c r="R140">
        <f t="shared" si="35"/>
        <v>39</v>
      </c>
      <c r="S140" s="597">
        <f t="shared" si="31"/>
        <v>98</v>
      </c>
      <c r="T140" s="596">
        <f t="shared" si="36"/>
        <v>41304.668566523796</v>
      </c>
      <c r="U140" s="596">
        <f t="shared" si="37"/>
        <v>12063.279371064198</v>
      </c>
      <c r="V140" s="596">
        <f t="shared" si="38"/>
        <v>99695.786374211719</v>
      </c>
      <c r="W140" s="596">
        <f t="shared" si="39"/>
        <v>13071.182814505937</v>
      </c>
      <c r="X140" s="596">
        <f t="shared" si="32"/>
        <v>112766.96918871766</v>
      </c>
      <c r="Y140" s="595">
        <f t="shared" si="40"/>
        <v>5.7</v>
      </c>
      <c r="Z140" s="595"/>
      <c r="AA140" s="587">
        <f t="shared" si="41"/>
        <v>0</v>
      </c>
      <c r="AB140" s="587">
        <f t="shared" si="42"/>
        <v>1</v>
      </c>
      <c r="AC140" s="587">
        <f t="shared" si="43"/>
        <v>0</v>
      </c>
      <c r="AD140" s="593">
        <f t="shared" si="44"/>
        <v>1</v>
      </c>
      <c r="AE140" s="589">
        <f t="shared" si="45"/>
        <v>99695.786374211719</v>
      </c>
      <c r="AF140" s="589"/>
      <c r="AG140" s="593">
        <f t="shared" si="46"/>
        <v>0.75999999999999979</v>
      </c>
      <c r="AH140" s="589">
        <f t="shared" si="47"/>
        <v>31391.548110558077</v>
      </c>
      <c r="AI140" s="589">
        <f t="shared" si="48"/>
        <v>31391.548110558077</v>
      </c>
      <c r="AJ140" s="589"/>
      <c r="AK140" s="596">
        <f t="shared" si="49"/>
        <v>178931.82423018105</v>
      </c>
      <c r="AL140" s="593">
        <f t="shared" si="50"/>
        <v>0.75999999999999979</v>
      </c>
      <c r="AM140" s="589">
        <f t="shared" si="51"/>
        <v>31391.548110558077</v>
      </c>
      <c r="AN140" s="589">
        <f t="shared" si="52"/>
        <v>31391.548110558077</v>
      </c>
      <c r="AO140" s="589"/>
      <c r="AP140" s="596">
        <f t="shared" si="53"/>
        <v>178931.82423018105</v>
      </c>
      <c r="AQ140"/>
      <c r="AR140"/>
      <c r="AS140"/>
      <c r="AT140"/>
      <c r="AU140"/>
      <c r="AV140"/>
      <c r="AW140"/>
    </row>
    <row r="141" spans="14:49">
      <c r="N141"/>
      <c r="O141">
        <f t="shared" si="33"/>
        <v>26</v>
      </c>
      <c r="P141">
        <f t="shared" si="34"/>
        <v>60</v>
      </c>
      <c r="Q141"/>
      <c r="R141">
        <f t="shared" si="35"/>
        <v>40</v>
      </c>
      <c r="S141" s="597">
        <f t="shared" si="31"/>
        <v>100</v>
      </c>
      <c r="T141" s="596">
        <f t="shared" si="36"/>
        <v>42130.761937854273</v>
      </c>
      <c r="U141" s="596">
        <f t="shared" si="37"/>
        <v>12304.544958485481</v>
      </c>
      <c r="V141" s="596">
        <f t="shared" si="38"/>
        <v>102387.57260631543</v>
      </c>
      <c r="W141" s="596">
        <f t="shared" si="39"/>
        <v>13424.104750497596</v>
      </c>
      <c r="X141" s="596">
        <f t="shared" si="32"/>
        <v>115811.67735681303</v>
      </c>
      <c r="Y141" s="595">
        <f t="shared" si="40"/>
        <v>5.4</v>
      </c>
      <c r="Z141" s="595"/>
      <c r="AA141" s="587">
        <f t="shared" si="41"/>
        <v>0</v>
      </c>
      <c r="AB141" s="587">
        <f t="shared" si="42"/>
        <v>0</v>
      </c>
      <c r="AC141" s="587">
        <f t="shared" si="43"/>
        <v>0</v>
      </c>
      <c r="AD141" s="593">
        <f t="shared" si="44"/>
        <v>1</v>
      </c>
      <c r="AE141" s="589">
        <f t="shared" si="45"/>
        <v>102387.57260631543</v>
      </c>
      <c r="AF141" s="589"/>
      <c r="AG141" s="593">
        <f t="shared" si="46"/>
        <v>0.79999999999999982</v>
      </c>
      <c r="AH141" s="589">
        <f t="shared" si="47"/>
        <v>33704.609550283414</v>
      </c>
      <c r="AI141" s="589">
        <f t="shared" si="48"/>
        <v>33704.609550283414</v>
      </c>
      <c r="AJ141" s="589"/>
      <c r="AK141" s="596">
        <f t="shared" si="49"/>
        <v>182004.89157153046</v>
      </c>
      <c r="AL141" s="593">
        <f t="shared" si="50"/>
        <v>0.79999999999999982</v>
      </c>
      <c r="AM141" s="589">
        <f t="shared" si="51"/>
        <v>33704.609550283414</v>
      </c>
      <c r="AN141" s="589">
        <f t="shared" si="52"/>
        <v>33704.609550283414</v>
      </c>
      <c r="AO141" s="589"/>
      <c r="AP141" s="596">
        <f t="shared" si="53"/>
        <v>182004.89157153046</v>
      </c>
      <c r="AQ141"/>
      <c r="AR141"/>
      <c r="AS141"/>
      <c r="AT141"/>
      <c r="AU141"/>
      <c r="AV141"/>
      <c r="AW141"/>
    </row>
    <row r="142" spans="14:49">
      <c r="N142"/>
      <c r="O142">
        <f t="shared" si="33"/>
        <v>27</v>
      </c>
      <c r="P142">
        <f t="shared" si="34"/>
        <v>61</v>
      </c>
      <c r="Q142"/>
      <c r="R142">
        <f t="shared" si="35"/>
        <v>41</v>
      </c>
      <c r="S142" s="597">
        <f t="shared" si="31"/>
        <v>102</v>
      </c>
      <c r="T142" s="596">
        <f t="shared" si="36"/>
        <v>42973.377176611357</v>
      </c>
      <c r="U142" s="596">
        <f t="shared" si="37"/>
        <v>12550.635857655192</v>
      </c>
      <c r="V142" s="596">
        <f t="shared" si="38"/>
        <v>105152.03706668594</v>
      </c>
      <c r="W142" s="596">
        <f t="shared" si="39"/>
        <v>13786.55557876103</v>
      </c>
      <c r="X142" s="596">
        <f t="shared" si="32"/>
        <v>118938.59264544697</v>
      </c>
      <c r="Y142" s="595">
        <f t="shared" si="40"/>
        <v>5.0999999999999996</v>
      </c>
      <c r="Z142" s="595"/>
      <c r="AA142" s="587">
        <f t="shared" si="41"/>
        <v>0</v>
      </c>
      <c r="AB142" s="587">
        <f t="shared" si="42"/>
        <v>0</v>
      </c>
      <c r="AC142" s="587">
        <f t="shared" si="43"/>
        <v>0</v>
      </c>
      <c r="AD142" s="593">
        <f t="shared" si="44"/>
        <v>1</v>
      </c>
      <c r="AE142" s="589">
        <f t="shared" si="45"/>
        <v>105152.03706668594</v>
      </c>
      <c r="AF142" s="589"/>
      <c r="AG142" s="593">
        <f t="shared" si="46"/>
        <v>0.83999999999999986</v>
      </c>
      <c r="AH142" s="589">
        <f t="shared" si="47"/>
        <v>36097.636828353534</v>
      </c>
      <c r="AI142" s="589">
        <f t="shared" si="48"/>
        <v>36097.636828353534</v>
      </c>
      <c r="AJ142" s="589"/>
      <c r="AK142" s="596">
        <f t="shared" si="49"/>
        <v>184097.947824603</v>
      </c>
      <c r="AL142" s="593">
        <f t="shared" si="50"/>
        <v>0.83999999999999986</v>
      </c>
      <c r="AM142" s="589">
        <f t="shared" si="51"/>
        <v>36097.636828353534</v>
      </c>
      <c r="AN142" s="589">
        <f t="shared" si="52"/>
        <v>36097.636828353534</v>
      </c>
      <c r="AO142" s="589"/>
      <c r="AP142" s="596">
        <f t="shared" si="53"/>
        <v>184097.947824603</v>
      </c>
      <c r="AQ142"/>
      <c r="AR142"/>
      <c r="AS142"/>
      <c r="AT142"/>
      <c r="AU142"/>
      <c r="AV142"/>
      <c r="AW142"/>
    </row>
    <row r="143" spans="14:49">
      <c r="N143"/>
      <c r="O143">
        <f t="shared" si="33"/>
        <v>28</v>
      </c>
      <c r="P143">
        <f t="shared" si="34"/>
        <v>62</v>
      </c>
      <c r="Q143"/>
      <c r="R143">
        <f t="shared" si="35"/>
        <v>42</v>
      </c>
      <c r="S143" s="597">
        <f t="shared" si="31"/>
        <v>104</v>
      </c>
      <c r="T143" s="596">
        <f t="shared" si="36"/>
        <v>43832.844720143585</v>
      </c>
      <c r="U143" s="596">
        <f t="shared" si="37"/>
        <v>12801.648574808296</v>
      </c>
      <c r="V143" s="596">
        <f t="shared" si="38"/>
        <v>107991.14206748645</v>
      </c>
      <c r="W143" s="596">
        <f t="shared" si="39"/>
        <v>14158.792579387577</v>
      </c>
      <c r="X143" s="596">
        <f t="shared" si="32"/>
        <v>122149.93464687403</v>
      </c>
      <c r="Y143" s="594">
        <f t="shared" si="40"/>
        <v>4.8999999999999995</v>
      </c>
      <c r="Z143" s="594">
        <f>H69</f>
        <v>0.9</v>
      </c>
      <c r="AA143" s="587">
        <f t="shared" si="41"/>
        <v>0</v>
      </c>
      <c r="AB143" s="587">
        <f t="shared" si="42"/>
        <v>0</v>
      </c>
      <c r="AC143" s="587">
        <f t="shared" si="43"/>
        <v>0</v>
      </c>
      <c r="AD143" s="593">
        <f t="shared" si="44"/>
        <v>1</v>
      </c>
      <c r="AE143" s="589">
        <f t="shared" si="45"/>
        <v>107991.14206748645</v>
      </c>
      <c r="AF143" s="589">
        <f>X143-AE143</f>
        <v>14158.792579387577</v>
      </c>
      <c r="AG143" s="593">
        <f t="shared" si="46"/>
        <v>0.87999999999999989</v>
      </c>
      <c r="AH143" s="589">
        <f t="shared" si="47"/>
        <v>38572.903353726353</v>
      </c>
      <c r="AI143" s="589">
        <f t="shared" si="48"/>
        <v>38572.903353726353</v>
      </c>
      <c r="AJ143" s="589">
        <v>0</v>
      </c>
      <c r="AK143" s="592">
        <f t="shared" si="49"/>
        <v>189007.22643325911</v>
      </c>
      <c r="AL143" s="593">
        <f t="shared" si="50"/>
        <v>0.87999999999999989</v>
      </c>
      <c r="AM143" s="589">
        <f t="shared" si="51"/>
        <v>38572.903353726353</v>
      </c>
      <c r="AN143" s="589">
        <f t="shared" si="52"/>
        <v>38572.903353726353</v>
      </c>
      <c r="AO143" s="589">
        <v>0</v>
      </c>
      <c r="AP143" s="592">
        <f t="shared" si="53"/>
        <v>189007.22643325911</v>
      </c>
      <c r="AQ143"/>
      <c r="AR143"/>
      <c r="AS143"/>
      <c r="AT143"/>
      <c r="AU143"/>
      <c r="AV143"/>
      <c r="AW143"/>
    </row>
    <row r="144" spans="14:49">
      <c r="N144"/>
      <c r="O144">
        <f t="shared" si="33"/>
        <v>29</v>
      </c>
      <c r="P144">
        <f t="shared" si="34"/>
        <v>63</v>
      </c>
      <c r="Q144"/>
      <c r="R144">
        <f t="shared" si="35"/>
        <v>43</v>
      </c>
      <c r="S144" s="597">
        <f t="shared" si="31"/>
        <v>106</v>
      </c>
      <c r="T144" s="596">
        <f t="shared" si="36"/>
        <v>44709.501614546454</v>
      </c>
      <c r="U144" s="596">
        <f t="shared" si="37"/>
        <v>13057.681546304462</v>
      </c>
      <c r="V144" s="596">
        <f t="shared" si="38"/>
        <v>110906.90290330857</v>
      </c>
      <c r="W144" s="596">
        <f t="shared" si="39"/>
        <v>14541.079979031039</v>
      </c>
      <c r="X144" s="596">
        <f t="shared" si="32"/>
        <v>125447.98288233961</v>
      </c>
      <c r="Y144" s="595">
        <f t="shared" si="40"/>
        <v>4.5</v>
      </c>
      <c r="Z144" s="594">
        <f>H70</f>
        <v>0.6</v>
      </c>
      <c r="AA144" s="587">
        <f t="shared" si="41"/>
        <v>0</v>
      </c>
      <c r="AB144" s="587">
        <f t="shared" si="42"/>
        <v>0</v>
      </c>
      <c r="AC144" s="587">
        <f t="shared" si="43"/>
        <v>0</v>
      </c>
      <c r="AD144" s="593">
        <f t="shared" si="44"/>
        <v>1</v>
      </c>
      <c r="AE144" s="589">
        <f t="shared" si="45"/>
        <v>110906.90290330857</v>
      </c>
      <c r="AF144" s="589">
        <f>X144-AE144</f>
        <v>14541.079979031041</v>
      </c>
      <c r="AG144" s="593">
        <f t="shared" si="46"/>
        <v>0.91999999999999993</v>
      </c>
      <c r="AH144" s="589">
        <f t="shared" si="47"/>
        <v>41132.741485382736</v>
      </c>
      <c r="AI144" s="589">
        <f t="shared" si="48"/>
        <v>41132.741485382736</v>
      </c>
      <c r="AJ144" s="589">
        <v>0</v>
      </c>
      <c r="AK144" s="596">
        <f t="shared" si="49"/>
        <v>185097.3366842223</v>
      </c>
      <c r="AL144" s="593">
        <f t="shared" si="50"/>
        <v>0.91999999999999993</v>
      </c>
      <c r="AM144" s="589">
        <f t="shared" si="51"/>
        <v>41132.741485382736</v>
      </c>
      <c r="AN144" s="589">
        <f t="shared" si="52"/>
        <v>41132.741485382736</v>
      </c>
      <c r="AO144" s="589">
        <v>0</v>
      </c>
      <c r="AP144" s="596">
        <f t="shared" si="53"/>
        <v>185097.3366842223</v>
      </c>
      <c r="AQ144"/>
      <c r="AR144"/>
      <c r="AS144"/>
      <c r="AT144"/>
      <c r="AU144"/>
      <c r="AV144"/>
      <c r="AW144"/>
    </row>
    <row r="145" spans="14:49">
      <c r="N145"/>
      <c r="O145">
        <f t="shared" si="33"/>
        <v>30</v>
      </c>
      <c r="P145">
        <f t="shared" si="34"/>
        <v>64</v>
      </c>
      <c r="Q145"/>
      <c r="R145">
        <f t="shared" si="35"/>
        <v>44</v>
      </c>
      <c r="S145" s="597">
        <f t="shared" si="31"/>
        <v>108</v>
      </c>
      <c r="T145" s="596">
        <f t="shared" si="36"/>
        <v>45603.691646837382</v>
      </c>
      <c r="U145" s="596">
        <f t="shared" si="37"/>
        <v>13318.835177230552</v>
      </c>
      <c r="V145" s="596">
        <f t="shared" si="38"/>
        <v>113901.38928169789</v>
      </c>
      <c r="W145" s="596">
        <f t="shared" si="39"/>
        <v>14933.689138464877</v>
      </c>
      <c r="X145" s="596">
        <f t="shared" si="32"/>
        <v>128835.07842016277</v>
      </c>
      <c r="Y145" s="595">
        <f t="shared" si="40"/>
        <v>4.2</v>
      </c>
      <c r="Z145" s="594">
        <f>H71</f>
        <v>0.3</v>
      </c>
      <c r="AA145" s="587">
        <f t="shared" si="41"/>
        <v>0</v>
      </c>
      <c r="AB145" s="587">
        <f t="shared" si="42"/>
        <v>0</v>
      </c>
      <c r="AC145" s="587">
        <f t="shared" si="43"/>
        <v>0</v>
      </c>
      <c r="AD145" s="593">
        <f t="shared" si="44"/>
        <v>1</v>
      </c>
      <c r="AE145" s="589">
        <f t="shared" si="45"/>
        <v>113901.38928169789</v>
      </c>
      <c r="AF145" s="589">
        <f>X145-AE145</f>
        <v>14933.689138464877</v>
      </c>
      <c r="AG145" s="593">
        <f t="shared" si="46"/>
        <v>0.96</v>
      </c>
      <c r="AH145" s="589">
        <f t="shared" si="47"/>
        <v>43779.543980963885</v>
      </c>
      <c r="AI145" s="589">
        <f t="shared" si="48"/>
        <v>43779.543980963885</v>
      </c>
      <c r="AJ145" s="589">
        <v>0</v>
      </c>
      <c r="AK145" s="596">
        <f t="shared" si="49"/>
        <v>183874.08472004833</v>
      </c>
      <c r="AL145" s="593">
        <f t="shared" si="50"/>
        <v>0.96</v>
      </c>
      <c r="AM145" s="589">
        <f t="shared" si="51"/>
        <v>43779.543980963885</v>
      </c>
      <c r="AN145" s="589">
        <f t="shared" si="52"/>
        <v>43779.543980963885</v>
      </c>
      <c r="AO145" s="589">
        <v>0</v>
      </c>
      <c r="AP145" s="596">
        <f t="shared" si="53"/>
        <v>183874.08472004833</v>
      </c>
      <c r="AQ145"/>
      <c r="AR145"/>
      <c r="AS145"/>
      <c r="AT145"/>
      <c r="AU145"/>
      <c r="AV145"/>
      <c r="AW145"/>
    </row>
    <row r="146" spans="14:49">
      <c r="N146"/>
      <c r="O146">
        <f t="shared" si="33"/>
        <v>31</v>
      </c>
      <c r="P146">
        <f t="shared" si="34"/>
        <v>65</v>
      </c>
      <c r="Q146"/>
      <c r="R146">
        <f t="shared" si="35"/>
        <v>45</v>
      </c>
      <c r="S146" s="597">
        <f t="shared" si="31"/>
        <v>110</v>
      </c>
      <c r="T146" s="596">
        <f t="shared" si="36"/>
        <v>46515.765479774127</v>
      </c>
      <c r="U146" s="596">
        <f t="shared" si="37"/>
        <v>13585.211880775163</v>
      </c>
      <c r="V146" s="596">
        <f t="shared" si="38"/>
        <v>116976.72679230373</v>
      </c>
      <c r="W146" s="596">
        <f t="shared" si="39"/>
        <v>15336.898745203427</v>
      </c>
      <c r="X146" s="596">
        <f t="shared" si="32"/>
        <v>132313.62553750715</v>
      </c>
      <c r="Y146" s="595">
        <f t="shared" si="40"/>
        <v>4</v>
      </c>
      <c r="Z146" s="594">
        <f>H72</f>
        <v>0</v>
      </c>
      <c r="AA146" s="587">
        <f t="shared" si="41"/>
        <v>0</v>
      </c>
      <c r="AB146" s="587">
        <f t="shared" si="42"/>
        <v>0</v>
      </c>
      <c r="AC146" s="587">
        <f t="shared" si="43"/>
        <v>0</v>
      </c>
      <c r="AD146" s="593">
        <f t="shared" si="44"/>
        <v>1</v>
      </c>
      <c r="AE146" s="589">
        <f t="shared" si="45"/>
        <v>116976.72679230373</v>
      </c>
      <c r="AF146" s="589">
        <f>X146-AE146</f>
        <v>15336.89874520342</v>
      </c>
      <c r="AG146" s="631">
        <v>1</v>
      </c>
      <c r="AH146" s="589">
        <f t="shared" si="47"/>
        <v>46515.765479774127</v>
      </c>
      <c r="AI146" s="589">
        <f t="shared" si="48"/>
        <v>46515.765479774127</v>
      </c>
      <c r="AJ146" s="589">
        <v>0</v>
      </c>
      <c r="AK146" s="592">
        <f t="shared" si="49"/>
        <v>186063.06191909651</v>
      </c>
      <c r="AL146" s="631">
        <v>1</v>
      </c>
      <c r="AM146" s="589">
        <f t="shared" si="51"/>
        <v>46515.765479774127</v>
      </c>
      <c r="AN146" s="589">
        <f t="shared" si="52"/>
        <v>46515.765479774127</v>
      </c>
      <c r="AO146" s="589">
        <v>0</v>
      </c>
      <c r="AP146" s="592">
        <f t="shared" si="53"/>
        <v>186063.06191909651</v>
      </c>
      <c r="AQ146"/>
      <c r="AR146"/>
      <c r="AS146"/>
      <c r="AT146"/>
      <c r="AU146"/>
      <c r="AV146"/>
      <c r="AW146"/>
    </row>
    <row r="147" spans="14:49">
      <c r="N147"/>
      <c r="O147"/>
      <c r="P147"/>
      <c r="Q147"/>
      <c r="R147"/>
      <c r="S147"/>
      <c r="T147"/>
      <c r="U147"/>
      <c r="V147"/>
      <c r="W147"/>
      <c r="X147"/>
      <c r="Y147" s="587"/>
      <c r="Z147" s="587"/>
      <c r="AA147" s="587"/>
      <c r="AB147" s="587"/>
      <c r="AC147" s="587"/>
      <c r="AD147" s="587"/>
      <c r="AE147" s="587"/>
      <c r="AF147" s="587"/>
      <c r="AG147" s="587"/>
      <c r="AH147" s="587"/>
      <c r="AI147" s="587"/>
      <c r="AJ147" s="587"/>
      <c r="AK147" s="587"/>
      <c r="AL147" s="587"/>
      <c r="AM147" s="587"/>
      <c r="AN147" s="587"/>
      <c r="AO147"/>
      <c r="AP147"/>
      <c r="AQ147"/>
      <c r="AR147"/>
      <c r="AS147"/>
      <c r="AT147"/>
      <c r="AU147"/>
      <c r="AV147"/>
      <c r="AW147"/>
    </row>
    <row r="148" spans="14:49">
      <c r="N148"/>
      <c r="O148"/>
      <c r="P148"/>
      <c r="Q148"/>
      <c r="R148"/>
      <c r="S148"/>
      <c r="T148"/>
      <c r="U148"/>
      <c r="V148"/>
      <c r="W148"/>
      <c r="X148"/>
      <c r="Y148" s="587"/>
      <c r="Z148" s="587"/>
      <c r="AA148" s="587"/>
      <c r="AB148" s="587"/>
      <c r="AC148" s="587"/>
      <c r="AD148" s="587"/>
      <c r="AE148" s="587"/>
      <c r="AF148" s="587"/>
      <c r="AG148" s="587"/>
      <c r="AH148" s="587"/>
      <c r="AI148" s="590"/>
      <c r="AJ148" s="590" t="s">
        <v>886</v>
      </c>
      <c r="AK148" s="589">
        <f>MAX(AK136:AK146)</f>
        <v>189007.22643325911</v>
      </c>
      <c r="AL148" s="587"/>
      <c r="AM148" s="587"/>
      <c r="AN148" s="587"/>
      <c r="AO148" s="590"/>
      <c r="AP148" s="589"/>
      <c r="AQ148"/>
      <c r="AR148"/>
      <c r="AS148"/>
      <c r="AT148"/>
      <c r="AU148"/>
      <c r="AV148"/>
      <c r="AW148"/>
    </row>
    <row r="149" spans="14:49">
      <c r="N149"/>
      <c r="O149"/>
      <c r="P149"/>
      <c r="Q149"/>
      <c r="R149"/>
      <c r="S149"/>
      <c r="T149"/>
      <c r="U149"/>
      <c r="V149"/>
      <c r="W149"/>
      <c r="X149"/>
      <c r="Y149" s="587"/>
      <c r="Z149" s="587"/>
      <c r="AA149" s="587"/>
      <c r="AB149" s="587"/>
      <c r="AC149" s="587"/>
      <c r="AD149" s="587"/>
      <c r="AE149" s="587"/>
      <c r="AF149" s="587"/>
      <c r="AG149" s="591"/>
      <c r="AH149" s="587"/>
      <c r="AI149" s="590"/>
      <c r="AJ149" s="590" t="s">
        <v>885</v>
      </c>
      <c r="AK149" s="589">
        <f>_xlfn.XLOOKUP(1,$AG$136:$AG$146,AK136:AK146)</f>
        <v>186063.06191909651</v>
      </c>
      <c r="AL149" s="587"/>
      <c r="AM149" s="587"/>
      <c r="AN149" s="587"/>
      <c r="AO149" s="590"/>
      <c r="AP149" s="589"/>
      <c r="AQ149"/>
      <c r="AR149"/>
      <c r="AS149"/>
      <c r="AT149"/>
      <c r="AU149"/>
      <c r="AV149"/>
      <c r="AW149"/>
    </row>
    <row r="150" spans="14:49">
      <c r="N150"/>
      <c r="O150"/>
      <c r="P150"/>
      <c r="Q150"/>
      <c r="R150"/>
      <c r="S150"/>
      <c r="T150"/>
      <c r="U150"/>
      <c r="V150"/>
      <c r="W150"/>
      <c r="X150"/>
      <c r="Y150" s="587"/>
      <c r="Z150" s="587"/>
      <c r="AA150" s="587"/>
      <c r="AB150" s="587"/>
      <c r="AC150" s="587"/>
      <c r="AD150" s="587"/>
      <c r="AE150" s="587"/>
      <c r="AF150" s="587"/>
      <c r="AG150" s="587"/>
      <c r="AH150" s="587"/>
      <c r="AI150" s="586"/>
      <c r="AJ150" s="586" t="s">
        <v>884</v>
      </c>
      <c r="AK150" s="585">
        <f>0.5*SUM(AK148:AK149)</f>
        <v>187535.1441761778</v>
      </c>
      <c r="AL150" s="587"/>
      <c r="AM150" s="587"/>
      <c r="AN150" s="587"/>
      <c r="AO150" s="586"/>
      <c r="AP150" s="585"/>
      <c r="AQ150"/>
      <c r="AR150"/>
      <c r="AS150"/>
      <c r="AT150"/>
      <c r="AU150"/>
      <c r="AV150"/>
      <c r="AW150"/>
    </row>
    <row r="151" spans="14:49">
      <c r="N151"/>
      <c r="O151"/>
      <c r="P151"/>
      <c r="Q151"/>
      <c r="R151"/>
      <c r="S151"/>
      <c r="T151"/>
      <c r="U151"/>
      <c r="V151"/>
      <c r="W151"/>
      <c r="X151"/>
      <c r="Y151"/>
      <c r="Z151"/>
      <c r="AA151"/>
      <c r="AB151"/>
      <c r="AC151"/>
      <c r="AD151"/>
      <c r="AE151"/>
      <c r="AF151"/>
      <c r="AG151"/>
      <c r="AH151" s="587"/>
      <c r="AI151"/>
      <c r="AJ151"/>
      <c r="AK151" s="587"/>
      <c r="AL151" s="587"/>
      <c r="AM151" s="587"/>
      <c r="AN151" s="587"/>
      <c r="AO151" s="587"/>
      <c r="AP151"/>
      <c r="AQ151"/>
      <c r="AR151"/>
      <c r="AS151"/>
      <c r="AT151"/>
      <c r="AU151"/>
      <c r="AV151"/>
      <c r="AW151"/>
    </row>
    <row r="152" spans="14:49">
      <c r="N152"/>
      <c r="O152"/>
      <c r="P152"/>
      <c r="Q152"/>
      <c r="R152"/>
      <c r="S152"/>
      <c r="T152"/>
      <c r="U152"/>
      <c r="V152"/>
      <c r="W152"/>
      <c r="X152"/>
      <c r="Y152"/>
      <c r="Z152"/>
      <c r="AA152"/>
      <c r="AB152"/>
      <c r="AC152"/>
      <c r="AD152"/>
      <c r="AE152"/>
      <c r="AF152"/>
      <c r="AG152"/>
      <c r="AH152" s="587"/>
      <c r="AI152" s="590"/>
      <c r="AJ152" s="590" t="s">
        <v>883</v>
      </c>
      <c r="AK152" s="589">
        <f>0.5*AK150</f>
        <v>93767.572088088898</v>
      </c>
      <c r="AL152" s="587"/>
      <c r="AM152" s="587"/>
      <c r="AN152" s="587"/>
      <c r="AO152" s="590"/>
      <c r="AP152" s="589"/>
      <c r="AQ152"/>
      <c r="AR152"/>
      <c r="AS152"/>
      <c r="AT152"/>
      <c r="AU152"/>
      <c r="AV152"/>
      <c r="AW152"/>
    </row>
    <row r="153" spans="14:49">
      <c r="N153"/>
      <c r="O153"/>
      <c r="P153"/>
      <c r="Q153"/>
      <c r="R153"/>
      <c r="S153"/>
      <c r="T153"/>
      <c r="U153"/>
      <c r="V153"/>
      <c r="W153"/>
      <c r="X153"/>
      <c r="Y153"/>
      <c r="Z153"/>
      <c r="AA153"/>
      <c r="AB153"/>
      <c r="AC153"/>
      <c r="AD153"/>
      <c r="AE153"/>
      <c r="AF153"/>
      <c r="AG153"/>
      <c r="AH153" s="587"/>
      <c r="AI153" s="586"/>
      <c r="AJ153" s="586" t="s">
        <v>882</v>
      </c>
      <c r="AK153" s="588">
        <f>MAX($E$14-AK152,0)</f>
        <v>6232.4279119111015</v>
      </c>
      <c r="AL153" s="587"/>
      <c r="AM153" s="587"/>
      <c r="AN153" s="587"/>
      <c r="AO153" s="586"/>
      <c r="AP153" s="588"/>
      <c r="AQ153"/>
      <c r="AR153"/>
      <c r="AS153"/>
      <c r="AT153"/>
      <c r="AU153"/>
      <c r="AV153"/>
      <c r="AW153"/>
    </row>
    <row r="154" spans="14:49">
      <c r="N154"/>
      <c r="O154"/>
      <c r="P154"/>
      <c r="Q154"/>
      <c r="R154"/>
      <c r="S154"/>
      <c r="T154"/>
      <c r="U154" s="587"/>
      <c r="V154" s="587"/>
      <c r="W154" s="587"/>
      <c r="X154" s="587"/>
      <c r="Y154" s="587"/>
      <c r="Z154" s="587"/>
      <c r="AA154" s="587"/>
      <c r="AB154" s="587"/>
      <c r="AC154" s="587"/>
      <c r="AD154" s="587"/>
      <c r="AE154" s="587"/>
      <c r="AF154" s="587"/>
      <c r="AG154" s="587"/>
      <c r="AH154" s="587"/>
      <c r="AI154" s="586"/>
      <c r="AJ154" s="630" t="s">
        <v>881</v>
      </c>
      <c r="AK154" s="629">
        <f>AK150+AK153</f>
        <v>193767.5720880889</v>
      </c>
      <c r="AL154" s="587"/>
      <c r="AM154" s="587"/>
      <c r="AN154" s="587"/>
      <c r="AO154" s="588"/>
      <c r="AP154" s="588"/>
      <c r="AQ154"/>
      <c r="AS154"/>
      <c r="AT154"/>
      <c r="AU154"/>
      <c r="AV154"/>
      <c r="AW154"/>
    </row>
    <row r="155" spans="14:49">
      <c r="N155"/>
      <c r="O155"/>
      <c r="P155"/>
      <c r="Q155"/>
      <c r="R155"/>
      <c r="S155"/>
      <c r="T155"/>
      <c r="U155" s="587"/>
      <c r="V155" s="587"/>
      <c r="W155" s="587"/>
      <c r="X155" s="587"/>
      <c r="Y155" s="587"/>
      <c r="Z155" s="587"/>
      <c r="AA155" s="587"/>
      <c r="AB155" s="587"/>
      <c r="AC155" s="587"/>
      <c r="AD155" s="587"/>
      <c r="AE155" s="587"/>
      <c r="AF155" s="587"/>
      <c r="AG155" s="587"/>
      <c r="AH155" s="586"/>
      <c r="AI155" s="586"/>
      <c r="AJ155" s="586"/>
      <c r="AK155" s="585"/>
      <c r="AL155" s="587"/>
      <c r="AM155" s="587"/>
      <c r="AN155" s="587"/>
      <c r="AO155" s="586"/>
      <c r="AP155" s="585"/>
      <c r="AQ155"/>
      <c r="AR155"/>
      <c r="AS155"/>
      <c r="AT155"/>
      <c r="AU155"/>
      <c r="AV155"/>
      <c r="AW155"/>
    </row>
    <row r="156" spans="14:49">
      <c r="AL156" s="587"/>
      <c r="AM156" s="587"/>
      <c r="AN156" s="587"/>
    </row>
    <row r="157" spans="14:49">
      <c r="AL157" s="587"/>
      <c r="AM157" s="587"/>
      <c r="AN157" s="587"/>
    </row>
    <row r="158" spans="14:49">
      <c r="AL158" s="587"/>
      <c r="AM158" s="587"/>
      <c r="AN158" s="587"/>
    </row>
  </sheetData>
  <mergeCells count="10">
    <mergeCell ref="C91:I92"/>
    <mergeCell ref="AA114:AE114"/>
    <mergeCell ref="AG114:AK114"/>
    <mergeCell ref="AL114:AP114"/>
    <mergeCell ref="D41:H41"/>
    <mergeCell ref="AA66:AE66"/>
    <mergeCell ref="AG66:AK66"/>
    <mergeCell ref="AL66:AP66"/>
    <mergeCell ref="C78:I79"/>
    <mergeCell ref="C84:I8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173C5-15F7-44BF-944F-8EF16FD8884A}">
  <dimension ref="A1:XFD267"/>
  <sheetViews>
    <sheetView zoomScaleNormal="100" workbookViewId="0">
      <selection activeCell="O14" sqref="O14"/>
    </sheetView>
  </sheetViews>
  <sheetFormatPr defaultColWidth="8.88671875" defaultRowHeight="15.6"/>
  <cols>
    <col min="1" max="1" width="4.109375" style="3" customWidth="1"/>
    <col min="2" max="2" width="13.5546875" style="3" customWidth="1"/>
    <col min="3" max="3" width="28.5546875" style="3" customWidth="1"/>
    <col min="4" max="4" width="28.88671875" style="3" customWidth="1"/>
    <col min="5" max="7" width="32.88671875" style="3" customWidth="1"/>
    <col min="8" max="8" width="15.88671875" style="3" bestFit="1" customWidth="1"/>
    <col min="9" max="9" width="6.109375" style="3" customWidth="1"/>
    <col min="10" max="10" width="20.44140625" style="3" bestFit="1" customWidth="1"/>
    <col min="11" max="11" width="11.5546875" style="3" bestFit="1" customWidth="1"/>
    <col min="12" max="12" width="12.109375" style="3" bestFit="1" customWidth="1"/>
    <col min="13" max="13" width="14.109375" style="3" bestFit="1" customWidth="1"/>
    <col min="14" max="14" width="12.109375" style="3" customWidth="1"/>
    <col min="15" max="15" width="15" style="3" customWidth="1"/>
    <col min="16" max="16" width="14" style="3" customWidth="1"/>
    <col min="17" max="17" width="12.109375" style="3" customWidth="1"/>
    <col min="18" max="18" width="10" style="3" bestFit="1" customWidth="1"/>
    <col min="19" max="20" width="13" style="3" bestFit="1" customWidth="1"/>
    <col min="21" max="21" width="11.44140625" style="3" bestFit="1" customWidth="1"/>
    <col min="22" max="22" width="13.109375" style="3" bestFit="1" customWidth="1"/>
    <col min="23" max="27" width="8.88671875" style="3"/>
    <col min="28" max="28" width="26.109375" style="3" bestFit="1" customWidth="1"/>
    <col min="29" max="29" width="12" style="3" bestFit="1" customWidth="1"/>
    <col min="30" max="16384" width="8.88671875" style="3"/>
  </cols>
  <sheetData>
    <row r="1" spans="1:11">
      <c r="A1" s="1" t="s">
        <v>1066</v>
      </c>
      <c r="B1" s="723"/>
      <c r="C1" s="687"/>
      <c r="D1" s="687"/>
      <c r="E1" s="687"/>
      <c r="F1" s="687"/>
      <c r="G1" s="687"/>
      <c r="H1" s="687"/>
      <c r="J1" s="3" t="str">
        <f>A1</f>
        <v>RETFRC Fall 2024</v>
      </c>
    </row>
    <row r="2" spans="1:11">
      <c r="A2" s="1" t="s">
        <v>1</v>
      </c>
      <c r="B2" s="723"/>
      <c r="C2" s="687"/>
      <c r="D2" s="687"/>
      <c r="E2" s="687"/>
      <c r="F2" s="687"/>
      <c r="G2" s="687"/>
      <c r="H2" s="687"/>
      <c r="J2" s="3" t="str">
        <f>A2</f>
        <v>Question 3</v>
      </c>
    </row>
    <row r="3" spans="1:11">
      <c r="A3" s="1"/>
      <c r="B3" s="723"/>
      <c r="C3" s="687"/>
      <c r="D3" s="687"/>
      <c r="E3" s="687"/>
      <c r="F3" s="687"/>
      <c r="G3" s="687"/>
      <c r="H3" s="687"/>
    </row>
    <row r="4" spans="1:11">
      <c r="A4" s="815" t="s">
        <v>1065</v>
      </c>
      <c r="B4" s="172"/>
      <c r="C4" s="1877" t="s">
        <v>1064</v>
      </c>
      <c r="D4" s="1877"/>
      <c r="E4" s="1877"/>
      <c r="F4" s="1877"/>
      <c r="G4" s="1877"/>
      <c r="H4" s="791"/>
      <c r="J4" s="3" t="s">
        <v>2</v>
      </c>
    </row>
    <row r="5" spans="1:11">
      <c r="A5" s="687"/>
      <c r="B5" s="687"/>
      <c r="C5" s="687"/>
      <c r="D5" s="687"/>
      <c r="E5" s="687"/>
      <c r="F5" s="687"/>
      <c r="G5" s="687"/>
      <c r="H5" s="687"/>
    </row>
    <row r="6" spans="1:11">
      <c r="A6" s="687"/>
      <c r="B6" s="687"/>
      <c r="C6" s="723" t="s">
        <v>872</v>
      </c>
      <c r="D6" s="717"/>
      <c r="E6" s="717"/>
      <c r="F6" s="717"/>
      <c r="G6" s="717"/>
      <c r="H6" s="687"/>
    </row>
    <row r="7" spans="1:11">
      <c r="A7" s="687"/>
      <c r="B7" s="687"/>
      <c r="C7" s="762"/>
      <c r="D7" s="717"/>
      <c r="E7" s="717"/>
      <c r="F7" s="717"/>
      <c r="G7" s="717"/>
      <c r="H7" s="687"/>
    </row>
    <row r="8" spans="1:11">
      <c r="A8" s="687"/>
      <c r="B8" s="687"/>
      <c r="C8" s="741" t="s">
        <v>1063</v>
      </c>
      <c r="D8" s="772"/>
      <c r="E8" s="211" t="s">
        <v>1062</v>
      </c>
      <c r="F8" s="719"/>
      <c r="G8" s="772"/>
      <c r="H8" s="687"/>
      <c r="K8" s="742"/>
    </row>
    <row r="9" spans="1:11" ht="33" customHeight="1">
      <c r="A9" s="687"/>
      <c r="B9" s="687"/>
      <c r="C9" s="814" t="s">
        <v>1061</v>
      </c>
      <c r="D9" s="813"/>
      <c r="E9" s="1875" t="s">
        <v>1060</v>
      </c>
      <c r="F9" s="1878"/>
      <c r="G9" s="1876"/>
      <c r="H9" s="687"/>
      <c r="K9" s="804"/>
    </row>
    <row r="10" spans="1:11">
      <c r="A10" s="687"/>
      <c r="B10" s="687"/>
      <c r="C10" s="812" t="s">
        <v>1059</v>
      </c>
      <c r="D10" s="811"/>
      <c r="E10" s="741" t="s">
        <v>127</v>
      </c>
      <c r="F10" s="719"/>
      <c r="G10" s="772"/>
      <c r="H10" s="687"/>
      <c r="K10" s="164"/>
    </row>
    <row r="11" spans="1:11">
      <c r="A11" s="687"/>
      <c r="B11" s="687"/>
      <c r="C11" s="741" t="s">
        <v>554</v>
      </c>
      <c r="D11" s="772"/>
      <c r="E11" s="759" t="s">
        <v>135</v>
      </c>
      <c r="F11" s="719"/>
      <c r="G11" s="772"/>
      <c r="H11" s="687"/>
      <c r="K11" s="164"/>
    </row>
    <row r="12" spans="1:11">
      <c r="A12" s="687"/>
      <c r="B12" s="687"/>
      <c r="C12" s="810" t="s">
        <v>1058</v>
      </c>
      <c r="D12" s="809"/>
      <c r="E12" s="808" t="s">
        <v>1057</v>
      </c>
      <c r="F12" s="719"/>
      <c r="G12" s="772"/>
      <c r="H12" s="687"/>
      <c r="K12" s="164"/>
    </row>
    <row r="13" spans="1:11">
      <c r="A13" s="687"/>
      <c r="B13" s="687"/>
      <c r="C13" s="760" t="s">
        <v>553</v>
      </c>
      <c r="D13" s="799"/>
      <c r="E13" s="807" t="s">
        <v>1056</v>
      </c>
      <c r="F13" s="806"/>
      <c r="G13" s="805"/>
      <c r="H13" s="738"/>
      <c r="K13" s="804"/>
    </row>
    <row r="14" spans="1:11">
      <c r="A14" s="687"/>
      <c r="B14" s="687"/>
      <c r="C14" s="803"/>
      <c r="D14" s="717"/>
      <c r="E14" s="802" t="s">
        <v>1055</v>
      </c>
      <c r="F14" s="717"/>
      <c r="G14" s="801"/>
      <c r="H14" s="687"/>
      <c r="K14" s="164"/>
    </row>
    <row r="15" spans="1:11">
      <c r="A15" s="687"/>
      <c r="B15" s="687"/>
      <c r="C15" s="760" t="s">
        <v>1054</v>
      </c>
      <c r="D15" s="785"/>
      <c r="E15" s="800" t="s">
        <v>1053</v>
      </c>
      <c r="F15" s="799"/>
      <c r="G15" s="785"/>
      <c r="H15" s="687"/>
    </row>
    <row r="16" spans="1:11">
      <c r="A16" s="687"/>
      <c r="B16" s="687"/>
      <c r="C16" s="744"/>
      <c r="D16" s="796"/>
      <c r="E16" s="798" t="s">
        <v>1052</v>
      </c>
      <c r="F16" s="797"/>
      <c r="G16" s="796"/>
      <c r="H16" s="687"/>
    </row>
    <row r="17" spans="1:8">
      <c r="A17" s="687"/>
      <c r="B17" s="687"/>
      <c r="C17" s="744" t="s">
        <v>1051</v>
      </c>
      <c r="D17" s="796"/>
      <c r="E17" s="685" t="s">
        <v>1050</v>
      </c>
      <c r="F17" s="797"/>
      <c r="G17" s="796"/>
      <c r="H17" s="687"/>
    </row>
    <row r="18" spans="1:8">
      <c r="A18" s="687"/>
      <c r="B18" s="687"/>
      <c r="C18" s="795" t="s">
        <v>1049</v>
      </c>
      <c r="D18" s="794"/>
      <c r="E18" s="754" t="s">
        <v>498</v>
      </c>
      <c r="F18" s="719"/>
      <c r="G18" s="772"/>
      <c r="H18" s="687"/>
    </row>
    <row r="19" spans="1:8">
      <c r="A19" s="687"/>
      <c r="B19" s="687"/>
      <c r="C19" s="793" t="s">
        <v>1048</v>
      </c>
      <c r="D19" s="792"/>
      <c r="E19" s="1875" t="s">
        <v>1047</v>
      </c>
      <c r="F19" s="1878"/>
      <c r="G19" s="1876"/>
      <c r="H19" s="687"/>
    </row>
    <row r="20" spans="1:8">
      <c r="A20" s="687"/>
      <c r="B20" s="687"/>
      <c r="C20" s="717"/>
      <c r="D20" s="717"/>
      <c r="E20" s="717"/>
      <c r="F20" s="717"/>
      <c r="G20" s="717"/>
      <c r="H20" s="687"/>
    </row>
    <row r="21" spans="1:8">
      <c r="A21" s="687"/>
      <c r="B21" s="687"/>
      <c r="C21" s="1877" t="s">
        <v>1046</v>
      </c>
      <c r="D21" s="1877"/>
      <c r="E21" s="1877"/>
      <c r="F21" s="1877"/>
      <c r="G21" s="1877"/>
      <c r="H21" s="687"/>
    </row>
    <row r="22" spans="1:8">
      <c r="A22" s="687"/>
      <c r="B22" s="687"/>
      <c r="C22" s="723"/>
      <c r="D22" s="717"/>
      <c r="E22" s="717"/>
      <c r="F22" s="717"/>
      <c r="G22" s="687"/>
      <c r="H22" s="687"/>
    </row>
    <row r="23" spans="1:8">
      <c r="A23" s="687"/>
      <c r="B23" s="687"/>
      <c r="C23" s="723" t="s">
        <v>1045</v>
      </c>
      <c r="D23" s="723"/>
      <c r="E23" s="717"/>
      <c r="F23" s="717"/>
      <c r="G23" s="687"/>
      <c r="H23" s="687"/>
    </row>
    <row r="24" spans="1:8">
      <c r="A24" s="687"/>
      <c r="B24" s="687"/>
      <c r="C24" s="723"/>
      <c r="D24" s="723"/>
      <c r="E24" s="717"/>
      <c r="F24" s="717"/>
      <c r="G24" s="687"/>
      <c r="H24" s="687"/>
    </row>
    <row r="25" spans="1:8">
      <c r="A25" s="687"/>
      <c r="B25" s="687"/>
      <c r="C25" s="790" t="s">
        <v>1044</v>
      </c>
      <c r="D25" s="719"/>
      <c r="E25" s="719"/>
      <c r="F25" s="772"/>
      <c r="G25" s="687"/>
      <c r="H25" s="687"/>
    </row>
    <row r="26" spans="1:8">
      <c r="A26" s="687"/>
      <c r="B26" s="687"/>
      <c r="C26" s="720" t="s">
        <v>541</v>
      </c>
      <c r="D26" s="772"/>
      <c r="E26" s="789">
        <v>0.05</v>
      </c>
      <c r="F26" s="772" t="s">
        <v>370</v>
      </c>
      <c r="G26" s="687"/>
      <c r="H26" s="687"/>
    </row>
    <row r="27" spans="1:8">
      <c r="A27" s="687"/>
      <c r="B27" s="687"/>
      <c r="C27" s="720" t="s">
        <v>796</v>
      </c>
      <c r="D27" s="772"/>
      <c r="E27" s="788">
        <v>0.02</v>
      </c>
      <c r="F27" s="772" t="s">
        <v>370</v>
      </c>
      <c r="G27" s="687"/>
      <c r="H27" s="687"/>
    </row>
    <row r="28" spans="1:8">
      <c r="A28" s="687"/>
      <c r="B28" s="687"/>
      <c r="C28" s="720" t="s">
        <v>539</v>
      </c>
      <c r="D28" s="772"/>
      <c r="E28" s="788">
        <v>3.5000000000000003E-2</v>
      </c>
      <c r="F28" s="772" t="s">
        <v>370</v>
      </c>
      <c r="G28" s="687"/>
      <c r="H28" s="687"/>
    </row>
    <row r="29" spans="1:8">
      <c r="A29" s="687"/>
      <c r="B29" s="687"/>
      <c r="C29" s="720" t="s">
        <v>1043</v>
      </c>
      <c r="D29" s="772"/>
      <c r="E29" s="787">
        <v>50000</v>
      </c>
      <c r="F29" s="772"/>
      <c r="G29" s="687"/>
      <c r="H29" s="687"/>
    </row>
    <row r="30" spans="1:8">
      <c r="A30" s="687"/>
      <c r="B30" s="687"/>
      <c r="C30" s="720" t="s">
        <v>1042</v>
      </c>
      <c r="D30" s="772"/>
      <c r="E30" s="786" t="s">
        <v>498</v>
      </c>
      <c r="F30" s="772"/>
      <c r="G30" s="687"/>
      <c r="H30" s="687"/>
    </row>
    <row r="31" spans="1:8">
      <c r="A31" s="687"/>
      <c r="B31" s="687"/>
      <c r="C31" s="720" t="s">
        <v>534</v>
      </c>
      <c r="D31" s="772"/>
      <c r="E31" s="782" t="s">
        <v>533</v>
      </c>
      <c r="F31" s="785"/>
      <c r="G31" s="687"/>
      <c r="H31" s="687"/>
    </row>
    <row r="32" spans="1:8">
      <c r="A32" s="687"/>
      <c r="B32" s="687"/>
      <c r="C32" s="1854" t="s">
        <v>1041</v>
      </c>
      <c r="D32" s="1855"/>
      <c r="E32" s="782" t="s">
        <v>252</v>
      </c>
      <c r="F32" s="781" t="s">
        <v>491</v>
      </c>
      <c r="G32" s="687"/>
      <c r="H32" s="687"/>
    </row>
    <row r="33" spans="1:8">
      <c r="A33" s="687"/>
      <c r="B33" s="687"/>
      <c r="C33" s="1879"/>
      <c r="D33" s="1880"/>
      <c r="E33" s="784">
        <v>62</v>
      </c>
      <c r="F33" s="779">
        <v>0.65</v>
      </c>
      <c r="G33" s="687"/>
      <c r="H33" s="687"/>
    </row>
    <row r="34" spans="1:8">
      <c r="A34" s="687"/>
      <c r="B34" s="687"/>
      <c r="C34" s="1881"/>
      <c r="D34" s="1882"/>
      <c r="E34" s="778">
        <v>65</v>
      </c>
      <c r="F34" s="777">
        <v>1</v>
      </c>
      <c r="G34" s="687"/>
      <c r="H34" s="687"/>
    </row>
    <row r="35" spans="1:8">
      <c r="A35" s="687"/>
      <c r="B35" s="687"/>
      <c r="C35" s="1845" t="s">
        <v>1040</v>
      </c>
      <c r="D35" s="1846"/>
      <c r="E35" s="784" t="s">
        <v>493</v>
      </c>
      <c r="F35" s="783"/>
      <c r="G35" s="687"/>
      <c r="H35" s="687"/>
    </row>
    <row r="36" spans="1:8">
      <c r="A36" s="687"/>
      <c r="B36" s="687"/>
      <c r="C36" s="1854" t="s">
        <v>1039</v>
      </c>
      <c r="D36" s="1855"/>
      <c r="E36" s="782" t="s">
        <v>252</v>
      </c>
      <c r="F36" s="781" t="s">
        <v>491</v>
      </c>
      <c r="G36" s="687"/>
      <c r="H36" s="687"/>
    </row>
    <row r="37" spans="1:8">
      <c r="A37" s="687"/>
      <c r="B37" s="687"/>
      <c r="C37" s="1879"/>
      <c r="D37" s="1880"/>
      <c r="E37" s="780" t="s">
        <v>1038</v>
      </c>
      <c r="F37" s="779">
        <v>0.05</v>
      </c>
      <c r="G37" s="738"/>
      <c r="H37" s="687"/>
    </row>
    <row r="38" spans="1:8">
      <c r="A38" s="687"/>
      <c r="B38" s="687"/>
      <c r="C38" s="1881"/>
      <c r="D38" s="1882"/>
      <c r="E38" s="778" t="s">
        <v>1037</v>
      </c>
      <c r="F38" s="777">
        <v>0</v>
      </c>
      <c r="G38" s="687"/>
      <c r="H38" s="687"/>
    </row>
    <row r="39" spans="1:8" ht="15.6" customHeight="1">
      <c r="A39" s="687"/>
      <c r="B39" s="687"/>
      <c r="C39" s="1865" t="s">
        <v>1036</v>
      </c>
      <c r="D39" s="1883"/>
      <c r="E39" s="1861" t="s">
        <v>643</v>
      </c>
      <c r="F39" s="1862"/>
      <c r="G39" s="687"/>
      <c r="H39" s="687"/>
    </row>
    <row r="40" spans="1:8">
      <c r="A40" s="687"/>
      <c r="B40" s="687"/>
      <c r="C40" s="744"/>
      <c r="D40" s="776"/>
      <c r="E40" s="1863"/>
      <c r="F40" s="1864"/>
      <c r="G40" s="687"/>
      <c r="H40" s="687"/>
    </row>
    <row r="41" spans="1:8" ht="15.6" customHeight="1">
      <c r="A41" s="687"/>
      <c r="B41" s="687"/>
      <c r="C41" s="1865" t="s">
        <v>1035</v>
      </c>
      <c r="D41" s="1866"/>
      <c r="E41" s="1867" t="s">
        <v>1034</v>
      </c>
      <c r="F41" s="1868"/>
      <c r="G41" s="687"/>
      <c r="H41" s="687"/>
    </row>
    <row r="42" spans="1:8">
      <c r="A42" s="687"/>
      <c r="B42" s="687"/>
      <c r="C42" s="1873" t="s">
        <v>591</v>
      </c>
      <c r="D42" s="1874"/>
      <c r="E42" s="1875" t="s">
        <v>642</v>
      </c>
      <c r="F42" s="1876"/>
      <c r="G42" s="687"/>
      <c r="H42" s="687"/>
    </row>
    <row r="43" spans="1:8">
      <c r="A43" s="687"/>
      <c r="B43" s="687"/>
      <c r="C43" s="687"/>
      <c r="D43" s="687"/>
      <c r="E43" s="687"/>
      <c r="F43" s="775"/>
      <c r="G43" s="763"/>
      <c r="H43" s="687"/>
    </row>
    <row r="44" spans="1:8">
      <c r="A44" s="687"/>
      <c r="B44" s="687"/>
      <c r="C44" s="687"/>
      <c r="D44" s="687"/>
      <c r="E44" s="687"/>
      <c r="F44" s="763"/>
      <c r="G44" s="763"/>
      <c r="H44" s="687"/>
    </row>
    <row r="45" spans="1:8">
      <c r="A45" s="687"/>
      <c r="B45" s="687"/>
      <c r="C45" s="774" t="s">
        <v>1033</v>
      </c>
      <c r="D45" s="717"/>
      <c r="E45" s="717"/>
      <c r="F45" s="717"/>
      <c r="G45" s="763"/>
      <c r="H45" s="687"/>
    </row>
    <row r="46" spans="1:8">
      <c r="A46" s="687"/>
      <c r="B46" s="687"/>
      <c r="C46" s="773"/>
      <c r="D46" s="717"/>
      <c r="E46" s="717"/>
      <c r="F46" s="717"/>
      <c r="G46" s="763"/>
      <c r="H46" s="687"/>
    </row>
    <row r="47" spans="1:8">
      <c r="A47" s="687"/>
      <c r="B47" s="687"/>
      <c r="C47" s="754" t="s">
        <v>1032</v>
      </c>
      <c r="D47" s="772"/>
      <c r="E47" s="771">
        <v>0.05</v>
      </c>
      <c r="F47" s="768"/>
      <c r="G47" s="770"/>
      <c r="H47" s="687"/>
    </row>
    <row r="48" spans="1:8" ht="32.1" customHeight="1">
      <c r="A48" s="687"/>
      <c r="B48" s="687"/>
      <c r="C48" s="1869" t="s">
        <v>1031</v>
      </c>
      <c r="D48" s="1870"/>
      <c r="E48" s="769">
        <v>0.06</v>
      </c>
      <c r="F48" s="768"/>
      <c r="G48" s="767"/>
      <c r="H48" s="687"/>
    </row>
    <row r="49" spans="1:14">
      <c r="A49" s="687"/>
      <c r="B49" s="687"/>
      <c r="C49" s="766" t="s">
        <v>1030</v>
      </c>
      <c r="D49" s="765"/>
      <c r="E49" s="764">
        <v>7.0000000000000007E-2</v>
      </c>
      <c r="F49" s="717"/>
      <c r="G49" s="763"/>
      <c r="H49" s="687"/>
    </row>
    <row r="50" spans="1:14">
      <c r="A50" s="687"/>
      <c r="B50" s="687"/>
      <c r="C50" s="717"/>
      <c r="D50" s="757"/>
      <c r="E50" s="717"/>
      <c r="F50" s="666"/>
      <c r="G50" s="763"/>
      <c r="H50" s="687"/>
    </row>
    <row r="51" spans="1:14">
      <c r="A51" s="687"/>
      <c r="B51" s="687"/>
      <c r="C51" s="723" t="s">
        <v>1029</v>
      </c>
      <c r="D51" s="717"/>
      <c r="E51" s="666"/>
      <c r="F51" s="761"/>
      <c r="G51" s="687"/>
      <c r="H51" s="687"/>
    </row>
    <row r="52" spans="1:14">
      <c r="A52" s="687"/>
      <c r="B52" s="687"/>
      <c r="C52" s="762"/>
      <c r="D52" s="717"/>
      <c r="E52" s="666"/>
      <c r="F52" s="761"/>
      <c r="G52" s="687"/>
      <c r="H52" s="687"/>
    </row>
    <row r="53" spans="1:14">
      <c r="A53" s="687"/>
      <c r="B53" s="687"/>
      <c r="C53" s="1871" t="s">
        <v>1028</v>
      </c>
      <c r="D53" s="1872"/>
      <c r="E53" s="1865" t="s">
        <v>477</v>
      </c>
      <c r="F53" s="1866"/>
      <c r="G53" s="687"/>
      <c r="H53" s="687"/>
    </row>
    <row r="54" spans="1:14">
      <c r="A54" s="687"/>
      <c r="B54" s="687"/>
      <c r="C54" s="754"/>
      <c r="D54" s="755"/>
      <c r="E54" s="759"/>
      <c r="F54" s="740"/>
      <c r="G54" s="687"/>
      <c r="H54" s="687"/>
    </row>
    <row r="55" spans="1:14">
      <c r="A55" s="687"/>
      <c r="B55" s="687"/>
      <c r="C55" s="758" t="s">
        <v>1027</v>
      </c>
      <c r="D55" s="757"/>
      <c r="E55" s="689"/>
      <c r="F55" s="756"/>
      <c r="G55" s="687"/>
      <c r="H55" s="687"/>
    </row>
    <row r="56" spans="1:14">
      <c r="A56" s="687"/>
      <c r="B56" s="687"/>
      <c r="C56" s="754" t="s">
        <v>1026</v>
      </c>
      <c r="D56" s="755"/>
      <c r="E56" s="741" t="s">
        <v>474</v>
      </c>
      <c r="F56" s="740"/>
      <c r="G56" s="687"/>
      <c r="H56" s="687"/>
    </row>
    <row r="57" spans="1:14">
      <c r="A57" s="687"/>
      <c r="B57" s="687"/>
      <c r="C57" s="1854" t="s">
        <v>350</v>
      </c>
      <c r="D57" s="1855"/>
      <c r="E57" s="754" t="s">
        <v>1025</v>
      </c>
      <c r="F57" s="753"/>
      <c r="G57" s="687"/>
      <c r="H57" s="687"/>
    </row>
    <row r="58" spans="1:14">
      <c r="A58" s="687"/>
      <c r="B58" s="687"/>
      <c r="C58" s="752"/>
      <c r="D58" s="751"/>
      <c r="E58" s="750"/>
      <c r="F58" s="749"/>
      <c r="G58" s="687"/>
      <c r="H58" s="687"/>
    </row>
    <row r="59" spans="1:14">
      <c r="A59" s="687"/>
      <c r="B59" s="687"/>
      <c r="C59" s="747" t="s">
        <v>471</v>
      </c>
      <c r="D59" s="746"/>
      <c r="E59" s="746"/>
      <c r="F59" s="745"/>
      <c r="G59" s="687"/>
      <c r="H59" s="739"/>
    </row>
    <row r="60" spans="1:14">
      <c r="A60" s="687"/>
      <c r="B60" s="687"/>
      <c r="C60" s="1856" t="s">
        <v>1022</v>
      </c>
      <c r="D60" s="1857"/>
      <c r="E60" s="1858" t="s">
        <v>1024</v>
      </c>
      <c r="F60" s="1859"/>
      <c r="G60" s="687"/>
      <c r="H60" s="739"/>
      <c r="J60" s="698"/>
    </row>
    <row r="61" spans="1:14">
      <c r="A61" s="687"/>
      <c r="B61" s="687"/>
      <c r="C61" s="1837" t="s">
        <v>1020</v>
      </c>
      <c r="D61" s="1838"/>
      <c r="E61" s="1860" t="s">
        <v>1023</v>
      </c>
      <c r="F61" s="1840"/>
      <c r="G61" s="687"/>
      <c r="H61" s="739"/>
      <c r="I61" s="742"/>
      <c r="J61" s="695"/>
    </row>
    <row r="62" spans="1:14">
      <c r="A62" s="687"/>
      <c r="B62" s="687"/>
      <c r="C62" s="741"/>
      <c r="D62" s="740"/>
      <c r="E62" s="748"/>
      <c r="F62" s="743"/>
      <c r="G62" s="687"/>
      <c r="H62" s="739"/>
      <c r="I62" s="742"/>
      <c r="J62" s="695"/>
    </row>
    <row r="63" spans="1:14">
      <c r="A63" s="687"/>
      <c r="B63" s="687"/>
      <c r="C63" s="747" t="s">
        <v>466</v>
      </c>
      <c r="D63" s="746"/>
      <c r="E63" s="746"/>
      <c r="F63" s="745"/>
      <c r="G63" s="687"/>
      <c r="H63" s="739"/>
      <c r="I63" s="742"/>
      <c r="J63" s="695"/>
    </row>
    <row r="64" spans="1:14">
      <c r="A64" s="687"/>
      <c r="B64" s="687"/>
      <c r="C64" s="1856" t="s">
        <v>1022</v>
      </c>
      <c r="D64" s="1857"/>
      <c r="E64" s="1839" t="s">
        <v>1021</v>
      </c>
      <c r="F64" s="1840"/>
      <c r="G64" s="687"/>
      <c r="H64" s="739"/>
      <c r="J64" s="698"/>
      <c r="K64" s="698"/>
      <c r="N64" s="694"/>
    </row>
    <row r="65" spans="1:30">
      <c r="A65" s="687"/>
      <c r="B65" s="687"/>
      <c r="C65" s="1837" t="s">
        <v>1020</v>
      </c>
      <c r="D65" s="1838"/>
      <c r="E65" s="1839" t="s">
        <v>1019</v>
      </c>
      <c r="F65" s="1840"/>
      <c r="G65" s="687"/>
      <c r="H65" s="739"/>
      <c r="I65" s="742"/>
      <c r="N65" s="694"/>
    </row>
    <row r="66" spans="1:30">
      <c r="A66" s="687"/>
      <c r="B66" s="687"/>
      <c r="C66" s="1837" t="s">
        <v>1018</v>
      </c>
      <c r="D66" s="1838"/>
      <c r="E66" s="1843">
        <v>100000</v>
      </c>
      <c r="F66" s="1844"/>
      <c r="G66" s="687"/>
      <c r="H66" s="739"/>
      <c r="N66" s="694"/>
    </row>
    <row r="67" spans="1:30">
      <c r="A67" s="687"/>
      <c r="B67" s="687"/>
      <c r="C67" s="1837" t="s">
        <v>537</v>
      </c>
      <c r="D67" s="1838"/>
      <c r="E67" s="1845" t="s">
        <v>461</v>
      </c>
      <c r="F67" s="1846"/>
      <c r="G67" s="687"/>
      <c r="H67" s="739"/>
      <c r="X67" s="698"/>
      <c r="AC67" s="694"/>
      <c r="AD67" s="694"/>
    </row>
    <row r="68" spans="1:30">
      <c r="A68" s="687"/>
      <c r="B68" s="687"/>
      <c r="C68" s="687"/>
      <c r="D68" s="687"/>
      <c r="E68" s="687"/>
      <c r="F68" s="687"/>
      <c r="G68" s="687"/>
      <c r="H68" s="687"/>
      <c r="K68" s="698"/>
      <c r="AC68" s="694"/>
      <c r="AD68" s="694"/>
    </row>
    <row r="69" spans="1:30">
      <c r="A69" s="687"/>
      <c r="B69" s="687"/>
      <c r="C69" s="687"/>
      <c r="D69" s="687"/>
      <c r="E69" s="687"/>
      <c r="F69" s="687"/>
      <c r="G69" s="687"/>
      <c r="H69" s="687"/>
      <c r="M69" s="694"/>
      <c r="N69" s="694"/>
      <c r="P69" s="712"/>
      <c r="Q69" s="712"/>
      <c r="R69" s="736"/>
      <c r="S69" s="708"/>
      <c r="T69" s="708"/>
      <c r="U69" s="711"/>
      <c r="V69" s="711"/>
      <c r="X69" s="694"/>
      <c r="Y69" s="694"/>
      <c r="Z69" s="694"/>
      <c r="AC69" s="688"/>
      <c r="AD69" s="688"/>
    </row>
    <row r="70" spans="1:30">
      <c r="A70" s="687"/>
      <c r="B70" s="687"/>
      <c r="C70" s="687"/>
      <c r="D70" s="687"/>
      <c r="E70" s="687"/>
      <c r="F70" s="687"/>
      <c r="G70" s="687"/>
      <c r="H70" s="687"/>
      <c r="M70" s="694"/>
      <c r="N70" s="694"/>
      <c r="P70" s="712"/>
      <c r="Q70" s="712"/>
      <c r="R70" s="736"/>
      <c r="S70" s="708"/>
      <c r="T70" s="708"/>
      <c r="U70" s="711"/>
      <c r="V70" s="711"/>
      <c r="X70" s="694"/>
      <c r="Y70" s="694"/>
      <c r="Z70" s="694"/>
      <c r="AC70" s="688"/>
      <c r="AD70" s="688"/>
    </row>
    <row r="71" spans="1:30">
      <c r="A71" s="687"/>
      <c r="B71" s="687"/>
      <c r="C71" s="723" t="s">
        <v>450</v>
      </c>
      <c r="D71" s="717"/>
      <c r="E71" s="717"/>
      <c r="F71" s="717"/>
      <c r="G71" s="717"/>
      <c r="H71" s="687"/>
      <c r="M71" s="694"/>
      <c r="N71" s="694"/>
      <c r="P71" s="712"/>
      <c r="Q71" s="712"/>
      <c r="R71" s="736"/>
      <c r="S71" s="708"/>
      <c r="T71" s="708"/>
      <c r="U71" s="711"/>
      <c r="V71" s="711"/>
      <c r="X71" s="694"/>
      <c r="Y71" s="694"/>
      <c r="Z71" s="694"/>
      <c r="AC71" s="688"/>
      <c r="AD71" s="688"/>
    </row>
    <row r="72" spans="1:30">
      <c r="A72" s="687"/>
      <c r="B72" s="687"/>
      <c r="C72" s="717"/>
      <c r="D72" s="717"/>
      <c r="E72" s="687"/>
      <c r="F72" s="687"/>
      <c r="G72" s="687"/>
      <c r="H72" s="687"/>
      <c r="M72" s="694"/>
      <c r="N72" s="694"/>
      <c r="P72" s="712"/>
      <c r="Q72" s="712"/>
      <c r="R72" s="736"/>
      <c r="S72" s="708"/>
      <c r="T72" s="708"/>
      <c r="U72" s="711"/>
      <c r="V72" s="711"/>
      <c r="X72" s="694"/>
      <c r="Y72" s="694"/>
      <c r="Z72" s="694"/>
      <c r="AC72" s="694"/>
      <c r="AD72" s="694"/>
    </row>
    <row r="73" spans="1:30">
      <c r="A73" s="687"/>
      <c r="B73" s="687"/>
      <c r="C73" s="731" t="s">
        <v>352</v>
      </c>
      <c r="D73" s="730" t="s">
        <v>388</v>
      </c>
      <c r="E73" s="730" t="s">
        <v>377</v>
      </c>
      <c r="F73" s="687"/>
      <c r="G73" s="687"/>
      <c r="H73" s="687"/>
      <c r="U73" s="734"/>
      <c r="V73" s="734"/>
      <c r="Y73" s="688"/>
      <c r="Z73" s="688"/>
      <c r="AC73" s="694"/>
      <c r="AD73" s="694"/>
    </row>
    <row r="74" spans="1:30">
      <c r="A74" s="687"/>
      <c r="B74" s="687"/>
      <c r="C74" s="727" t="s">
        <v>252</v>
      </c>
      <c r="D74" s="733">
        <v>43</v>
      </c>
      <c r="E74" s="733">
        <v>60</v>
      </c>
      <c r="F74" s="687"/>
      <c r="G74" s="687"/>
      <c r="H74" s="687"/>
      <c r="AC74" s="688"/>
      <c r="AD74" s="688"/>
    </row>
    <row r="75" spans="1:30">
      <c r="A75" s="687"/>
      <c r="B75" s="687"/>
      <c r="C75" s="727" t="s">
        <v>1017</v>
      </c>
      <c r="D75" s="728">
        <v>79000</v>
      </c>
      <c r="E75" s="728">
        <v>92000</v>
      </c>
      <c r="F75" s="687"/>
      <c r="G75" s="687"/>
      <c r="H75" s="687"/>
      <c r="J75" s="698"/>
      <c r="K75" s="698"/>
      <c r="N75" s="694"/>
      <c r="AC75" s="688"/>
      <c r="AD75" s="688"/>
    </row>
    <row r="76" spans="1:30">
      <c r="A76" s="687"/>
      <c r="B76" s="687"/>
      <c r="C76" s="727" t="s">
        <v>1016</v>
      </c>
      <c r="D76" s="728">
        <v>80000</v>
      </c>
      <c r="E76" s="728">
        <v>92000</v>
      </c>
      <c r="F76" s="687"/>
      <c r="G76" s="687"/>
      <c r="H76" s="687"/>
      <c r="N76" s="694"/>
    </row>
    <row r="77" spans="1:30">
      <c r="A77" s="687"/>
      <c r="B77" s="687"/>
      <c r="C77" s="727" t="s">
        <v>1015</v>
      </c>
      <c r="D77" s="728">
        <v>85000</v>
      </c>
      <c r="E77" s="728">
        <v>98000</v>
      </c>
      <c r="F77" s="687"/>
      <c r="G77" s="687"/>
      <c r="H77" s="687"/>
      <c r="N77" s="694"/>
    </row>
    <row r="78" spans="1:30">
      <c r="A78" s="687"/>
      <c r="B78" s="687"/>
      <c r="C78" s="727" t="s">
        <v>248</v>
      </c>
      <c r="D78" s="733">
        <v>12</v>
      </c>
      <c r="E78" s="733">
        <v>7</v>
      </c>
      <c r="F78" s="687"/>
      <c r="G78" s="687"/>
      <c r="H78" s="687"/>
      <c r="X78" s="698"/>
    </row>
    <row r="79" spans="1:30">
      <c r="A79" s="687"/>
      <c r="B79" s="687"/>
      <c r="C79" s="717"/>
      <c r="D79" s="717"/>
      <c r="E79" s="717"/>
      <c r="F79" s="738"/>
      <c r="G79" s="687"/>
      <c r="H79" s="687"/>
      <c r="K79" s="698"/>
    </row>
    <row r="80" spans="1:30">
      <c r="A80" s="687"/>
      <c r="B80" s="687"/>
      <c r="C80" s="717"/>
      <c r="D80" s="725"/>
      <c r="E80" s="725"/>
      <c r="F80" s="687"/>
      <c r="G80" s="687"/>
      <c r="H80" s="687"/>
      <c r="M80" s="694"/>
      <c r="N80" s="694"/>
      <c r="O80" s="737"/>
      <c r="P80" s="712"/>
      <c r="Q80" s="712"/>
      <c r="R80" s="736"/>
      <c r="S80" s="708"/>
      <c r="T80" s="708"/>
      <c r="U80" s="711"/>
      <c r="V80" s="711"/>
      <c r="X80" s="694"/>
      <c r="Y80" s="694"/>
      <c r="Z80" s="694"/>
    </row>
    <row r="81" spans="1:26">
      <c r="A81" s="687"/>
      <c r="B81" s="687"/>
      <c r="C81" s="731" t="s">
        <v>1014</v>
      </c>
      <c r="D81" s="730" t="s">
        <v>385</v>
      </c>
      <c r="E81" s="725"/>
      <c r="F81" s="687"/>
      <c r="G81" s="687"/>
      <c r="H81" s="687"/>
      <c r="M81" s="694"/>
      <c r="N81" s="694"/>
      <c r="P81" s="712"/>
      <c r="Q81" s="712"/>
      <c r="R81" s="736"/>
      <c r="S81" s="708"/>
      <c r="T81" s="708"/>
      <c r="U81" s="711"/>
      <c r="V81" s="711"/>
      <c r="X81" s="694"/>
      <c r="Y81" s="694"/>
      <c r="Z81" s="694"/>
    </row>
    <row r="82" spans="1:26">
      <c r="A82" s="687"/>
      <c r="B82" s="687"/>
      <c r="C82" s="727" t="s">
        <v>252</v>
      </c>
      <c r="D82" s="733">
        <v>61</v>
      </c>
      <c r="E82" s="725"/>
      <c r="F82" s="687"/>
      <c r="G82" s="687"/>
      <c r="H82" s="687"/>
      <c r="M82" s="694"/>
      <c r="N82" s="694"/>
      <c r="P82" s="712"/>
      <c r="Q82" s="712"/>
      <c r="R82" s="736"/>
      <c r="S82" s="708"/>
      <c r="T82" s="708"/>
      <c r="U82" s="711"/>
      <c r="V82" s="711"/>
      <c r="X82" s="694"/>
      <c r="Y82" s="694"/>
      <c r="Z82" s="694"/>
    </row>
    <row r="83" spans="1:26">
      <c r="A83" s="687"/>
      <c r="B83" s="687"/>
      <c r="C83" s="735" t="s">
        <v>1013</v>
      </c>
      <c r="D83" s="733" t="s">
        <v>440</v>
      </c>
      <c r="E83" s="725"/>
      <c r="F83" s="687"/>
      <c r="G83" s="687"/>
      <c r="H83" s="687"/>
      <c r="U83" s="734"/>
      <c r="V83" s="734"/>
      <c r="Y83" s="688"/>
      <c r="Z83" s="688"/>
    </row>
    <row r="84" spans="1:26">
      <c r="A84" s="687"/>
      <c r="B84" s="687"/>
      <c r="C84" s="727" t="s">
        <v>1012</v>
      </c>
      <c r="D84" s="733">
        <v>35</v>
      </c>
      <c r="E84" s="725"/>
      <c r="F84" s="687"/>
      <c r="G84" s="687"/>
      <c r="H84" s="687"/>
    </row>
    <row r="85" spans="1:26">
      <c r="A85" s="687"/>
      <c r="B85" s="687"/>
      <c r="C85" s="727" t="s">
        <v>1011</v>
      </c>
      <c r="D85" s="733">
        <v>9</v>
      </c>
      <c r="E85" s="725"/>
      <c r="F85" s="687"/>
      <c r="G85" s="687"/>
      <c r="H85" s="687"/>
      <c r="J85" s="695"/>
      <c r="N85" s="695"/>
    </row>
    <row r="86" spans="1:26">
      <c r="A86" s="687"/>
      <c r="B86" s="687"/>
      <c r="C86" s="727" t="s">
        <v>1010</v>
      </c>
      <c r="D86" s="728">
        <v>21000</v>
      </c>
      <c r="E86" s="725"/>
      <c r="F86" s="687"/>
      <c r="G86" s="687"/>
      <c r="H86" s="687"/>
      <c r="O86" s="732"/>
    </row>
    <row r="87" spans="1:26">
      <c r="A87" s="687"/>
      <c r="B87" s="687"/>
      <c r="C87" s="717"/>
      <c r="D87" s="725"/>
      <c r="E87" s="725"/>
      <c r="F87" s="687"/>
      <c r="G87" s="687"/>
      <c r="H87" s="687"/>
    </row>
    <row r="88" spans="1:26">
      <c r="A88" s="687"/>
      <c r="B88" s="687"/>
      <c r="C88" s="717"/>
      <c r="D88" s="725"/>
      <c r="E88" s="725"/>
      <c r="F88" s="687"/>
      <c r="G88" s="687"/>
      <c r="H88" s="687"/>
      <c r="K88" s="694"/>
      <c r="R88" s="709"/>
    </row>
    <row r="89" spans="1:26">
      <c r="A89" s="687"/>
      <c r="B89" s="687"/>
      <c r="C89" s="731" t="s">
        <v>1009</v>
      </c>
      <c r="D89" s="730" t="s">
        <v>384</v>
      </c>
      <c r="E89" s="725"/>
      <c r="F89" s="687"/>
      <c r="G89" s="687"/>
      <c r="H89" s="687"/>
      <c r="O89" s="694"/>
      <c r="P89" s="694"/>
      <c r="R89" s="694"/>
    </row>
    <row r="90" spans="1:26">
      <c r="A90" s="687"/>
      <c r="B90" s="687"/>
      <c r="C90" s="727" t="s">
        <v>252</v>
      </c>
      <c r="D90" s="726">
        <v>75</v>
      </c>
      <c r="E90" s="725"/>
      <c r="F90" s="687"/>
      <c r="G90" s="687"/>
      <c r="H90" s="687"/>
      <c r="K90" s="708"/>
      <c r="L90" s="708"/>
    </row>
    <row r="91" spans="1:26">
      <c r="A91" s="687"/>
      <c r="B91" s="687"/>
      <c r="C91" s="727" t="s">
        <v>1008</v>
      </c>
      <c r="D91" s="726">
        <v>73</v>
      </c>
      <c r="E91" s="725"/>
      <c r="F91" s="657"/>
      <c r="G91" s="687"/>
      <c r="H91" s="687"/>
      <c r="J91" s="698"/>
      <c r="K91" s="688"/>
      <c r="L91" s="688"/>
      <c r="O91" s="688"/>
      <c r="P91" s="688"/>
      <c r="R91" s="688"/>
    </row>
    <row r="92" spans="1:26">
      <c r="A92" s="687"/>
      <c r="B92" s="687"/>
      <c r="C92" s="727" t="s">
        <v>1007</v>
      </c>
      <c r="D92" s="729">
        <v>43101</v>
      </c>
      <c r="E92" s="725"/>
      <c r="F92" s="687"/>
      <c r="G92" s="687"/>
      <c r="H92" s="687"/>
    </row>
    <row r="93" spans="1:26">
      <c r="A93" s="687"/>
      <c r="B93" s="687"/>
      <c r="C93" s="727" t="s">
        <v>1006</v>
      </c>
      <c r="D93" s="728">
        <v>53000</v>
      </c>
      <c r="E93" s="725"/>
      <c r="F93" s="687"/>
      <c r="G93" s="687"/>
      <c r="H93" s="687"/>
      <c r="J93" s="695"/>
    </row>
    <row r="94" spans="1:26">
      <c r="A94" s="687"/>
      <c r="B94" s="687"/>
      <c r="C94" s="727" t="s">
        <v>1005</v>
      </c>
      <c r="D94" s="726" t="s">
        <v>431</v>
      </c>
      <c r="E94" s="725"/>
      <c r="F94" s="687"/>
      <c r="G94" s="687"/>
      <c r="H94" s="687"/>
      <c r="K94" s="724"/>
    </row>
    <row r="95" spans="1:26">
      <c r="A95" s="687"/>
      <c r="B95" s="1847"/>
      <c r="C95" s="1847"/>
      <c r="D95" s="717"/>
      <c r="E95" s="717"/>
      <c r="F95" s="717"/>
      <c r="G95" s="717"/>
      <c r="H95" s="687"/>
      <c r="K95" s="724"/>
    </row>
    <row r="96" spans="1:26">
      <c r="A96" s="687"/>
      <c r="B96" s="687"/>
      <c r="C96" s="723" t="s">
        <v>429</v>
      </c>
      <c r="D96" s="723"/>
      <c r="E96" s="717"/>
      <c r="F96" s="717"/>
      <c r="G96" s="717"/>
      <c r="H96" s="687"/>
      <c r="K96" s="722"/>
    </row>
    <row r="97" spans="1:17 16384:16384">
      <c r="A97" s="687"/>
      <c r="B97" s="687"/>
      <c r="C97" s="717"/>
      <c r="D97" s="717"/>
      <c r="E97" s="717"/>
      <c r="F97" s="717"/>
      <c r="G97" s="717"/>
      <c r="H97" s="687"/>
      <c r="K97" s="721"/>
    </row>
    <row r="98" spans="1:17 16384:16384">
      <c r="A98" s="687"/>
      <c r="B98" s="687"/>
      <c r="C98" s="720" t="s">
        <v>1004</v>
      </c>
      <c r="D98" s="719"/>
      <c r="E98" s="718">
        <v>1888770</v>
      </c>
      <c r="F98" s="717"/>
      <c r="G98" s="717"/>
      <c r="H98" s="687"/>
    </row>
    <row r="99" spans="1:17 16384:16384">
      <c r="A99" s="687"/>
      <c r="B99" s="687"/>
      <c r="C99" s="717"/>
      <c r="D99" s="717"/>
      <c r="E99" s="717"/>
      <c r="F99" s="717"/>
      <c r="G99" s="717"/>
      <c r="H99" s="687"/>
    </row>
    <row r="100" spans="1:17 16384:16384">
      <c r="A100" s="687"/>
      <c r="B100" s="657"/>
      <c r="C100" s="658" t="s">
        <v>1003</v>
      </c>
      <c r="D100" s="665"/>
      <c r="E100" s="665"/>
      <c r="F100" s="658"/>
      <c r="G100" s="658"/>
      <c r="H100" s="657"/>
    </row>
    <row r="101" spans="1:17 16384:16384">
      <c r="A101" s="687"/>
      <c r="B101" s="657"/>
      <c r="C101" s="657"/>
      <c r="D101" s="657"/>
      <c r="E101" s="657"/>
      <c r="F101" s="657"/>
      <c r="G101" s="657"/>
      <c r="H101" s="657"/>
    </row>
    <row r="102" spans="1:17 16384:16384">
      <c r="A102" s="687"/>
      <c r="B102" s="659"/>
      <c r="C102" s="659" t="s">
        <v>1002</v>
      </c>
      <c r="D102" s="657"/>
      <c r="E102" s="657"/>
      <c r="F102" s="657"/>
      <c r="G102" s="657"/>
      <c r="H102" s="657"/>
      <c r="J102" s="698"/>
      <c r="K102" s="698"/>
      <c r="L102" s="698"/>
    </row>
    <row r="103" spans="1:17 16384:16384">
      <c r="A103" s="687"/>
      <c r="B103" s="659"/>
      <c r="C103" s="659"/>
      <c r="D103" s="657"/>
      <c r="E103" s="657"/>
      <c r="F103" s="657"/>
      <c r="G103" s="657"/>
      <c r="H103" s="657"/>
      <c r="J103" s="695"/>
      <c r="XFD103" s="3">
        <f>XEY90</f>
        <v>0</v>
      </c>
    </row>
    <row r="104" spans="1:17 16384:16384">
      <c r="A104" s="687"/>
      <c r="B104" s="659"/>
      <c r="C104" s="2"/>
      <c r="D104" s="716" t="s">
        <v>757</v>
      </c>
      <c r="E104" s="716" t="s">
        <v>1001</v>
      </c>
      <c r="F104" s="657"/>
      <c r="G104" s="657"/>
      <c r="H104" s="657"/>
      <c r="N104" s="694"/>
      <c r="O104" s="709"/>
      <c r="P104" s="693"/>
      <c r="Q104" s="693"/>
    </row>
    <row r="105" spans="1:17 16384:16384" ht="18.600000000000001">
      <c r="A105" s="687"/>
      <c r="B105" s="659"/>
      <c r="C105" s="705" t="s">
        <v>978</v>
      </c>
      <c r="D105" s="707">
        <v>17</v>
      </c>
      <c r="E105" s="704">
        <v>13.6</v>
      </c>
      <c r="F105" s="657"/>
      <c r="G105" s="657"/>
      <c r="H105" s="657"/>
      <c r="N105" s="694"/>
      <c r="O105" s="709"/>
      <c r="P105" s="715"/>
      <c r="Q105" s="715"/>
    </row>
    <row r="106" spans="1:17 16384:16384" ht="18.600000000000001">
      <c r="A106" s="687"/>
      <c r="B106" s="659"/>
      <c r="C106" s="705" t="s">
        <v>1000</v>
      </c>
      <c r="D106" s="704">
        <v>16.600000000000001</v>
      </c>
      <c r="E106" s="704">
        <v>13.4</v>
      </c>
      <c r="F106" s="657"/>
      <c r="G106" s="657"/>
      <c r="H106" s="657"/>
      <c r="N106" s="694"/>
      <c r="O106" s="714"/>
      <c r="P106" s="713"/>
      <c r="Q106" s="713"/>
    </row>
    <row r="107" spans="1:17 16384:16384" ht="18.600000000000001">
      <c r="A107" s="687"/>
      <c r="B107" s="659"/>
      <c r="C107" s="705" t="s">
        <v>999</v>
      </c>
      <c r="D107" s="707">
        <v>16.3</v>
      </c>
      <c r="E107" s="704">
        <v>13.1</v>
      </c>
      <c r="F107" s="657"/>
      <c r="G107" s="657"/>
      <c r="H107" s="657"/>
      <c r="N107" s="694"/>
    </row>
    <row r="108" spans="1:17 16384:16384" ht="18.600000000000001">
      <c r="A108" s="687"/>
      <c r="B108" s="659"/>
      <c r="C108" s="705" t="s">
        <v>998</v>
      </c>
      <c r="D108" s="704">
        <v>15.9</v>
      </c>
      <c r="E108" s="704">
        <v>12.9</v>
      </c>
      <c r="F108" s="657"/>
      <c r="G108" s="657"/>
      <c r="H108" s="657"/>
    </row>
    <row r="109" spans="1:17 16384:16384" ht="18.600000000000001">
      <c r="A109" s="687"/>
      <c r="B109" s="659"/>
      <c r="C109" s="705" t="s">
        <v>997</v>
      </c>
      <c r="D109" s="704">
        <v>15.6</v>
      </c>
      <c r="E109" s="704">
        <v>12.7</v>
      </c>
      <c r="F109" s="657"/>
      <c r="G109" s="657"/>
      <c r="H109" s="657"/>
    </row>
    <row r="110" spans="1:17 16384:16384" ht="18.600000000000001">
      <c r="A110" s="687"/>
      <c r="B110" s="659"/>
      <c r="C110" s="705" t="s">
        <v>996</v>
      </c>
      <c r="D110" s="704">
        <v>15.2</v>
      </c>
      <c r="E110" s="704">
        <v>12.5</v>
      </c>
      <c r="F110" s="657"/>
      <c r="G110" s="657"/>
      <c r="H110" s="657"/>
    </row>
    <row r="111" spans="1:17 16384:16384" ht="18">
      <c r="A111" s="687"/>
      <c r="B111" s="659"/>
      <c r="C111" s="705"/>
      <c r="D111" s="706"/>
      <c r="E111" s="706"/>
      <c r="F111" s="657"/>
      <c r="G111" s="657"/>
      <c r="H111" s="657"/>
      <c r="K111" s="694"/>
      <c r="L111" s="712"/>
      <c r="M111" s="711"/>
      <c r="N111" s="708"/>
      <c r="O111" s="708"/>
      <c r="P111" s="711"/>
      <c r="Q111" s="711"/>
    </row>
    <row r="112" spans="1:17 16384:16384" ht="18.600000000000001">
      <c r="A112" s="687"/>
      <c r="B112" s="659"/>
      <c r="C112" s="705" t="s">
        <v>995</v>
      </c>
      <c r="D112" s="704">
        <v>12.7</v>
      </c>
      <c r="E112" s="704">
        <v>10.8</v>
      </c>
      <c r="F112" s="657"/>
      <c r="G112" s="657"/>
      <c r="H112" s="657"/>
      <c r="K112" s="694"/>
      <c r="L112" s="712"/>
      <c r="M112" s="711"/>
      <c r="N112" s="708"/>
      <c r="O112" s="708"/>
      <c r="P112" s="711"/>
      <c r="Q112" s="711"/>
    </row>
    <row r="113" spans="1:17">
      <c r="A113" s="687"/>
      <c r="B113" s="703"/>
      <c r="C113" s="702"/>
      <c r="D113" s="702"/>
      <c r="E113" s="702"/>
      <c r="F113" s="702"/>
      <c r="G113" s="702"/>
      <c r="H113" s="702"/>
      <c r="K113" s="694"/>
      <c r="L113" s="712"/>
      <c r="M113" s="711"/>
      <c r="N113" s="708"/>
      <c r="O113" s="708"/>
      <c r="P113" s="711"/>
      <c r="Q113" s="711"/>
    </row>
    <row r="114" spans="1:17">
      <c r="A114" s="687"/>
      <c r="B114" s="703"/>
      <c r="C114" s="702"/>
      <c r="D114" s="702"/>
      <c r="E114" s="702"/>
      <c r="F114" s="702"/>
      <c r="G114" s="702"/>
      <c r="H114" s="702"/>
      <c r="K114" s="694"/>
      <c r="L114" s="712"/>
      <c r="M114" s="711"/>
      <c r="N114" s="708"/>
      <c r="O114" s="708"/>
      <c r="P114" s="711"/>
      <c r="Q114" s="711"/>
    </row>
    <row r="115" spans="1:17">
      <c r="A115" s="687"/>
      <c r="B115" s="703"/>
      <c r="C115" s="659" t="s">
        <v>994</v>
      </c>
      <c r="D115" s="2"/>
      <c r="E115" s="2"/>
      <c r="F115" s="702"/>
      <c r="G115" s="702"/>
      <c r="H115" s="702"/>
      <c r="K115" s="694"/>
      <c r="L115" s="712"/>
      <c r="M115" s="711"/>
      <c r="N115" s="708"/>
      <c r="O115" s="708"/>
      <c r="P115" s="711"/>
      <c r="Q115" s="711"/>
    </row>
    <row r="116" spans="1:17">
      <c r="A116" s="687"/>
      <c r="B116" s="703"/>
      <c r="C116" s="2"/>
      <c r="D116" s="2"/>
      <c r="E116" s="2"/>
      <c r="F116" s="702"/>
      <c r="G116" s="702"/>
      <c r="H116" s="702"/>
      <c r="K116" s="694"/>
      <c r="L116" s="712"/>
      <c r="M116" s="711"/>
      <c r="N116" s="708"/>
      <c r="O116" s="708"/>
      <c r="P116" s="711"/>
      <c r="Q116" s="711"/>
    </row>
    <row r="117" spans="1:17">
      <c r="A117" s="687"/>
      <c r="B117" s="703"/>
      <c r="C117" s="2"/>
      <c r="D117" s="710" t="s">
        <v>992</v>
      </c>
      <c r="E117" s="710" t="s">
        <v>991</v>
      </c>
      <c r="F117" s="665"/>
      <c r="G117" s="702"/>
      <c r="H117" s="702"/>
      <c r="K117" s="694"/>
      <c r="L117" s="712"/>
      <c r="M117" s="711"/>
      <c r="N117" s="708"/>
      <c r="O117" s="708"/>
      <c r="P117" s="711"/>
      <c r="Q117" s="711"/>
    </row>
    <row r="118" spans="1:17" ht="18">
      <c r="A118" s="687"/>
      <c r="B118" s="703"/>
      <c r="C118" s="705" t="s">
        <v>990</v>
      </c>
      <c r="D118" s="707">
        <v>10</v>
      </c>
      <c r="E118" s="706"/>
      <c r="F118" s="702"/>
      <c r="G118" s="702"/>
      <c r="H118" s="702"/>
      <c r="K118" s="694"/>
      <c r="L118" s="712"/>
      <c r="M118" s="711"/>
      <c r="N118" s="708"/>
      <c r="O118" s="708"/>
      <c r="P118" s="711"/>
      <c r="Q118" s="711"/>
    </row>
    <row r="119" spans="1:17" ht="18">
      <c r="A119" s="687"/>
      <c r="B119" s="703"/>
      <c r="C119" s="705" t="s">
        <v>989</v>
      </c>
      <c r="D119" s="707">
        <v>9.4</v>
      </c>
      <c r="E119" s="706"/>
      <c r="F119" s="702"/>
      <c r="G119" s="702"/>
      <c r="H119" s="702"/>
      <c r="K119" s="694"/>
      <c r="L119" s="712"/>
      <c r="M119" s="711"/>
      <c r="N119" s="708"/>
      <c r="O119" s="708"/>
      <c r="P119" s="711"/>
      <c r="Q119" s="711"/>
    </row>
    <row r="120" spans="1:17" ht="18">
      <c r="A120" s="687"/>
      <c r="B120" s="703"/>
      <c r="C120" s="705" t="s">
        <v>988</v>
      </c>
      <c r="D120" s="707">
        <v>8.9</v>
      </c>
      <c r="E120" s="706"/>
      <c r="F120" s="702"/>
      <c r="G120" s="702"/>
      <c r="H120" s="702"/>
      <c r="K120" s="694"/>
      <c r="L120" s="712"/>
      <c r="M120" s="711"/>
      <c r="N120" s="708"/>
      <c r="O120" s="708"/>
      <c r="P120" s="711"/>
      <c r="Q120" s="711"/>
    </row>
    <row r="121" spans="1:17" ht="18">
      <c r="A121" s="687"/>
      <c r="B121" s="703"/>
      <c r="C121" s="705" t="s">
        <v>987</v>
      </c>
      <c r="D121" s="707">
        <v>8.4</v>
      </c>
      <c r="E121" s="706"/>
      <c r="F121" s="702"/>
      <c r="G121" s="702"/>
      <c r="H121" s="702"/>
      <c r="K121" s="694"/>
      <c r="L121" s="712"/>
      <c r="M121" s="711"/>
      <c r="N121" s="708"/>
      <c r="O121" s="708"/>
      <c r="P121" s="711"/>
      <c r="Q121" s="711"/>
    </row>
    <row r="122" spans="1:17" ht="18">
      <c r="A122" s="687"/>
      <c r="B122" s="703"/>
      <c r="C122" s="705" t="s">
        <v>986</v>
      </c>
      <c r="D122" s="707">
        <v>7.9</v>
      </c>
      <c r="E122" s="706"/>
      <c r="F122" s="702"/>
      <c r="G122" s="702"/>
      <c r="H122" s="702"/>
    </row>
    <row r="123" spans="1:17" ht="18">
      <c r="A123" s="687"/>
      <c r="B123" s="703"/>
      <c r="C123" s="705" t="s">
        <v>985</v>
      </c>
      <c r="D123" s="707">
        <v>7.4</v>
      </c>
      <c r="E123" s="706"/>
      <c r="F123" s="702"/>
      <c r="G123" s="702"/>
      <c r="H123" s="702"/>
    </row>
    <row r="124" spans="1:17" ht="18">
      <c r="A124" s="687"/>
      <c r="B124" s="703"/>
      <c r="C124" s="705" t="s">
        <v>984</v>
      </c>
      <c r="D124" s="707">
        <v>7</v>
      </c>
      <c r="E124" s="706"/>
      <c r="F124" s="702"/>
      <c r="G124" s="702"/>
      <c r="H124" s="702"/>
      <c r="J124" s="695"/>
    </row>
    <row r="125" spans="1:17" ht="18">
      <c r="A125" s="687"/>
      <c r="B125" s="703"/>
      <c r="C125" s="705" t="s">
        <v>983</v>
      </c>
      <c r="D125" s="707">
        <v>6.6</v>
      </c>
      <c r="E125" s="706"/>
      <c r="F125" s="702"/>
      <c r="G125" s="702"/>
      <c r="H125" s="702"/>
      <c r="N125" s="694"/>
      <c r="O125" s="709"/>
      <c r="P125" s="693"/>
      <c r="Q125" s="693"/>
    </row>
    <row r="126" spans="1:17" ht="18">
      <c r="A126" s="687"/>
      <c r="B126" s="703"/>
      <c r="C126" s="705" t="s">
        <v>982</v>
      </c>
      <c r="D126" s="707">
        <v>6.2</v>
      </c>
      <c r="E126" s="706"/>
      <c r="F126" s="702"/>
      <c r="G126" s="702"/>
      <c r="H126" s="702"/>
      <c r="K126" s="694"/>
      <c r="N126" s="694"/>
      <c r="O126" s="709"/>
      <c r="P126" s="715"/>
      <c r="Q126" s="715"/>
    </row>
    <row r="127" spans="1:17" ht="18">
      <c r="A127" s="687"/>
      <c r="B127" s="703"/>
      <c r="C127" s="705" t="s">
        <v>981</v>
      </c>
      <c r="D127" s="707">
        <v>5.8</v>
      </c>
      <c r="E127" s="706"/>
      <c r="F127" s="702"/>
      <c r="G127" s="702"/>
      <c r="H127" s="702"/>
      <c r="N127" s="694"/>
      <c r="O127" s="714"/>
      <c r="P127" s="713"/>
      <c r="Q127" s="713"/>
    </row>
    <row r="128" spans="1:17" ht="18">
      <c r="A128" s="687"/>
      <c r="B128" s="703"/>
      <c r="C128" s="705" t="s">
        <v>980</v>
      </c>
      <c r="D128" s="707">
        <v>5.5</v>
      </c>
      <c r="E128" s="706"/>
      <c r="F128" s="702"/>
      <c r="G128" s="702"/>
      <c r="H128" s="702"/>
      <c r="K128" s="694"/>
      <c r="N128" s="694"/>
    </row>
    <row r="129" spans="1:20" ht="18">
      <c r="A129" s="687"/>
      <c r="B129" s="703"/>
      <c r="C129" s="705" t="s">
        <v>979</v>
      </c>
      <c r="D129" s="707">
        <v>11.9</v>
      </c>
      <c r="E129" s="706"/>
      <c r="F129" s="702"/>
      <c r="G129" s="702"/>
      <c r="H129" s="702"/>
    </row>
    <row r="130" spans="1:20" ht="18.600000000000001">
      <c r="A130" s="687"/>
      <c r="B130" s="703"/>
      <c r="C130" s="705" t="s">
        <v>978</v>
      </c>
      <c r="D130" s="704">
        <v>15.5</v>
      </c>
      <c r="E130" s="706"/>
      <c r="F130" s="702"/>
      <c r="G130" s="702"/>
      <c r="H130" s="702"/>
    </row>
    <row r="131" spans="1:20" ht="18">
      <c r="A131" s="687"/>
      <c r="B131" s="703"/>
      <c r="C131" s="705" t="s">
        <v>977</v>
      </c>
      <c r="D131" s="704">
        <v>14.6</v>
      </c>
      <c r="E131" s="706"/>
      <c r="F131" s="702"/>
      <c r="G131" s="702"/>
      <c r="H131" s="702"/>
    </row>
    <row r="132" spans="1:20" ht="18">
      <c r="A132" s="687"/>
      <c r="B132" s="703"/>
      <c r="C132" s="705" t="s">
        <v>976</v>
      </c>
      <c r="D132" s="704">
        <v>13.7</v>
      </c>
      <c r="E132" s="706"/>
      <c r="F132" s="702"/>
      <c r="G132" s="702"/>
      <c r="H132" s="702"/>
      <c r="K132" s="694"/>
      <c r="L132" s="712"/>
      <c r="M132" s="711"/>
      <c r="N132" s="708"/>
      <c r="O132" s="708"/>
      <c r="P132" s="711"/>
      <c r="Q132" s="711"/>
    </row>
    <row r="133" spans="1:20" ht="18">
      <c r="A133" s="687"/>
      <c r="B133" s="703"/>
      <c r="C133" s="705" t="s">
        <v>975</v>
      </c>
      <c r="D133" s="704">
        <v>12.9</v>
      </c>
      <c r="E133" s="706"/>
      <c r="F133" s="702"/>
      <c r="G133" s="702"/>
      <c r="H133" s="702"/>
      <c r="K133" s="694"/>
      <c r="L133" s="712"/>
      <c r="M133" s="711"/>
      <c r="N133" s="708"/>
      <c r="O133" s="708"/>
      <c r="P133" s="711"/>
      <c r="Q133" s="711"/>
    </row>
    <row r="134" spans="1:20" ht="18">
      <c r="A134" s="687"/>
      <c r="B134" s="703"/>
      <c r="C134" s="705" t="s">
        <v>974</v>
      </c>
      <c r="D134" s="704">
        <v>12.1</v>
      </c>
      <c r="E134" s="706"/>
      <c r="F134" s="702"/>
      <c r="G134" s="702"/>
      <c r="H134" s="702"/>
      <c r="K134" s="694"/>
      <c r="L134" s="712"/>
      <c r="M134" s="711"/>
      <c r="N134" s="708"/>
      <c r="O134" s="708"/>
      <c r="P134" s="711"/>
      <c r="Q134" s="711"/>
    </row>
    <row r="135" spans="1:20" ht="18">
      <c r="A135" s="687"/>
      <c r="B135" s="703"/>
      <c r="C135" s="705" t="s">
        <v>973</v>
      </c>
      <c r="D135" s="704">
        <v>11.3</v>
      </c>
      <c r="E135" s="706"/>
      <c r="F135" s="702"/>
      <c r="G135" s="702"/>
      <c r="H135" s="702"/>
      <c r="K135" s="694"/>
      <c r="L135" s="712"/>
      <c r="M135" s="711"/>
      <c r="N135" s="708"/>
      <c r="O135" s="708"/>
      <c r="P135" s="711"/>
      <c r="Q135" s="711"/>
    </row>
    <row r="136" spans="1:20" ht="18.600000000000001">
      <c r="A136" s="687"/>
      <c r="B136" s="703"/>
      <c r="C136" s="705" t="s">
        <v>972</v>
      </c>
      <c r="D136" s="704"/>
      <c r="E136" s="704">
        <v>11.8</v>
      </c>
      <c r="F136" s="702"/>
      <c r="G136" s="702"/>
      <c r="H136" s="702"/>
      <c r="K136" s="694"/>
      <c r="L136" s="712"/>
      <c r="M136" s="711"/>
      <c r="N136" s="708"/>
      <c r="O136" s="708"/>
      <c r="P136" s="711"/>
      <c r="Q136" s="711"/>
    </row>
    <row r="137" spans="1:20">
      <c r="A137" s="687"/>
      <c r="B137" s="703"/>
      <c r="C137" s="702"/>
      <c r="D137" s="702"/>
      <c r="E137" s="702"/>
      <c r="F137" s="702"/>
      <c r="G137" s="702"/>
      <c r="H137" s="702"/>
      <c r="K137" s="694"/>
      <c r="L137" s="712"/>
      <c r="M137" s="711"/>
      <c r="N137" s="708"/>
      <c r="O137" s="708"/>
      <c r="P137" s="711"/>
      <c r="Q137" s="711"/>
    </row>
    <row r="138" spans="1:20">
      <c r="A138" s="687"/>
      <c r="B138" s="703"/>
      <c r="C138" s="659" t="s">
        <v>993</v>
      </c>
      <c r="D138" s="2"/>
      <c r="E138" s="2"/>
      <c r="F138" s="702"/>
      <c r="G138" s="702"/>
      <c r="H138" s="702"/>
      <c r="K138" s="694"/>
      <c r="L138" s="712"/>
      <c r="M138" s="711"/>
      <c r="N138" s="708"/>
      <c r="O138" s="708"/>
      <c r="P138" s="711"/>
      <c r="Q138" s="711"/>
    </row>
    <row r="139" spans="1:20">
      <c r="A139" s="687"/>
      <c r="B139" s="703"/>
      <c r="C139" s="2"/>
      <c r="D139" s="2"/>
      <c r="E139" s="2"/>
      <c r="F139" s="702"/>
      <c r="G139" s="702"/>
      <c r="H139" s="702"/>
      <c r="K139" s="694"/>
      <c r="L139" s="712"/>
      <c r="M139" s="711"/>
      <c r="N139" s="708"/>
      <c r="O139" s="708"/>
      <c r="P139" s="711"/>
      <c r="Q139" s="711"/>
    </row>
    <row r="140" spans="1:20">
      <c r="A140" s="687"/>
      <c r="B140" s="703"/>
      <c r="C140" s="2"/>
      <c r="D140" s="710" t="s">
        <v>992</v>
      </c>
      <c r="E140" s="710" t="s">
        <v>991</v>
      </c>
      <c r="F140" s="665"/>
      <c r="G140" s="702"/>
      <c r="H140" s="702"/>
      <c r="J140" s="695"/>
      <c r="O140" s="695"/>
    </row>
    <row r="141" spans="1:20" ht="18">
      <c r="A141" s="687"/>
      <c r="B141" s="703"/>
      <c r="C141" s="705" t="s">
        <v>990</v>
      </c>
      <c r="D141" s="707">
        <v>15.3</v>
      </c>
      <c r="E141" s="706"/>
      <c r="F141" s="702"/>
      <c r="G141" s="702"/>
      <c r="H141" s="702"/>
    </row>
    <row r="142" spans="1:20" ht="18">
      <c r="A142" s="687"/>
      <c r="B142" s="703"/>
      <c r="C142" s="705" t="s">
        <v>989</v>
      </c>
      <c r="D142" s="707">
        <v>14.7</v>
      </c>
      <c r="E142" s="706"/>
      <c r="F142" s="702"/>
      <c r="G142" s="702"/>
      <c r="H142" s="702"/>
    </row>
    <row r="143" spans="1:20" ht="18">
      <c r="A143" s="687"/>
      <c r="B143" s="703"/>
      <c r="C143" s="705" t="s">
        <v>988</v>
      </c>
      <c r="D143" s="707">
        <v>14</v>
      </c>
      <c r="E143" s="706"/>
      <c r="F143" s="702"/>
      <c r="G143" s="702"/>
      <c r="H143" s="702"/>
      <c r="K143" s="694"/>
      <c r="T143" s="709"/>
    </row>
    <row r="144" spans="1:20" ht="18">
      <c r="A144" s="687"/>
      <c r="B144" s="703"/>
      <c r="C144" s="705" t="s">
        <v>987</v>
      </c>
      <c r="D144" s="707">
        <v>13.4</v>
      </c>
      <c r="E144" s="706"/>
      <c r="F144" s="702"/>
      <c r="G144" s="702"/>
      <c r="H144" s="702"/>
      <c r="P144" s="694"/>
      <c r="Q144" s="694"/>
      <c r="T144" s="694"/>
    </row>
    <row r="145" spans="1:20" ht="18">
      <c r="A145" s="687"/>
      <c r="B145" s="703"/>
      <c r="C145" s="705" t="s">
        <v>986</v>
      </c>
      <c r="D145" s="707">
        <v>12.8</v>
      </c>
      <c r="E145" s="706"/>
      <c r="F145" s="702"/>
      <c r="G145" s="702"/>
      <c r="H145" s="702"/>
      <c r="K145" s="708"/>
      <c r="L145" s="708"/>
      <c r="N145" s="708"/>
    </row>
    <row r="146" spans="1:20" ht="18">
      <c r="A146" s="687"/>
      <c r="B146" s="703"/>
      <c r="C146" s="705" t="s">
        <v>985</v>
      </c>
      <c r="D146" s="707">
        <v>12.2</v>
      </c>
      <c r="E146" s="706"/>
      <c r="F146" s="702"/>
      <c r="G146" s="702"/>
      <c r="H146" s="702"/>
      <c r="J146" s="698"/>
      <c r="K146" s="688"/>
      <c r="L146" s="688"/>
      <c r="N146" s="688"/>
      <c r="P146" s="688"/>
      <c r="Q146" s="688"/>
      <c r="T146" s="688"/>
    </row>
    <row r="147" spans="1:20" ht="18">
      <c r="A147" s="687"/>
      <c r="B147" s="703"/>
      <c r="C147" s="705" t="s">
        <v>984</v>
      </c>
      <c r="D147" s="707">
        <v>11.6</v>
      </c>
      <c r="E147" s="706"/>
      <c r="F147" s="702"/>
      <c r="G147" s="702"/>
      <c r="H147" s="702"/>
    </row>
    <row r="148" spans="1:20" ht="18">
      <c r="A148" s="687"/>
      <c r="B148" s="703"/>
      <c r="C148" s="705" t="s">
        <v>983</v>
      </c>
      <c r="D148" s="707">
        <v>11</v>
      </c>
      <c r="E148" s="706"/>
      <c r="F148" s="702"/>
      <c r="G148" s="702"/>
      <c r="H148" s="702"/>
    </row>
    <row r="149" spans="1:20" ht="18">
      <c r="A149" s="687"/>
      <c r="B149" s="703"/>
      <c r="C149" s="705" t="s">
        <v>982</v>
      </c>
      <c r="D149" s="707">
        <v>10.5</v>
      </c>
      <c r="E149" s="706"/>
      <c r="F149" s="702"/>
      <c r="G149" s="702"/>
      <c r="H149" s="702"/>
    </row>
    <row r="150" spans="1:20" ht="18">
      <c r="A150" s="687"/>
      <c r="B150" s="703"/>
      <c r="C150" s="705" t="s">
        <v>981</v>
      </c>
      <c r="D150" s="707">
        <v>10</v>
      </c>
      <c r="E150" s="706"/>
      <c r="F150" s="702"/>
      <c r="G150" s="702"/>
      <c r="H150" s="702"/>
    </row>
    <row r="151" spans="1:20" ht="18">
      <c r="A151" s="687"/>
      <c r="B151" s="703"/>
      <c r="C151" s="705" t="s">
        <v>980</v>
      </c>
      <c r="D151" s="707">
        <v>9.5</v>
      </c>
      <c r="E151" s="706"/>
      <c r="F151" s="702"/>
      <c r="G151" s="702"/>
      <c r="H151" s="702"/>
    </row>
    <row r="152" spans="1:20" ht="18">
      <c r="A152" s="687"/>
      <c r="B152" s="703"/>
      <c r="C152" s="705" t="s">
        <v>979</v>
      </c>
      <c r="D152" s="707">
        <v>15.4</v>
      </c>
      <c r="E152" s="706"/>
      <c r="F152" s="702"/>
      <c r="G152" s="702"/>
      <c r="H152" s="702"/>
    </row>
    <row r="153" spans="1:20" ht="18.600000000000001">
      <c r="A153" s="687"/>
      <c r="B153" s="703"/>
      <c r="C153" s="705" t="s">
        <v>978</v>
      </c>
      <c r="D153" s="707">
        <v>19</v>
      </c>
      <c r="E153" s="706"/>
      <c r="F153" s="702"/>
      <c r="G153" s="702"/>
      <c r="H153" s="702"/>
    </row>
    <row r="154" spans="1:20" ht="18">
      <c r="A154" s="687"/>
      <c r="B154" s="703"/>
      <c r="C154" s="705" t="s">
        <v>977</v>
      </c>
      <c r="D154" s="704">
        <v>18.100000000000001</v>
      </c>
      <c r="E154" s="706"/>
      <c r="F154" s="702"/>
      <c r="G154" s="702"/>
      <c r="H154" s="702"/>
    </row>
    <row r="155" spans="1:20" ht="18">
      <c r="A155" s="687"/>
      <c r="B155" s="703"/>
      <c r="C155" s="705" t="s">
        <v>976</v>
      </c>
      <c r="D155" s="704">
        <v>17.2</v>
      </c>
      <c r="E155" s="706"/>
      <c r="F155" s="702"/>
      <c r="G155" s="702"/>
      <c r="H155" s="702"/>
    </row>
    <row r="156" spans="1:20" ht="18">
      <c r="A156" s="687"/>
      <c r="B156" s="703"/>
      <c r="C156" s="705" t="s">
        <v>975</v>
      </c>
      <c r="D156" s="704">
        <v>16.399999999999999</v>
      </c>
      <c r="E156" s="706"/>
      <c r="F156" s="702"/>
      <c r="G156" s="702"/>
      <c r="H156" s="702"/>
    </row>
    <row r="157" spans="1:20" ht="18">
      <c r="A157" s="687"/>
      <c r="B157" s="703"/>
      <c r="C157" s="705" t="s">
        <v>974</v>
      </c>
      <c r="D157" s="704">
        <v>15.6</v>
      </c>
      <c r="E157" s="706"/>
      <c r="F157" s="702"/>
      <c r="G157" s="702"/>
      <c r="H157" s="702"/>
    </row>
    <row r="158" spans="1:20" ht="18">
      <c r="A158" s="687"/>
      <c r="B158" s="703"/>
      <c r="C158" s="705" t="s">
        <v>973</v>
      </c>
      <c r="D158" s="704">
        <v>14.8</v>
      </c>
      <c r="E158" s="706"/>
      <c r="F158" s="702"/>
      <c r="G158" s="702"/>
      <c r="H158" s="702"/>
    </row>
    <row r="159" spans="1:20" ht="18.600000000000001">
      <c r="A159" s="687"/>
      <c r="B159" s="703"/>
      <c r="C159" s="705" t="s">
        <v>972</v>
      </c>
      <c r="D159" s="704"/>
      <c r="E159" s="704">
        <v>15.6</v>
      </c>
      <c r="F159" s="702"/>
      <c r="G159" s="702"/>
      <c r="H159" s="702"/>
    </row>
    <row r="160" spans="1:20">
      <c r="A160" s="687"/>
      <c r="B160" s="703"/>
      <c r="C160" s="702"/>
      <c r="D160" s="702"/>
      <c r="E160" s="702"/>
      <c r="F160" s="702"/>
      <c r="G160" s="702"/>
      <c r="H160" s="702"/>
    </row>
    <row r="161" spans="1:15">
      <c r="A161" s="687"/>
      <c r="B161" s="657"/>
      <c r="C161" s="657"/>
      <c r="D161" s="657"/>
      <c r="E161" s="657"/>
      <c r="F161" s="657"/>
      <c r="G161" s="657"/>
      <c r="H161" s="657"/>
    </row>
    <row r="162" spans="1:15">
      <c r="A162" s="679" t="s">
        <v>26</v>
      </c>
      <c r="B162" s="678" t="s">
        <v>202</v>
      </c>
      <c r="C162" s="663" t="s">
        <v>971</v>
      </c>
      <c r="D162" s="657"/>
      <c r="E162" s="657"/>
      <c r="F162" s="657"/>
      <c r="G162" s="657"/>
      <c r="H162" s="657"/>
    </row>
    <row r="163" spans="1:15">
      <c r="A163" s="679"/>
      <c r="B163" s="678"/>
      <c r="C163" s="670"/>
      <c r="D163" s="657"/>
      <c r="E163" s="657"/>
      <c r="F163" s="657"/>
      <c r="G163" s="657"/>
      <c r="H163" s="657"/>
    </row>
    <row r="164" spans="1:15">
      <c r="A164" s="679"/>
      <c r="B164" s="678"/>
      <c r="C164" s="221" t="s">
        <v>399</v>
      </c>
      <c r="D164" s="149"/>
      <c r="E164" s="149"/>
      <c r="F164" s="149"/>
      <c r="G164" s="148"/>
      <c r="H164" s="657"/>
      <c r="L164" s="698"/>
    </row>
    <row r="165" spans="1:15">
      <c r="A165" s="687"/>
      <c r="B165" s="673"/>
      <c r="C165" s="657"/>
      <c r="D165" s="657"/>
      <c r="E165" s="657"/>
      <c r="F165" s="657"/>
      <c r="G165" s="657"/>
      <c r="H165" s="657"/>
      <c r="M165" s="701"/>
      <c r="O165" s="701"/>
    </row>
    <row r="166" spans="1:15">
      <c r="A166" s="687"/>
      <c r="B166" s="673"/>
      <c r="C166" s="670" t="s">
        <v>947</v>
      </c>
      <c r="D166" s="657"/>
      <c r="E166" s="668"/>
      <c r="F166" s="657"/>
      <c r="G166" s="657"/>
      <c r="H166" s="657"/>
    </row>
    <row r="167" spans="1:15">
      <c r="A167" s="687"/>
      <c r="B167" s="673"/>
      <c r="C167" s="663"/>
      <c r="D167" s="657"/>
      <c r="E167" s="657"/>
      <c r="F167" s="657"/>
      <c r="G167" s="657"/>
      <c r="H167" s="657"/>
      <c r="M167" s="693"/>
      <c r="N167" s="693"/>
      <c r="O167" s="693"/>
    </row>
    <row r="168" spans="1:15">
      <c r="A168" s="687"/>
      <c r="B168" s="673"/>
      <c r="C168" s="670" t="s">
        <v>970</v>
      </c>
      <c r="D168" s="657"/>
      <c r="E168" s="657"/>
      <c r="F168" s="657"/>
      <c r="G168" s="657"/>
      <c r="H168" s="657"/>
      <c r="M168" s="694"/>
      <c r="N168" s="693"/>
    </row>
    <row r="169" spans="1:15">
      <c r="A169" s="687"/>
      <c r="B169" s="673"/>
      <c r="C169" s="663" t="s">
        <v>966</v>
      </c>
      <c r="D169" s="657"/>
      <c r="E169" s="668"/>
      <c r="F169" s="657"/>
      <c r="G169" s="657"/>
      <c r="H169" s="657"/>
      <c r="M169" s="693"/>
      <c r="O169" s="693"/>
    </row>
    <row r="170" spans="1:15">
      <c r="A170" s="687"/>
      <c r="B170" s="673"/>
      <c r="C170" s="663" t="s">
        <v>965</v>
      </c>
      <c r="D170" s="657"/>
      <c r="E170" s="668"/>
      <c r="F170" s="657"/>
      <c r="G170" s="657"/>
      <c r="H170" s="657"/>
      <c r="M170" s="693"/>
      <c r="N170" s="693"/>
      <c r="O170" s="693"/>
    </row>
    <row r="171" spans="1:15">
      <c r="A171" s="687"/>
      <c r="B171" s="673"/>
      <c r="C171" s="663" t="s">
        <v>964</v>
      </c>
      <c r="D171" s="657"/>
      <c r="E171" s="668"/>
      <c r="F171" s="657"/>
      <c r="G171" s="657"/>
      <c r="H171" s="657"/>
      <c r="O171" s="693"/>
    </row>
    <row r="172" spans="1:15">
      <c r="A172" s="687"/>
      <c r="B172" s="673"/>
      <c r="C172" s="663" t="s">
        <v>349</v>
      </c>
      <c r="D172" s="657"/>
      <c r="E172" s="676">
        <f>SUM(E169:E171)</f>
        <v>0</v>
      </c>
      <c r="F172" s="657"/>
      <c r="G172" s="657"/>
      <c r="H172" s="657"/>
    </row>
    <row r="173" spans="1:15">
      <c r="A173" s="687"/>
      <c r="B173" s="673"/>
      <c r="C173" s="663" t="s">
        <v>348</v>
      </c>
      <c r="D173" s="657"/>
      <c r="E173" s="668"/>
      <c r="F173" s="657"/>
      <c r="G173" s="657"/>
      <c r="H173" s="657"/>
    </row>
    <row r="174" spans="1:15">
      <c r="A174" s="687"/>
      <c r="B174" s="673"/>
      <c r="C174" s="670" t="s">
        <v>347</v>
      </c>
      <c r="D174" s="657"/>
      <c r="E174" s="676">
        <f>SUM(E172:E173)</f>
        <v>0</v>
      </c>
      <c r="F174" s="665"/>
      <c r="G174" s="690"/>
      <c r="H174" s="657"/>
      <c r="J174" s="700"/>
      <c r="L174" s="700"/>
    </row>
    <row r="175" spans="1:15">
      <c r="A175" s="687"/>
      <c r="B175" s="673"/>
      <c r="C175" s="663"/>
      <c r="D175" s="657"/>
      <c r="E175" s="657"/>
      <c r="F175" s="665"/>
      <c r="G175" s="699"/>
      <c r="H175" s="657"/>
      <c r="I175" s="698"/>
      <c r="L175" s="698"/>
    </row>
    <row r="176" spans="1:15">
      <c r="A176" s="687"/>
      <c r="B176" s="673"/>
      <c r="C176" s="670" t="s">
        <v>346</v>
      </c>
      <c r="D176" s="657"/>
      <c r="E176" s="676">
        <f>E166-E174</f>
        <v>0</v>
      </c>
      <c r="F176" s="657"/>
      <c r="G176" s="690"/>
      <c r="H176" s="657"/>
      <c r="J176" s="693"/>
      <c r="L176" s="693"/>
    </row>
    <row r="177" spans="1:12">
      <c r="A177" s="687"/>
      <c r="B177" s="673"/>
      <c r="C177" s="663"/>
      <c r="D177" s="657"/>
      <c r="E177" s="682"/>
      <c r="F177" s="657"/>
      <c r="G177" s="690"/>
      <c r="H177" s="657"/>
      <c r="J177" s="693"/>
      <c r="L177" s="693"/>
    </row>
    <row r="178" spans="1:12">
      <c r="A178" s="687"/>
      <c r="B178" s="673"/>
      <c r="C178" s="657"/>
      <c r="D178" s="657"/>
      <c r="E178" s="657"/>
      <c r="F178" s="657"/>
      <c r="G178" s="657"/>
      <c r="H178" s="657"/>
      <c r="J178" s="693"/>
      <c r="L178" s="693"/>
    </row>
    <row r="179" spans="1:12">
      <c r="A179" s="687"/>
      <c r="B179" s="673"/>
      <c r="C179" s="670" t="s">
        <v>739</v>
      </c>
      <c r="D179" s="657"/>
      <c r="E179" s="668"/>
      <c r="F179" s="657"/>
      <c r="G179" s="657"/>
      <c r="H179" s="657"/>
    </row>
    <row r="180" spans="1:12">
      <c r="A180" s="687"/>
      <c r="B180" s="673"/>
      <c r="C180" s="670" t="s">
        <v>969</v>
      </c>
      <c r="D180" s="657"/>
      <c r="E180" s="657"/>
      <c r="F180" s="657"/>
      <c r="G180" s="657"/>
      <c r="H180" s="657"/>
      <c r="I180" s="698"/>
    </row>
    <row r="181" spans="1:12">
      <c r="A181" s="687"/>
      <c r="B181" s="673"/>
      <c r="C181" s="663" t="s">
        <v>966</v>
      </c>
      <c r="D181" s="657"/>
      <c r="E181" s="668"/>
      <c r="F181" s="657"/>
      <c r="G181" s="657"/>
      <c r="H181" s="657"/>
    </row>
    <row r="182" spans="1:12">
      <c r="A182" s="687"/>
      <c r="B182" s="673"/>
      <c r="C182" s="663" t="s">
        <v>965</v>
      </c>
      <c r="D182" s="657"/>
      <c r="E182" s="668"/>
      <c r="F182" s="657"/>
      <c r="G182" s="657"/>
      <c r="H182" s="657"/>
      <c r="L182" s="697"/>
    </row>
    <row r="183" spans="1:12">
      <c r="A183" s="687"/>
      <c r="B183" s="673"/>
      <c r="C183" s="663" t="s">
        <v>964</v>
      </c>
      <c r="D183" s="657"/>
      <c r="E183" s="668"/>
      <c r="F183" s="657"/>
      <c r="G183" s="657"/>
      <c r="H183" s="657"/>
    </row>
    <row r="184" spans="1:12">
      <c r="A184" s="687"/>
      <c r="B184" s="673"/>
      <c r="C184" s="670" t="s">
        <v>347</v>
      </c>
      <c r="D184" s="657"/>
      <c r="E184" s="676">
        <f>SUM(E181:E183)</f>
        <v>0</v>
      </c>
      <c r="F184" s="657"/>
      <c r="G184" s="657"/>
      <c r="H184" s="657"/>
      <c r="J184" s="693"/>
      <c r="L184" s="693"/>
    </row>
    <row r="185" spans="1:12">
      <c r="A185" s="687"/>
      <c r="B185" s="673"/>
      <c r="C185" s="663"/>
      <c r="D185" s="657"/>
      <c r="E185" s="663"/>
      <c r="F185" s="657"/>
      <c r="G185" s="657"/>
      <c r="H185" s="657"/>
      <c r="J185" s="693"/>
      <c r="L185" s="693"/>
    </row>
    <row r="186" spans="1:12">
      <c r="A186" s="687"/>
      <c r="B186" s="673"/>
      <c r="C186" s="670" t="s">
        <v>407</v>
      </c>
      <c r="D186" s="657"/>
      <c r="E186" s="676">
        <f>E179-E184</f>
        <v>0</v>
      </c>
      <c r="F186" s="657"/>
      <c r="G186" s="657"/>
      <c r="H186" s="657"/>
    </row>
    <row r="187" spans="1:12">
      <c r="A187" s="687"/>
      <c r="B187" s="673"/>
      <c r="C187" s="670" t="s">
        <v>968</v>
      </c>
      <c r="D187" s="657"/>
      <c r="E187" s="691"/>
      <c r="F187" s="657"/>
      <c r="G187" s="657"/>
      <c r="H187" s="657"/>
      <c r="J187" s="694"/>
    </row>
    <row r="188" spans="1:12">
      <c r="A188" s="687"/>
      <c r="B188" s="673"/>
      <c r="C188" s="663"/>
      <c r="D188" s="657"/>
      <c r="E188" s="696"/>
      <c r="F188" s="657"/>
      <c r="G188" s="657"/>
      <c r="H188" s="657"/>
      <c r="J188" s="693"/>
      <c r="L188" s="693"/>
    </row>
    <row r="189" spans="1:12">
      <c r="A189" s="687"/>
      <c r="B189" s="673"/>
      <c r="C189" s="670" t="s">
        <v>944</v>
      </c>
      <c r="D189" s="657"/>
      <c r="E189" s="668"/>
      <c r="F189" s="690"/>
      <c r="G189" s="657"/>
      <c r="H189" s="657"/>
    </row>
    <row r="190" spans="1:12">
      <c r="A190" s="687"/>
      <c r="B190" s="673"/>
      <c r="C190" s="670" t="s">
        <v>967</v>
      </c>
      <c r="D190" s="657"/>
      <c r="E190" s="657"/>
      <c r="F190" s="657"/>
      <c r="G190" s="657"/>
      <c r="H190" s="657"/>
      <c r="I190" s="695"/>
      <c r="L190" s="693"/>
    </row>
    <row r="191" spans="1:12">
      <c r="A191" s="687"/>
      <c r="B191" s="673"/>
      <c r="C191" s="663" t="s">
        <v>966</v>
      </c>
      <c r="D191" s="657"/>
      <c r="E191" s="668"/>
      <c r="F191" s="657"/>
      <c r="G191" s="657"/>
      <c r="H191" s="657"/>
    </row>
    <row r="192" spans="1:12">
      <c r="A192" s="687"/>
      <c r="B192" s="673"/>
      <c r="C192" s="663" t="s">
        <v>965</v>
      </c>
      <c r="D192" s="657"/>
      <c r="E192" s="668"/>
      <c r="F192" s="657"/>
      <c r="G192" s="657"/>
      <c r="H192" s="657"/>
    </row>
    <row r="193" spans="1:10">
      <c r="A193" s="687"/>
      <c r="B193" s="673"/>
      <c r="C193" s="663" t="s">
        <v>964</v>
      </c>
      <c r="D193" s="657"/>
      <c r="E193" s="668"/>
      <c r="F193" s="657"/>
      <c r="G193" s="657"/>
      <c r="H193" s="657"/>
      <c r="J193" s="694"/>
    </row>
    <row r="194" spans="1:10">
      <c r="A194" s="687"/>
      <c r="B194" s="673"/>
      <c r="C194" s="670" t="s">
        <v>347</v>
      </c>
      <c r="D194" s="657"/>
      <c r="E194" s="676">
        <f>SUM(E191:E193)</f>
        <v>0</v>
      </c>
      <c r="F194" s="690"/>
      <c r="G194" s="692"/>
      <c r="H194" s="657"/>
      <c r="J194" s="693"/>
    </row>
    <row r="195" spans="1:10">
      <c r="A195" s="687"/>
      <c r="B195" s="673"/>
      <c r="C195" s="663"/>
      <c r="D195" s="657"/>
      <c r="E195" s="663"/>
      <c r="F195" s="657"/>
      <c r="G195" s="657"/>
      <c r="H195" s="657"/>
      <c r="J195" s="693"/>
    </row>
    <row r="196" spans="1:10">
      <c r="A196" s="687"/>
      <c r="B196" s="673"/>
      <c r="C196" s="670" t="s">
        <v>403</v>
      </c>
      <c r="D196" s="657"/>
      <c r="E196" s="676">
        <f>E189-E194</f>
        <v>0</v>
      </c>
      <c r="F196" s="657"/>
      <c r="G196" s="692"/>
      <c r="H196" s="657"/>
    </row>
    <row r="197" spans="1:10">
      <c r="A197" s="687"/>
      <c r="B197" s="673"/>
      <c r="C197" s="663" t="s">
        <v>963</v>
      </c>
      <c r="D197" s="657"/>
      <c r="E197" s="691"/>
      <c r="F197" s="657"/>
      <c r="G197" s="690"/>
      <c r="H197" s="657"/>
    </row>
    <row r="198" spans="1:10">
      <c r="A198" s="687"/>
      <c r="B198" s="673"/>
      <c r="C198" s="657"/>
      <c r="D198" s="657"/>
      <c r="E198" s="657"/>
      <c r="F198" s="657"/>
      <c r="G198" s="665"/>
      <c r="H198" s="657"/>
    </row>
    <row r="199" spans="1:10">
      <c r="A199" s="679" t="s">
        <v>34</v>
      </c>
      <c r="B199" s="678" t="s">
        <v>71</v>
      </c>
      <c r="C199" s="663" t="s">
        <v>962</v>
      </c>
      <c r="D199" s="657"/>
      <c r="E199" s="657"/>
      <c r="F199" s="657"/>
      <c r="G199" s="665"/>
      <c r="H199" s="657"/>
    </row>
    <row r="200" spans="1:10">
      <c r="A200" s="689"/>
      <c r="B200" s="678"/>
      <c r="C200" s="670"/>
      <c r="D200" s="657"/>
      <c r="E200" s="657"/>
      <c r="F200" s="657"/>
      <c r="G200" s="657"/>
      <c r="H200" s="657"/>
    </row>
    <row r="201" spans="1:10">
      <c r="A201" s="689"/>
      <c r="B201" s="678"/>
      <c r="C201" s="221" t="s">
        <v>399</v>
      </c>
      <c r="D201" s="149"/>
      <c r="E201" s="149"/>
      <c r="F201" s="149"/>
      <c r="G201" s="148"/>
      <c r="H201" s="657"/>
    </row>
    <row r="202" spans="1:10">
      <c r="A202" s="689"/>
      <c r="B202" s="678"/>
      <c r="C202" s="670"/>
      <c r="D202" s="657"/>
      <c r="E202" s="657"/>
      <c r="F202" s="657"/>
      <c r="G202" s="657"/>
      <c r="H202" s="657"/>
      <c r="J202" s="688"/>
    </row>
    <row r="203" spans="1:10">
      <c r="A203" s="687"/>
      <c r="B203" s="673"/>
      <c r="C203" s="657"/>
      <c r="D203" s="657"/>
      <c r="E203" s="657"/>
      <c r="F203" s="657"/>
      <c r="G203" s="657"/>
      <c r="H203" s="657"/>
    </row>
    <row r="204" spans="1:10">
      <c r="A204" s="687"/>
      <c r="B204" s="673"/>
      <c r="C204" s="670"/>
      <c r="D204" s="657"/>
      <c r="E204" s="657"/>
      <c r="F204" s="657"/>
      <c r="G204" s="657"/>
      <c r="H204" s="657"/>
    </row>
    <row r="205" spans="1:10">
      <c r="A205" s="687"/>
      <c r="B205" s="673"/>
      <c r="C205" s="670" t="s">
        <v>961</v>
      </c>
      <c r="D205" s="657"/>
      <c r="E205" s="657"/>
      <c r="F205" s="186"/>
      <c r="G205" s="657"/>
      <c r="H205" s="657"/>
    </row>
    <row r="206" spans="1:10">
      <c r="A206" s="687"/>
      <c r="B206" s="673"/>
      <c r="C206" s="663"/>
      <c r="D206" s="657"/>
      <c r="E206" s="657"/>
      <c r="F206" s="657"/>
      <c r="G206" s="657"/>
      <c r="H206" s="657"/>
    </row>
    <row r="207" spans="1:10">
      <c r="A207" s="687"/>
      <c r="B207" s="673"/>
      <c r="C207" s="670" t="s">
        <v>960</v>
      </c>
      <c r="D207" s="657"/>
      <c r="E207" s="657"/>
      <c r="F207" s="668"/>
      <c r="G207" s="657"/>
      <c r="H207" s="657"/>
    </row>
    <row r="208" spans="1:10">
      <c r="A208" s="687"/>
      <c r="B208" s="673"/>
      <c r="C208" s="663"/>
      <c r="D208" s="657"/>
      <c r="E208" s="657"/>
      <c r="F208" s="665"/>
      <c r="G208" s="665"/>
      <c r="H208" s="657"/>
    </row>
    <row r="209" spans="1:8">
      <c r="A209" s="687"/>
      <c r="B209" s="673"/>
      <c r="C209" s="670" t="s">
        <v>959</v>
      </c>
      <c r="D209" s="669"/>
      <c r="E209" s="657"/>
      <c r="F209" s="668"/>
      <c r="G209" s="657"/>
      <c r="H209" s="657"/>
    </row>
    <row r="210" spans="1:8">
      <c r="A210" s="687"/>
      <c r="B210" s="673"/>
      <c r="C210" s="670"/>
      <c r="D210" s="669"/>
      <c r="E210" s="657"/>
      <c r="F210" s="682"/>
      <c r="G210" s="657"/>
      <c r="H210" s="657"/>
    </row>
    <row r="211" spans="1:8">
      <c r="A211" s="667"/>
      <c r="B211" s="671"/>
      <c r="C211" s="665"/>
      <c r="D211" s="665"/>
      <c r="E211" s="665"/>
      <c r="F211" s="665"/>
      <c r="G211" s="665"/>
      <c r="H211" s="657"/>
    </row>
    <row r="212" spans="1:8">
      <c r="A212" s="679" t="s">
        <v>38</v>
      </c>
      <c r="B212" s="678" t="s">
        <v>27</v>
      </c>
      <c r="C212" s="663" t="s">
        <v>958</v>
      </c>
      <c r="D212" s="665"/>
      <c r="E212" s="665"/>
      <c r="F212" s="665"/>
      <c r="G212" s="665"/>
      <c r="H212" s="657"/>
    </row>
    <row r="213" spans="1:8">
      <c r="A213" s="667"/>
      <c r="B213" s="671"/>
      <c r="C213" s="665"/>
      <c r="D213" s="665"/>
      <c r="E213" s="665"/>
      <c r="F213" s="665"/>
      <c r="G213" s="665"/>
      <c r="H213" s="657"/>
    </row>
    <row r="214" spans="1:8">
      <c r="A214" s="667"/>
      <c r="B214" s="671"/>
      <c r="C214" s="1848"/>
      <c r="D214" s="1848"/>
      <c r="E214" s="1848"/>
      <c r="F214" s="1848"/>
      <c r="G214" s="1849"/>
      <c r="H214" s="657"/>
    </row>
    <row r="215" spans="1:8">
      <c r="A215" s="667"/>
      <c r="B215" s="671"/>
      <c r="C215" s="1850"/>
      <c r="D215" s="1850"/>
      <c r="E215" s="1850"/>
      <c r="F215" s="1850"/>
      <c r="G215" s="1851"/>
      <c r="H215" s="657"/>
    </row>
    <row r="216" spans="1:8">
      <c r="A216" s="667"/>
      <c r="B216" s="671"/>
      <c r="C216" s="1850"/>
      <c r="D216" s="1850"/>
      <c r="E216" s="1850"/>
      <c r="F216" s="1850"/>
      <c r="G216" s="1851"/>
      <c r="H216" s="657"/>
    </row>
    <row r="217" spans="1:8">
      <c r="A217" s="667"/>
      <c r="B217" s="671"/>
      <c r="C217" s="1850"/>
      <c r="D217" s="1850"/>
      <c r="E217" s="1850"/>
      <c r="F217" s="1850"/>
      <c r="G217" s="1851"/>
      <c r="H217" s="657"/>
    </row>
    <row r="218" spans="1:8">
      <c r="A218" s="667"/>
      <c r="B218" s="671"/>
      <c r="C218" s="1852"/>
      <c r="D218" s="1852"/>
      <c r="E218" s="1852"/>
      <c r="F218" s="1852"/>
      <c r="G218" s="1853"/>
      <c r="H218" s="657"/>
    </row>
    <row r="219" spans="1:8">
      <c r="A219" s="667"/>
      <c r="B219" s="673"/>
      <c r="C219" s="657"/>
      <c r="D219" s="657"/>
      <c r="E219" s="657"/>
      <c r="F219" s="657"/>
      <c r="G219" s="657"/>
      <c r="H219" s="657"/>
    </row>
    <row r="220" spans="1:8">
      <c r="A220" s="667"/>
      <c r="B220" s="671"/>
      <c r="C220" s="659" t="s">
        <v>957</v>
      </c>
      <c r="D220" s="659"/>
      <c r="E220" s="659"/>
      <c r="F220" s="659"/>
      <c r="G220" s="665"/>
      <c r="H220" s="657"/>
    </row>
    <row r="221" spans="1:8">
      <c r="A221" s="667"/>
      <c r="B221" s="671"/>
      <c r="C221" s="665"/>
      <c r="D221" s="665"/>
      <c r="E221" s="665"/>
      <c r="F221" s="665"/>
      <c r="G221" s="665"/>
      <c r="H221" s="657"/>
    </row>
    <row r="222" spans="1:8">
      <c r="A222" s="667"/>
      <c r="B222" s="671"/>
      <c r="C222" s="670" t="s">
        <v>956</v>
      </c>
      <c r="D222" s="665"/>
      <c r="E222" s="682"/>
      <c r="F222" s="665"/>
      <c r="G222" s="665"/>
      <c r="H222" s="657"/>
    </row>
    <row r="223" spans="1:8">
      <c r="A223" s="667"/>
      <c r="B223" s="671"/>
      <c r="C223" s="670"/>
      <c r="D223" s="665"/>
      <c r="E223" s="682"/>
      <c r="F223" s="665"/>
      <c r="G223" s="665"/>
      <c r="H223" s="657"/>
    </row>
    <row r="224" spans="1:8">
      <c r="A224" s="667"/>
      <c r="B224" s="671"/>
      <c r="C224" s="681" t="s">
        <v>955</v>
      </c>
      <c r="D224" s="680"/>
      <c r="E224" s="686">
        <v>1700000</v>
      </c>
      <c r="F224" s="665"/>
      <c r="G224" s="665"/>
      <c r="H224" s="657"/>
    </row>
    <row r="225" spans="1:8">
      <c r="A225" s="667"/>
      <c r="B225" s="671"/>
      <c r="C225" s="685" t="s">
        <v>954</v>
      </c>
      <c r="D225" s="684"/>
      <c r="E225" s="683">
        <v>50000</v>
      </c>
      <c r="F225" s="665"/>
      <c r="G225" s="665"/>
      <c r="H225" s="657"/>
    </row>
    <row r="226" spans="1:8">
      <c r="A226" s="667"/>
      <c r="B226" s="671"/>
      <c r="C226" s="665"/>
      <c r="D226" s="665"/>
      <c r="E226" s="682"/>
      <c r="F226" s="665"/>
      <c r="G226" s="665"/>
      <c r="H226" s="657"/>
    </row>
    <row r="227" spans="1:8">
      <c r="A227" s="667"/>
      <c r="B227" s="671"/>
      <c r="C227" s="670" t="s">
        <v>953</v>
      </c>
      <c r="D227" s="665"/>
      <c r="E227" s="682"/>
      <c r="F227" s="665"/>
      <c r="G227" s="665"/>
      <c r="H227" s="657"/>
    </row>
    <row r="228" spans="1:8">
      <c r="A228" s="667"/>
      <c r="B228" s="671"/>
      <c r="C228" s="665"/>
      <c r="D228" s="665"/>
      <c r="E228" s="665"/>
      <c r="F228" s="665"/>
      <c r="G228" s="665"/>
      <c r="H228" s="657"/>
    </row>
    <row r="229" spans="1:8">
      <c r="A229" s="667"/>
      <c r="B229" s="671"/>
      <c r="C229" s="681" t="s">
        <v>952</v>
      </c>
      <c r="D229" s="680"/>
      <c r="E229" s="1841">
        <v>50000</v>
      </c>
      <c r="F229" s="1842"/>
      <c r="G229" s="665"/>
      <c r="H229" s="657"/>
    </row>
    <row r="230" spans="1:8">
      <c r="A230" s="667"/>
      <c r="B230" s="671"/>
      <c r="C230" s="681" t="s">
        <v>951</v>
      </c>
      <c r="D230" s="680"/>
      <c r="E230" s="1841" t="s">
        <v>950</v>
      </c>
      <c r="F230" s="1842"/>
      <c r="G230" s="665"/>
      <c r="H230" s="657"/>
    </row>
    <row r="231" spans="1:8">
      <c r="A231" s="667"/>
      <c r="B231" s="671"/>
      <c r="C231" s="663"/>
      <c r="D231" s="665"/>
      <c r="E231" s="674"/>
      <c r="F231" s="674"/>
      <c r="G231" s="665"/>
      <c r="H231" s="657"/>
    </row>
    <row r="232" spans="1:8">
      <c r="A232" s="679" t="s">
        <v>211</v>
      </c>
      <c r="B232" s="678" t="s">
        <v>71</v>
      </c>
      <c r="C232" s="663" t="s">
        <v>949</v>
      </c>
      <c r="D232" s="665"/>
      <c r="E232" s="674"/>
      <c r="F232" s="674"/>
      <c r="G232" s="665"/>
      <c r="H232" s="657"/>
    </row>
    <row r="233" spans="1:8">
      <c r="A233" s="679"/>
      <c r="B233" s="678"/>
      <c r="C233" s="663"/>
      <c r="D233" s="665"/>
      <c r="E233" s="674"/>
      <c r="F233" s="674"/>
      <c r="G233" s="665"/>
      <c r="H233" s="657"/>
    </row>
    <row r="234" spans="1:8">
      <c r="A234" s="667"/>
      <c r="B234" s="671"/>
      <c r="C234" s="221" t="s">
        <v>399</v>
      </c>
      <c r="D234" s="149"/>
      <c r="E234" s="149"/>
      <c r="F234" s="149"/>
      <c r="G234" s="148"/>
      <c r="H234" s="657"/>
    </row>
    <row r="235" spans="1:8">
      <c r="A235" s="667"/>
      <c r="B235" s="671"/>
      <c r="C235" s="663"/>
      <c r="D235" s="665"/>
      <c r="E235" s="674"/>
      <c r="F235" s="674"/>
      <c r="G235" s="665"/>
      <c r="H235" s="657"/>
    </row>
    <row r="236" spans="1:8">
      <c r="A236" s="667"/>
      <c r="B236" s="671"/>
      <c r="C236" s="663" t="s">
        <v>948</v>
      </c>
      <c r="D236" s="657"/>
      <c r="E236" s="668"/>
      <c r="F236" s="674"/>
      <c r="G236" s="665"/>
      <c r="H236" s="657"/>
    </row>
    <row r="237" spans="1:8">
      <c r="A237" s="667"/>
      <c r="B237" s="671"/>
      <c r="C237" s="663"/>
      <c r="D237" s="665"/>
      <c r="E237" s="674"/>
      <c r="F237" s="674"/>
      <c r="G237" s="665"/>
      <c r="H237" s="657"/>
    </row>
    <row r="238" spans="1:8">
      <c r="A238" s="667"/>
      <c r="B238" s="671"/>
      <c r="C238" s="670" t="s">
        <v>947</v>
      </c>
      <c r="D238" s="665"/>
      <c r="E238" s="676">
        <f>E224</f>
        <v>1700000</v>
      </c>
      <c r="F238" s="674"/>
      <c r="G238" s="665"/>
      <c r="H238" s="657"/>
    </row>
    <row r="239" spans="1:8">
      <c r="A239" s="667"/>
      <c r="B239" s="671"/>
      <c r="C239" s="670"/>
      <c r="D239" s="665"/>
      <c r="E239" s="676"/>
      <c r="F239" s="674"/>
      <c r="G239" s="665"/>
      <c r="H239" s="657"/>
    </row>
    <row r="240" spans="1:8">
      <c r="A240" s="667"/>
      <c r="B240" s="671"/>
      <c r="C240" s="670" t="s">
        <v>946</v>
      </c>
      <c r="D240" s="665"/>
      <c r="E240" s="668"/>
      <c r="F240" s="674"/>
      <c r="G240" s="665"/>
      <c r="H240" s="657"/>
    </row>
    <row r="241" spans="1:8">
      <c r="A241" s="667"/>
      <c r="B241" s="671"/>
      <c r="C241" s="674"/>
      <c r="D241" s="674"/>
      <c r="E241" s="674"/>
      <c r="F241" s="674"/>
      <c r="G241" s="665"/>
      <c r="H241" s="657"/>
    </row>
    <row r="242" spans="1:8">
      <c r="A242" s="667"/>
      <c r="B242" s="671"/>
      <c r="C242" s="670" t="s">
        <v>945</v>
      </c>
      <c r="D242" s="665"/>
      <c r="E242" s="676">
        <f>E238-E240</f>
        <v>1700000</v>
      </c>
      <c r="F242" s="674"/>
      <c r="G242" s="665"/>
      <c r="H242" s="657"/>
    </row>
    <row r="243" spans="1:8">
      <c r="A243" s="667"/>
      <c r="B243" s="671"/>
      <c r="C243" s="670"/>
      <c r="D243" s="665"/>
      <c r="E243" s="674"/>
      <c r="F243" s="674"/>
      <c r="G243" s="665"/>
      <c r="H243" s="657"/>
    </row>
    <row r="244" spans="1:8">
      <c r="A244" s="667"/>
      <c r="B244" s="671"/>
      <c r="C244" s="670"/>
      <c r="D244" s="665"/>
      <c r="E244" s="674"/>
      <c r="F244" s="674"/>
      <c r="G244" s="665"/>
      <c r="H244" s="657"/>
    </row>
    <row r="245" spans="1:8">
      <c r="A245" s="667"/>
      <c r="B245" s="671"/>
      <c r="C245" s="670" t="s">
        <v>944</v>
      </c>
      <c r="D245" s="657"/>
      <c r="E245" s="668"/>
      <c r="F245" s="677"/>
      <c r="G245" s="665"/>
      <c r="H245" s="657"/>
    </row>
    <row r="246" spans="1:8">
      <c r="A246" s="667"/>
      <c r="B246" s="671"/>
      <c r="C246" s="670"/>
      <c r="D246" s="665"/>
      <c r="E246" s="674"/>
      <c r="F246" s="674"/>
      <c r="G246" s="665"/>
      <c r="H246" s="657"/>
    </row>
    <row r="247" spans="1:8">
      <c r="A247" s="667"/>
      <c r="B247" s="671"/>
      <c r="C247" s="670" t="s">
        <v>943</v>
      </c>
      <c r="D247" s="665"/>
      <c r="E247" s="668"/>
      <c r="F247" s="674"/>
      <c r="G247" s="665"/>
      <c r="H247" s="657"/>
    </row>
    <row r="248" spans="1:8">
      <c r="A248" s="667"/>
      <c r="B248" s="671"/>
      <c r="C248" s="670"/>
      <c r="D248" s="665"/>
      <c r="E248" s="674"/>
      <c r="F248" s="674"/>
      <c r="G248" s="665"/>
      <c r="H248" s="657"/>
    </row>
    <row r="249" spans="1:8">
      <c r="A249" s="667"/>
      <c r="B249" s="671"/>
      <c r="C249" s="670" t="s">
        <v>942</v>
      </c>
      <c r="D249" s="665"/>
      <c r="E249" s="676">
        <f>E245-E247</f>
        <v>0</v>
      </c>
      <c r="F249" s="674"/>
      <c r="G249" s="665"/>
      <c r="H249" s="657"/>
    </row>
    <row r="250" spans="1:8">
      <c r="A250" s="667"/>
      <c r="B250" s="671"/>
      <c r="C250" s="670" t="s">
        <v>941</v>
      </c>
      <c r="D250" s="665"/>
      <c r="E250" s="675" t="e">
        <f>E238/E247</f>
        <v>#DIV/0!</v>
      </c>
      <c r="F250" s="674"/>
      <c r="G250" s="665"/>
      <c r="H250" s="657"/>
    </row>
    <row r="251" spans="1:8">
      <c r="A251" s="667"/>
      <c r="B251" s="671"/>
      <c r="C251" s="663"/>
      <c r="D251" s="665"/>
      <c r="E251" s="674"/>
      <c r="F251" s="674"/>
      <c r="G251" s="665"/>
      <c r="H251" s="657"/>
    </row>
    <row r="252" spans="1:8">
      <c r="A252" s="672" t="s">
        <v>345</v>
      </c>
      <c r="B252" s="673" t="s">
        <v>27</v>
      </c>
      <c r="C252" s="663" t="s">
        <v>940</v>
      </c>
      <c r="D252" s="665"/>
      <c r="E252" s="665"/>
      <c r="F252" s="665"/>
      <c r="G252" s="665"/>
      <c r="H252" s="665"/>
    </row>
    <row r="253" spans="1:8">
      <c r="A253" s="672"/>
      <c r="B253" s="671"/>
      <c r="C253" s="670"/>
      <c r="D253" s="665"/>
      <c r="E253" s="665"/>
      <c r="F253" s="665"/>
      <c r="G253" s="665"/>
      <c r="H253" s="657"/>
    </row>
    <row r="254" spans="1:8">
      <c r="A254" s="667"/>
      <c r="B254" s="671"/>
      <c r="C254" s="221" t="s">
        <v>399</v>
      </c>
      <c r="D254" s="149"/>
      <c r="E254" s="149"/>
      <c r="F254" s="149"/>
      <c r="G254" s="148"/>
      <c r="H254" s="657"/>
    </row>
    <row r="255" spans="1:8">
      <c r="A255" s="667"/>
      <c r="B255" s="671"/>
      <c r="C255" s="5"/>
      <c r="D255" s="2"/>
      <c r="E255" s="2"/>
      <c r="F255" s="149"/>
      <c r="G255" s="2"/>
      <c r="H255" s="657"/>
    </row>
    <row r="256" spans="1:8">
      <c r="A256" s="667"/>
      <c r="B256" s="671"/>
      <c r="C256" s="670" t="s">
        <v>939</v>
      </c>
      <c r="D256" s="665"/>
      <c r="E256" s="665"/>
      <c r="F256" s="668"/>
      <c r="G256" s="665"/>
      <c r="H256" s="657"/>
    </row>
    <row r="257" spans="1:8">
      <c r="A257" s="667"/>
      <c r="B257" s="671"/>
      <c r="C257" s="663"/>
      <c r="D257" s="665"/>
      <c r="E257" s="665"/>
      <c r="F257" s="665"/>
      <c r="G257" s="665"/>
      <c r="H257" s="657"/>
    </row>
    <row r="258" spans="1:8">
      <c r="A258" s="667"/>
      <c r="B258" s="671"/>
      <c r="C258" s="670" t="s">
        <v>938</v>
      </c>
      <c r="D258" s="665"/>
      <c r="E258" s="665"/>
      <c r="F258" s="668"/>
      <c r="G258" s="665"/>
      <c r="H258" s="657"/>
    </row>
    <row r="259" spans="1:8">
      <c r="A259" s="667"/>
      <c r="B259" s="671"/>
      <c r="C259" s="665"/>
      <c r="D259" s="665"/>
      <c r="E259" s="665"/>
      <c r="F259" s="665"/>
      <c r="G259" s="665"/>
      <c r="H259" s="657"/>
    </row>
    <row r="260" spans="1:8">
      <c r="A260" s="667"/>
      <c r="B260" s="671"/>
      <c r="C260" s="670" t="s">
        <v>937</v>
      </c>
      <c r="D260" s="669"/>
      <c r="E260" s="657"/>
      <c r="F260" s="668"/>
      <c r="G260" s="665"/>
      <c r="H260" s="657"/>
    </row>
    <row r="261" spans="1:8">
      <c r="A261" s="667"/>
      <c r="B261" s="665"/>
      <c r="C261" s="665"/>
      <c r="D261" s="665"/>
      <c r="E261" s="665"/>
      <c r="F261" s="665"/>
      <c r="G261" s="665"/>
      <c r="H261" s="657"/>
    </row>
    <row r="262" spans="1:8">
      <c r="A262" s="667"/>
      <c r="B262" s="665"/>
      <c r="C262" s="665"/>
      <c r="D262" s="665"/>
      <c r="E262" s="665"/>
      <c r="F262" s="665"/>
      <c r="G262" s="665"/>
      <c r="H262" s="657"/>
    </row>
    <row r="263" spans="1:8">
      <c r="A263" s="667"/>
      <c r="B263" s="665"/>
      <c r="C263" s="665"/>
      <c r="D263" s="665"/>
      <c r="E263" s="665"/>
      <c r="F263" s="665"/>
      <c r="G263" s="665"/>
      <c r="H263" s="657"/>
    </row>
    <row r="264" spans="1:8">
      <c r="A264" s="666"/>
      <c r="B264" s="665"/>
      <c r="C264" s="665"/>
      <c r="D264" s="665"/>
      <c r="E264" s="665"/>
      <c r="F264" s="665"/>
      <c r="G264" s="665"/>
      <c r="H264" s="657"/>
    </row>
    <row r="265" spans="1:8">
      <c r="A265" s="666"/>
      <c r="B265" s="665"/>
      <c r="C265" s="665"/>
      <c r="D265" s="665"/>
      <c r="E265" s="665"/>
      <c r="F265" s="665"/>
      <c r="G265" s="665"/>
      <c r="H265" s="657"/>
    </row>
    <row r="266" spans="1:8">
      <c r="A266" s="666"/>
      <c r="B266" s="665"/>
      <c r="C266" s="664"/>
      <c r="D266" s="663"/>
      <c r="E266" s="658"/>
      <c r="F266" s="662"/>
      <c r="G266" s="658"/>
      <c r="H266" s="657"/>
    </row>
    <row r="267" spans="1:8">
      <c r="A267" s="661"/>
      <c r="B267" s="660"/>
      <c r="C267" s="658"/>
      <c r="D267" s="659"/>
      <c r="E267" s="658"/>
      <c r="F267" s="658"/>
      <c r="G267" s="658"/>
      <c r="H267" s="657"/>
    </row>
  </sheetData>
  <mergeCells count="33">
    <mergeCell ref="C35:D35"/>
    <mergeCell ref="C36:D38"/>
    <mergeCell ref="C39:D39"/>
    <mergeCell ref="C4:G4"/>
    <mergeCell ref="E9:G9"/>
    <mergeCell ref="E19:G19"/>
    <mergeCell ref="C21:G21"/>
    <mergeCell ref="C32:D34"/>
    <mergeCell ref="C64:D64"/>
    <mergeCell ref="E64:F64"/>
    <mergeCell ref="E39:F40"/>
    <mergeCell ref="C41:D41"/>
    <mergeCell ref="E41:F41"/>
    <mergeCell ref="C48:D48"/>
    <mergeCell ref="C53:D53"/>
    <mergeCell ref="E53:F53"/>
    <mergeCell ref="C42:D42"/>
    <mergeCell ref="E42:F42"/>
    <mergeCell ref="C57:D57"/>
    <mergeCell ref="C60:D60"/>
    <mergeCell ref="E60:F60"/>
    <mergeCell ref="C61:D61"/>
    <mergeCell ref="E61:F61"/>
    <mergeCell ref="C65:D65"/>
    <mergeCell ref="E65:F65"/>
    <mergeCell ref="E229:F229"/>
    <mergeCell ref="E230:F230"/>
    <mergeCell ref="C66:D66"/>
    <mergeCell ref="E66:F66"/>
    <mergeCell ref="C67:D67"/>
    <mergeCell ref="E67:F67"/>
    <mergeCell ref="B95:C95"/>
    <mergeCell ref="C214:G21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42FC-9FB2-41CA-876A-7E509B30F413}">
  <dimension ref="A1:XFD275"/>
  <sheetViews>
    <sheetView topLeftCell="C1" zoomScale="70" zoomScaleNormal="70" workbookViewId="0">
      <selection activeCell="O14" sqref="O14"/>
    </sheetView>
  </sheetViews>
  <sheetFormatPr defaultColWidth="8.88671875" defaultRowHeight="15.6"/>
  <cols>
    <col min="1" max="1" width="4.109375" style="3" customWidth="1"/>
    <col min="2" max="2" width="13.5546875" style="3" customWidth="1"/>
    <col min="3" max="3" width="28.5546875" style="3" customWidth="1"/>
    <col min="4" max="4" width="28.88671875" style="3" customWidth="1"/>
    <col min="5" max="7" width="32.88671875" style="3" customWidth="1"/>
    <col min="8" max="8" width="15.88671875" style="3" bestFit="1" customWidth="1"/>
    <col min="9" max="9" width="6.109375" style="3" customWidth="1"/>
    <col min="10" max="10" width="21.33203125" style="3" customWidth="1"/>
    <col min="11" max="11" width="16.5546875" style="3" customWidth="1"/>
    <col min="12" max="12" width="15.6640625" style="3" customWidth="1"/>
    <col min="13" max="13" width="21.33203125" style="3" customWidth="1"/>
    <col min="14" max="14" width="19" style="3" customWidth="1"/>
    <col min="15" max="15" width="17.109375" style="3" customWidth="1"/>
    <col min="16" max="16" width="14" style="3" customWidth="1"/>
    <col min="17" max="17" width="13.6640625" style="3" customWidth="1"/>
    <col min="18" max="18" width="10" style="3" bestFit="1" customWidth="1"/>
    <col min="19" max="20" width="13" style="3" bestFit="1" customWidth="1"/>
    <col min="21" max="21" width="11.44140625" style="3" bestFit="1" customWidth="1"/>
    <col min="22" max="22" width="13.109375" style="3" bestFit="1" customWidth="1"/>
    <col min="23" max="23" width="8.88671875" style="3"/>
    <col min="24" max="24" width="14.109375" style="3" customWidth="1"/>
    <col min="25" max="25" width="14.6640625" style="3" customWidth="1"/>
    <col min="26" max="27" width="8.88671875" style="3"/>
    <col min="28" max="28" width="26.109375" style="3" bestFit="1" customWidth="1"/>
    <col min="29" max="29" width="12" style="3" bestFit="1" customWidth="1"/>
    <col min="30" max="16384" width="8.88671875" style="3"/>
  </cols>
  <sheetData>
    <row r="1" spans="1:29">
      <c r="A1" s="1" t="s">
        <v>1066</v>
      </c>
      <c r="B1" s="723"/>
      <c r="C1" s="687"/>
      <c r="D1" s="687"/>
      <c r="E1" s="687"/>
      <c r="F1" s="687"/>
      <c r="G1" s="687"/>
      <c r="H1" s="687"/>
      <c r="J1" s="3" t="str">
        <f>A1</f>
        <v>RETFRC Fall 2024</v>
      </c>
    </row>
    <row r="2" spans="1:29">
      <c r="A2" s="1" t="s">
        <v>1</v>
      </c>
      <c r="B2" s="723"/>
      <c r="C2" s="687"/>
      <c r="D2" s="687"/>
      <c r="E2" s="687"/>
      <c r="F2" s="687"/>
      <c r="G2" s="687"/>
      <c r="H2" s="687"/>
      <c r="J2" s="3" t="str">
        <f>A2</f>
        <v>Question 3</v>
      </c>
    </row>
    <row r="3" spans="1:29">
      <c r="A3" s="1"/>
      <c r="B3" s="723"/>
      <c r="C3" s="687"/>
      <c r="D3" s="687"/>
      <c r="E3" s="687"/>
      <c r="F3" s="687"/>
      <c r="G3" s="687"/>
      <c r="H3" s="687"/>
    </row>
    <row r="4" spans="1:29">
      <c r="A4" s="815" t="s">
        <v>1065</v>
      </c>
      <c r="B4" s="172"/>
      <c r="C4" s="1877" t="s">
        <v>1064</v>
      </c>
      <c r="D4" s="1877"/>
      <c r="E4" s="1877"/>
      <c r="F4" s="1877"/>
      <c r="G4" s="1877"/>
      <c r="H4" s="791"/>
      <c r="J4" s="3" t="s">
        <v>2</v>
      </c>
    </row>
    <row r="5" spans="1:29">
      <c r="A5" s="687"/>
      <c r="B5" s="687"/>
      <c r="C5" s="687"/>
      <c r="D5" s="687"/>
      <c r="E5" s="687"/>
      <c r="F5" s="687"/>
      <c r="G5" s="687"/>
      <c r="H5" s="687"/>
    </row>
    <row r="6" spans="1:29">
      <c r="A6" s="687"/>
      <c r="B6" s="687"/>
      <c r="C6" s="723" t="s">
        <v>872</v>
      </c>
      <c r="D6" s="717"/>
      <c r="E6" s="717"/>
      <c r="F6" s="717"/>
      <c r="G6" s="717"/>
      <c r="H6" s="687"/>
      <c r="J6" s="3" t="s">
        <v>1155</v>
      </c>
    </row>
    <row r="7" spans="1:29">
      <c r="A7" s="687"/>
      <c r="B7" s="687"/>
      <c r="C7" s="762"/>
      <c r="D7" s="717"/>
      <c r="E7" s="717"/>
      <c r="F7" s="717"/>
      <c r="G7" s="717"/>
      <c r="H7" s="687"/>
      <c r="J7"/>
      <c r="K7" s="1886" t="s">
        <v>1075</v>
      </c>
      <c r="L7" s="1886"/>
      <c r="M7" s="1886" t="s">
        <v>754</v>
      </c>
      <c r="N7" s="1886"/>
      <c r="O7" s="1886" t="s">
        <v>1074</v>
      </c>
      <c r="P7" s="1886"/>
      <c r="Q7"/>
      <c r="R7" s="606"/>
    </row>
    <row r="8" spans="1:29">
      <c r="A8" s="687"/>
      <c r="B8" s="687"/>
      <c r="C8" s="741" t="s">
        <v>1063</v>
      </c>
      <c r="D8" s="772"/>
      <c r="E8" s="211" t="s">
        <v>1062</v>
      </c>
      <c r="F8" s="719"/>
      <c r="G8" s="772"/>
      <c r="H8" s="687"/>
      <c r="J8" s="601" t="s">
        <v>1154</v>
      </c>
      <c r="K8" s="819" t="s">
        <v>1073</v>
      </c>
      <c r="L8" s="819" t="s">
        <v>1072</v>
      </c>
      <c r="M8" s="819" t="s">
        <v>1073</v>
      </c>
      <c r="N8" s="819" t="s">
        <v>1072</v>
      </c>
      <c r="O8" s="819" t="s">
        <v>1071</v>
      </c>
      <c r="P8" s="819" t="s">
        <v>1070</v>
      </c>
      <c r="Q8" s="819" t="s">
        <v>1153</v>
      </c>
      <c r="R8" s="819" t="s">
        <v>1152</v>
      </c>
    </row>
    <row r="9" spans="1:29">
      <c r="A9" s="687"/>
      <c r="B9" s="687"/>
      <c r="C9" s="814" t="s">
        <v>1061</v>
      </c>
      <c r="D9" s="813"/>
      <c r="E9" s="1875" t="s">
        <v>1060</v>
      </c>
      <c r="F9" s="1878"/>
      <c r="G9" s="1876"/>
      <c r="H9" s="687"/>
      <c r="J9" s="601">
        <v>1</v>
      </c>
      <c r="K9" s="870">
        <f>X45</f>
        <v>194681.01797467651</v>
      </c>
      <c r="L9" s="870">
        <f>Y45</f>
        <v>157754.01232196356</v>
      </c>
      <c r="M9" s="870">
        <f>X46</f>
        <v>16223.418164556375</v>
      </c>
      <c r="N9" s="870">
        <f>Y46</f>
        <v>13146.167693496964</v>
      </c>
      <c r="O9" s="867">
        <f>P75</f>
        <v>208376</v>
      </c>
      <c r="P9" s="867">
        <f>Q75</f>
        <v>127801.1</v>
      </c>
      <c r="Q9" s="868">
        <f>M21</f>
        <v>85000</v>
      </c>
      <c r="R9" s="868">
        <f>M22</f>
        <v>87975</v>
      </c>
    </row>
    <row r="10" spans="1:29">
      <c r="A10" s="687"/>
      <c r="B10" s="687"/>
      <c r="C10" s="812" t="s">
        <v>1059</v>
      </c>
      <c r="D10" s="811"/>
      <c r="E10" s="741" t="s">
        <v>127</v>
      </c>
      <c r="F10" s="719"/>
      <c r="G10" s="772"/>
      <c r="H10" s="687"/>
      <c r="J10" s="601">
        <v>2</v>
      </c>
      <c r="K10" s="870">
        <f>X60</f>
        <v>153670.21941404307</v>
      </c>
      <c r="L10" s="870">
        <f>Y60</f>
        <v>126373.53570233806</v>
      </c>
      <c r="M10" s="870">
        <f>X61</f>
        <v>21952.888487720436</v>
      </c>
      <c r="N10" s="870">
        <f>Y61</f>
        <v>18053.362243191154</v>
      </c>
      <c r="O10" s="867">
        <f>O102</f>
        <v>170422.00000000003</v>
      </c>
      <c r="P10" s="867">
        <f>P102</f>
        <v>130119.50000000003</v>
      </c>
      <c r="Q10" s="868">
        <f>M53</f>
        <v>98000</v>
      </c>
      <c r="R10" s="868">
        <f>M54</f>
        <v>101429.99999999999</v>
      </c>
    </row>
    <row r="11" spans="1:29" ht="33" customHeight="1">
      <c r="A11" s="687"/>
      <c r="B11" s="687"/>
      <c r="C11" s="741" t="s">
        <v>554</v>
      </c>
      <c r="D11" s="772"/>
      <c r="E11" s="759" t="s">
        <v>135</v>
      </c>
      <c r="F11" s="719"/>
      <c r="G11" s="772"/>
      <c r="H11" s="687"/>
      <c r="J11" s="601">
        <v>3</v>
      </c>
      <c r="K11" s="869">
        <f>O64</f>
        <v>262606.62995356868</v>
      </c>
      <c r="L11" s="869">
        <f>P64</f>
        <v>215959.399632869</v>
      </c>
      <c r="M11" s="868"/>
      <c r="N11" s="868"/>
      <c r="O11" s="867">
        <f>S64</f>
        <v>323400</v>
      </c>
      <c r="P11" s="867">
        <f>T64</f>
        <v>249900</v>
      </c>
      <c r="Q11" s="862"/>
      <c r="R11" s="862"/>
    </row>
    <row r="12" spans="1:29" ht="17.399999999999999">
      <c r="A12" s="687"/>
      <c r="B12" s="687"/>
      <c r="C12" s="810" t="s">
        <v>1058</v>
      </c>
      <c r="D12" s="809"/>
      <c r="E12" s="808" t="s">
        <v>1057</v>
      </c>
      <c r="F12" s="719"/>
      <c r="G12" s="772"/>
      <c r="H12" s="687"/>
      <c r="J12" s="601">
        <v>4</v>
      </c>
      <c r="K12" s="866">
        <f>N68</f>
        <v>673100</v>
      </c>
      <c r="L12" s="866">
        <f>O68</f>
        <v>572400</v>
      </c>
      <c r="M12" s="865"/>
      <c r="N12" s="865"/>
      <c r="O12" s="864">
        <f>S68</f>
        <v>826800</v>
      </c>
      <c r="P12" s="864">
        <f>T68</f>
        <v>625400</v>
      </c>
      <c r="Q12" s="862"/>
      <c r="R12" s="862"/>
    </row>
    <row r="13" spans="1:29">
      <c r="A13" s="687"/>
      <c r="B13" s="687"/>
      <c r="C13" s="760" t="s">
        <v>553</v>
      </c>
      <c r="D13" s="799"/>
      <c r="E13" s="807" t="s">
        <v>1056</v>
      </c>
      <c r="F13" s="806"/>
      <c r="G13" s="805"/>
      <c r="H13" s="738"/>
      <c r="J13"/>
      <c r="K13" s="863">
        <f t="shared" ref="K13:P13" si="0">SUM(K9:K12)</f>
        <v>1284057.8673422881</v>
      </c>
      <c r="L13" s="863">
        <f t="shared" si="0"/>
        <v>1072486.9476571707</v>
      </c>
      <c r="M13" s="863">
        <f t="shared" si="0"/>
        <v>38176.306652276813</v>
      </c>
      <c r="N13" s="863">
        <f t="shared" si="0"/>
        <v>31199.529936688115</v>
      </c>
      <c r="O13" s="863">
        <f t="shared" si="0"/>
        <v>1528998</v>
      </c>
      <c r="P13" s="863">
        <f t="shared" si="0"/>
        <v>1133220.6000000001</v>
      </c>
      <c r="Q13" s="862"/>
      <c r="R13" s="862"/>
    </row>
    <row r="14" spans="1:29">
      <c r="A14" s="687"/>
      <c r="B14" s="687"/>
      <c r="C14" s="803"/>
      <c r="D14" s="717"/>
      <c r="E14" s="802" t="s">
        <v>1055</v>
      </c>
      <c r="F14" s="717"/>
      <c r="G14" s="801"/>
      <c r="H14" s="687"/>
      <c r="M14" s="837"/>
      <c r="N14" s="694"/>
      <c r="O14" s="837"/>
      <c r="P14" s="837"/>
      <c r="S14" s="724"/>
      <c r="T14" s="848"/>
      <c r="X14" s="837"/>
      <c r="Y14" s="837"/>
      <c r="AA14" s="861"/>
      <c r="AB14" s="861"/>
      <c r="AC14" s="861"/>
    </row>
    <row r="15" spans="1:29">
      <c r="A15" s="687"/>
      <c r="B15" s="687"/>
      <c r="C15" s="760" t="s">
        <v>1054</v>
      </c>
      <c r="D15" s="785"/>
      <c r="E15" s="800" t="s">
        <v>1053</v>
      </c>
      <c r="F15" s="799"/>
      <c r="G15" s="785"/>
      <c r="H15" s="687"/>
      <c r="J15" s="698" t="s">
        <v>1151</v>
      </c>
      <c r="M15" s="837"/>
      <c r="N15" s="694"/>
      <c r="O15" s="837"/>
      <c r="P15" s="837"/>
      <c r="T15" s="848"/>
      <c r="X15" s="837"/>
      <c r="Y15" s="837"/>
    </row>
    <row r="16" spans="1:29" ht="16.2" thickBot="1">
      <c r="A16" s="687"/>
      <c r="B16" s="687"/>
      <c r="C16" s="744"/>
      <c r="D16" s="796"/>
      <c r="E16" s="798" t="s">
        <v>1052</v>
      </c>
      <c r="F16" s="797"/>
      <c r="G16" s="796"/>
      <c r="H16" s="687"/>
      <c r="K16" s="164"/>
      <c r="L16" s="698" t="s">
        <v>729</v>
      </c>
      <c r="M16" s="721">
        <v>0.05</v>
      </c>
      <c r="N16" s="698" t="s">
        <v>1150</v>
      </c>
      <c r="O16" s="698">
        <f>1/(1+M16)</f>
        <v>0.95238095238095233</v>
      </c>
    </row>
    <row r="17" spans="1:25" ht="16.2" thickBot="1">
      <c r="A17" s="687"/>
      <c r="B17" s="687"/>
      <c r="C17" s="744" t="s">
        <v>1051</v>
      </c>
      <c r="D17" s="796"/>
      <c r="E17" s="685" t="s">
        <v>1050</v>
      </c>
      <c r="F17" s="797"/>
      <c r="G17" s="796"/>
      <c r="H17" s="687"/>
      <c r="J17" s="860" t="s">
        <v>1149</v>
      </c>
      <c r="K17" s="804"/>
      <c r="L17" s="698" t="s">
        <v>1148</v>
      </c>
      <c r="M17" s="859">
        <v>3.5000000000000003E-2</v>
      </c>
      <c r="N17" s="698"/>
      <c r="O17" s="698"/>
      <c r="X17" s="1884" t="s">
        <v>1146</v>
      </c>
      <c r="Y17" s="1885"/>
    </row>
    <row r="18" spans="1:25" ht="31.2">
      <c r="A18" s="687"/>
      <c r="B18" s="687"/>
      <c r="C18" s="795" t="s">
        <v>1049</v>
      </c>
      <c r="D18" s="794"/>
      <c r="E18" s="754" t="s">
        <v>498</v>
      </c>
      <c r="F18" s="719"/>
      <c r="G18" s="772"/>
      <c r="H18" s="687"/>
      <c r="J18" s="857" t="s">
        <v>1145</v>
      </c>
      <c r="K18" s="858" t="s">
        <v>252</v>
      </c>
      <c r="L18" s="857" t="s">
        <v>320</v>
      </c>
      <c r="M18" s="857" t="s">
        <v>319</v>
      </c>
      <c r="N18" s="857" t="s">
        <v>1144</v>
      </c>
      <c r="O18" s="857" t="s">
        <v>1143</v>
      </c>
      <c r="P18" s="857" t="s">
        <v>192</v>
      </c>
      <c r="Q18" s="857" t="s">
        <v>1142</v>
      </c>
      <c r="R18" s="857" t="s">
        <v>1141</v>
      </c>
      <c r="S18" s="857" t="s">
        <v>1140</v>
      </c>
      <c r="T18" s="857" t="s">
        <v>1139</v>
      </c>
      <c r="U18" s="857" t="s">
        <v>1138</v>
      </c>
      <c r="V18" s="857" t="s">
        <v>1137</v>
      </c>
      <c r="W18" s="857" t="s">
        <v>1136</v>
      </c>
      <c r="X18" s="857" t="s">
        <v>1126</v>
      </c>
      <c r="Y18" s="857" t="s">
        <v>1135</v>
      </c>
    </row>
    <row r="19" spans="1:25">
      <c r="A19" s="687"/>
      <c r="B19" s="687"/>
      <c r="C19" s="793" t="s">
        <v>1048</v>
      </c>
      <c r="D19" s="792"/>
      <c r="E19" s="1875" t="s">
        <v>1047</v>
      </c>
      <c r="F19" s="1878"/>
      <c r="G19" s="1876"/>
      <c r="H19" s="687"/>
      <c r="M19" s="728">
        <v>79000</v>
      </c>
    </row>
    <row r="20" spans="1:25">
      <c r="A20" s="687"/>
      <c r="B20" s="687"/>
      <c r="C20" s="717"/>
      <c r="D20" s="717"/>
      <c r="E20" s="717"/>
      <c r="F20" s="717"/>
      <c r="G20" s="717"/>
      <c r="H20" s="687"/>
      <c r="M20" s="728">
        <v>80000</v>
      </c>
    </row>
    <row r="21" spans="1:25">
      <c r="A21" s="687"/>
      <c r="B21" s="687"/>
      <c r="C21" s="1877" t="s">
        <v>1046</v>
      </c>
      <c r="D21" s="1877"/>
      <c r="E21" s="1877"/>
      <c r="F21" s="1877"/>
      <c r="G21" s="1877"/>
      <c r="H21" s="687"/>
      <c r="M21" s="728">
        <v>85000</v>
      </c>
    </row>
    <row r="22" spans="1:25">
      <c r="A22" s="687"/>
      <c r="B22" s="687"/>
      <c r="C22" s="723"/>
      <c r="D22" s="717"/>
      <c r="E22" s="717"/>
      <c r="F22" s="717"/>
      <c r="G22" s="687"/>
      <c r="H22" s="687"/>
      <c r="J22" s="3">
        <v>0</v>
      </c>
      <c r="K22" s="3">
        <v>43</v>
      </c>
      <c r="L22" s="3">
        <v>12</v>
      </c>
      <c r="M22" s="837">
        <f t="shared" ref="M22:M44" si="1">M21*(1+$M$49)</f>
        <v>87975</v>
      </c>
      <c r="N22" s="694">
        <f t="shared" ref="N22:N44" si="2">AVERAGE(M19:M21)</f>
        <v>81333.333333333328</v>
      </c>
      <c r="O22" s="837">
        <f t="shared" ref="O22:O44" si="3">1.75%*N22*L22</f>
        <v>17080</v>
      </c>
      <c r="P22" s="837">
        <f t="shared" ref="P22:P44" si="4">O22*(12/L22)</f>
        <v>17080</v>
      </c>
      <c r="R22" s="724">
        <v>0.05</v>
      </c>
      <c r="T22" s="724">
        <v>1</v>
      </c>
      <c r="W22" s="3">
        <f t="shared" ref="W22:W44" si="5">$O$16^J22</f>
        <v>1</v>
      </c>
      <c r="X22" s="837">
        <f>R22*T22*P22*U44*W44</f>
        <v>4437.4848066012182</v>
      </c>
      <c r="Y22" s="837">
        <f>R22*T22*P22*V44*W44</f>
        <v>3649.2473738496865</v>
      </c>
    </row>
    <row r="23" spans="1:25">
      <c r="A23" s="687"/>
      <c r="B23" s="687"/>
      <c r="C23" s="723" t="s">
        <v>1045</v>
      </c>
      <c r="D23" s="723"/>
      <c r="E23" s="717"/>
      <c r="F23" s="717"/>
      <c r="G23" s="687"/>
      <c r="H23" s="687"/>
      <c r="J23" s="3">
        <f t="shared" ref="J23:J44" si="6">J22+1</f>
        <v>1</v>
      </c>
      <c r="K23" s="3">
        <f t="shared" ref="K23:K44" si="7">K22+1</f>
        <v>44</v>
      </c>
      <c r="L23" s="3">
        <f t="shared" ref="L23:L44" si="8">L22+1</f>
        <v>13</v>
      </c>
      <c r="M23" s="837">
        <f t="shared" si="1"/>
        <v>91054.125</v>
      </c>
      <c r="N23" s="694">
        <f t="shared" si="2"/>
        <v>84325</v>
      </c>
      <c r="O23" s="837">
        <f t="shared" si="3"/>
        <v>19183.937500000004</v>
      </c>
      <c r="P23" s="837">
        <f t="shared" si="4"/>
        <v>17708.250000000004</v>
      </c>
      <c r="R23" s="724">
        <v>0.05</v>
      </c>
      <c r="T23" s="848">
        <f t="shared" ref="T23:T44" si="9">T22*(1-S22)*(1-R22)</f>
        <v>0.95</v>
      </c>
      <c r="W23" s="3">
        <f t="shared" si="5"/>
        <v>0.95238095238095233</v>
      </c>
      <c r="X23" s="837">
        <f>R23*T23*P23*U44*W44</f>
        <v>4370.6724713215008</v>
      </c>
      <c r="Y23" s="837">
        <f>R23*T23*P23*V44*W44</f>
        <v>3594.3030191788662</v>
      </c>
    </row>
    <row r="24" spans="1:25">
      <c r="A24" s="687"/>
      <c r="B24" s="687"/>
      <c r="C24" s="723"/>
      <c r="D24" s="723"/>
      <c r="E24" s="717"/>
      <c r="F24" s="717"/>
      <c r="G24" s="687"/>
      <c r="H24" s="687"/>
      <c r="J24" s="3">
        <f t="shared" si="6"/>
        <v>2</v>
      </c>
      <c r="K24" s="3">
        <f t="shared" si="7"/>
        <v>45</v>
      </c>
      <c r="L24" s="3">
        <f t="shared" si="8"/>
        <v>14</v>
      </c>
      <c r="M24" s="837">
        <f t="shared" si="1"/>
        <v>94241.019374999989</v>
      </c>
      <c r="N24" s="694">
        <f t="shared" si="2"/>
        <v>88009.708333333328</v>
      </c>
      <c r="O24" s="837">
        <f t="shared" si="3"/>
        <v>21562.378541666669</v>
      </c>
      <c r="P24" s="837">
        <f t="shared" si="4"/>
        <v>18482.03875</v>
      </c>
      <c r="S24" s="724"/>
      <c r="T24" s="848">
        <f t="shared" si="9"/>
        <v>0.90249999999999997</v>
      </c>
      <c r="W24" s="3">
        <f t="shared" si="5"/>
        <v>0.90702947845804982</v>
      </c>
      <c r="X24" s="837"/>
      <c r="Y24" s="837"/>
    </row>
    <row r="25" spans="1:25">
      <c r="A25" s="687"/>
      <c r="B25" s="687"/>
      <c r="C25" s="790" t="s">
        <v>1044</v>
      </c>
      <c r="D25" s="719"/>
      <c r="E25" s="719"/>
      <c r="F25" s="772"/>
      <c r="G25" s="687"/>
      <c r="H25" s="687"/>
      <c r="J25" s="3">
        <f t="shared" si="6"/>
        <v>3</v>
      </c>
      <c r="K25" s="3">
        <f t="shared" si="7"/>
        <v>46</v>
      </c>
      <c r="L25" s="3">
        <f t="shared" si="8"/>
        <v>15</v>
      </c>
      <c r="M25" s="837">
        <f t="shared" si="1"/>
        <v>97539.455053124984</v>
      </c>
      <c r="N25" s="694">
        <f t="shared" si="2"/>
        <v>91090.048124999987</v>
      </c>
      <c r="O25" s="837">
        <f t="shared" si="3"/>
        <v>23911.137632812501</v>
      </c>
      <c r="P25" s="837">
        <f t="shared" si="4"/>
        <v>19128.910106250001</v>
      </c>
      <c r="T25" s="848">
        <f t="shared" si="9"/>
        <v>0.90249999999999997</v>
      </c>
      <c r="W25" s="3">
        <f t="shared" si="5"/>
        <v>0.86383759853147601</v>
      </c>
      <c r="X25" s="837"/>
      <c r="Y25" s="837"/>
    </row>
    <row r="26" spans="1:25">
      <c r="A26" s="687"/>
      <c r="B26" s="687"/>
      <c r="C26" s="720" t="s">
        <v>541</v>
      </c>
      <c r="D26" s="772"/>
      <c r="E26" s="789">
        <v>0.05</v>
      </c>
      <c r="F26" s="772" t="s">
        <v>370</v>
      </c>
      <c r="G26" s="687"/>
      <c r="H26" s="687"/>
      <c r="J26" s="3">
        <f t="shared" si="6"/>
        <v>4</v>
      </c>
      <c r="K26" s="3">
        <f t="shared" si="7"/>
        <v>47</v>
      </c>
      <c r="L26" s="3">
        <f t="shared" si="8"/>
        <v>16</v>
      </c>
      <c r="M26" s="837">
        <f t="shared" si="1"/>
        <v>100953.33597998435</v>
      </c>
      <c r="N26" s="694">
        <f t="shared" si="2"/>
        <v>94278.199809374986</v>
      </c>
      <c r="O26" s="837">
        <f t="shared" si="3"/>
        <v>26397.895946624998</v>
      </c>
      <c r="P26" s="837">
        <f t="shared" si="4"/>
        <v>19798.421959968749</v>
      </c>
      <c r="T26" s="848">
        <f t="shared" si="9"/>
        <v>0.90249999999999997</v>
      </c>
      <c r="W26" s="3">
        <f t="shared" si="5"/>
        <v>0.82270247479188185</v>
      </c>
      <c r="X26" s="837"/>
      <c r="Y26" s="837"/>
    </row>
    <row r="27" spans="1:25">
      <c r="A27" s="687"/>
      <c r="B27" s="687"/>
      <c r="C27" s="720" t="s">
        <v>796</v>
      </c>
      <c r="D27" s="772"/>
      <c r="E27" s="788">
        <v>0.02</v>
      </c>
      <c r="F27" s="772" t="s">
        <v>370</v>
      </c>
      <c r="G27" s="687"/>
      <c r="H27" s="687"/>
      <c r="J27" s="3">
        <f t="shared" si="6"/>
        <v>5</v>
      </c>
      <c r="K27" s="3">
        <f t="shared" si="7"/>
        <v>48</v>
      </c>
      <c r="L27" s="3">
        <f t="shared" si="8"/>
        <v>17</v>
      </c>
      <c r="M27" s="837">
        <f t="shared" si="1"/>
        <v>104486.70273928379</v>
      </c>
      <c r="N27" s="694">
        <f t="shared" si="2"/>
        <v>97577.936802703116</v>
      </c>
      <c r="O27" s="837">
        <f t="shared" si="3"/>
        <v>29029.436198804178</v>
      </c>
      <c r="P27" s="837">
        <f t="shared" si="4"/>
        <v>20491.366728567657</v>
      </c>
      <c r="S27" s="724"/>
      <c r="T27" s="848">
        <f t="shared" si="9"/>
        <v>0.90249999999999997</v>
      </c>
      <c r="W27" s="3">
        <f t="shared" si="5"/>
        <v>0.78352616646845885</v>
      </c>
      <c r="X27" s="837"/>
      <c r="Y27" s="837"/>
    </row>
    <row r="28" spans="1:25">
      <c r="A28" s="687"/>
      <c r="B28" s="687"/>
      <c r="C28" s="720" t="s">
        <v>539</v>
      </c>
      <c r="D28" s="772"/>
      <c r="E28" s="788">
        <v>3.5000000000000003E-2</v>
      </c>
      <c r="F28" s="772" t="s">
        <v>370</v>
      </c>
      <c r="G28" s="687"/>
      <c r="H28" s="687"/>
      <c r="J28" s="3">
        <f t="shared" si="6"/>
        <v>6</v>
      </c>
      <c r="K28" s="3">
        <f t="shared" si="7"/>
        <v>49</v>
      </c>
      <c r="L28" s="3">
        <f t="shared" si="8"/>
        <v>18</v>
      </c>
      <c r="M28" s="837">
        <f t="shared" si="1"/>
        <v>108143.73733515872</v>
      </c>
      <c r="N28" s="694">
        <f t="shared" si="2"/>
        <v>100993.16459079769</v>
      </c>
      <c r="O28" s="837">
        <f t="shared" si="3"/>
        <v>31812.846846101278</v>
      </c>
      <c r="P28" s="837">
        <f t="shared" si="4"/>
        <v>21208.564564067517</v>
      </c>
      <c r="T28" s="848">
        <f t="shared" si="9"/>
        <v>0.90249999999999997</v>
      </c>
      <c r="W28" s="3">
        <f t="shared" si="5"/>
        <v>0.7462153966366275</v>
      </c>
      <c r="X28" s="837"/>
      <c r="Y28" s="837"/>
    </row>
    <row r="29" spans="1:25">
      <c r="A29" s="687"/>
      <c r="B29" s="687"/>
      <c r="C29" s="720" t="s">
        <v>1043</v>
      </c>
      <c r="D29" s="772"/>
      <c r="E29" s="787">
        <v>50000</v>
      </c>
      <c r="F29" s="772"/>
      <c r="G29" s="687"/>
      <c r="H29" s="687"/>
      <c r="J29" s="3">
        <f t="shared" si="6"/>
        <v>7</v>
      </c>
      <c r="K29" s="3">
        <f t="shared" si="7"/>
        <v>50</v>
      </c>
      <c r="L29" s="3">
        <f t="shared" si="8"/>
        <v>19</v>
      </c>
      <c r="M29" s="837">
        <f t="shared" si="1"/>
        <v>111928.76814188926</v>
      </c>
      <c r="N29" s="694">
        <f t="shared" si="2"/>
        <v>104527.92535147561</v>
      </c>
      <c r="O29" s="837">
        <f t="shared" si="3"/>
        <v>34755.535179365645</v>
      </c>
      <c r="P29" s="837">
        <f t="shared" si="4"/>
        <v>21950.864323809881</v>
      </c>
      <c r="T29" s="848">
        <f t="shared" si="9"/>
        <v>0.90249999999999997</v>
      </c>
      <c r="W29" s="3">
        <f t="shared" si="5"/>
        <v>0.71068133013012136</v>
      </c>
      <c r="X29" s="837"/>
      <c r="Y29" s="837"/>
    </row>
    <row r="30" spans="1:25">
      <c r="A30" s="687"/>
      <c r="B30" s="687"/>
      <c r="C30" s="720" t="s">
        <v>1042</v>
      </c>
      <c r="D30" s="772"/>
      <c r="E30" s="786" t="s">
        <v>498</v>
      </c>
      <c r="F30" s="772"/>
      <c r="G30" s="687"/>
      <c r="H30" s="687"/>
      <c r="J30" s="3">
        <f t="shared" si="6"/>
        <v>8</v>
      </c>
      <c r="K30" s="3">
        <f t="shared" si="7"/>
        <v>51</v>
      </c>
      <c r="L30" s="3">
        <f t="shared" si="8"/>
        <v>20</v>
      </c>
      <c r="M30" s="837">
        <f t="shared" si="1"/>
        <v>115846.27502685538</v>
      </c>
      <c r="N30" s="694">
        <f t="shared" si="2"/>
        <v>108186.40273877727</v>
      </c>
      <c r="O30" s="837">
        <f t="shared" si="3"/>
        <v>37865.240958572045</v>
      </c>
      <c r="P30" s="837">
        <f t="shared" si="4"/>
        <v>22719.144575143226</v>
      </c>
      <c r="T30" s="848">
        <f t="shared" si="9"/>
        <v>0.90249999999999997</v>
      </c>
      <c r="W30" s="3">
        <f t="shared" si="5"/>
        <v>0.676839362028687</v>
      </c>
      <c r="X30" s="837"/>
      <c r="Y30" s="837"/>
    </row>
    <row r="31" spans="1:25">
      <c r="A31" s="687"/>
      <c r="B31" s="687"/>
      <c r="C31" s="720" t="s">
        <v>534</v>
      </c>
      <c r="D31" s="772"/>
      <c r="E31" s="782" t="s">
        <v>533</v>
      </c>
      <c r="F31" s="785"/>
      <c r="G31" s="687"/>
      <c r="H31" s="687"/>
      <c r="J31" s="3">
        <f t="shared" si="6"/>
        <v>9</v>
      </c>
      <c r="K31" s="3">
        <f t="shared" si="7"/>
        <v>52</v>
      </c>
      <c r="L31" s="3">
        <f t="shared" si="8"/>
        <v>21</v>
      </c>
      <c r="M31" s="837">
        <f t="shared" si="1"/>
        <v>119900.89465279531</v>
      </c>
      <c r="N31" s="694">
        <f t="shared" si="2"/>
        <v>111972.92683463446</v>
      </c>
      <c r="O31" s="837">
        <f t="shared" si="3"/>
        <v>41150.050611728169</v>
      </c>
      <c r="P31" s="837">
        <f t="shared" si="4"/>
        <v>23514.314635273236</v>
      </c>
      <c r="T31" s="848">
        <f t="shared" si="9"/>
        <v>0.90249999999999997</v>
      </c>
      <c r="W31" s="3">
        <f t="shared" si="5"/>
        <v>0.64460891621779715</v>
      </c>
      <c r="X31" s="837"/>
      <c r="Y31" s="837"/>
    </row>
    <row r="32" spans="1:25">
      <c r="A32" s="687"/>
      <c r="B32" s="687"/>
      <c r="C32" s="1854" t="s">
        <v>1041</v>
      </c>
      <c r="D32" s="1855"/>
      <c r="E32" s="782" t="s">
        <v>252</v>
      </c>
      <c r="F32" s="781" t="s">
        <v>491</v>
      </c>
      <c r="G32" s="687"/>
      <c r="H32" s="687"/>
      <c r="J32" s="3">
        <f t="shared" si="6"/>
        <v>10</v>
      </c>
      <c r="K32" s="3">
        <f t="shared" si="7"/>
        <v>53</v>
      </c>
      <c r="L32" s="3">
        <f t="shared" si="8"/>
        <v>22</v>
      </c>
      <c r="M32" s="837">
        <f t="shared" si="1"/>
        <v>124097.42596564314</v>
      </c>
      <c r="N32" s="694">
        <f t="shared" si="2"/>
        <v>115891.97927384665</v>
      </c>
      <c r="O32" s="837">
        <f t="shared" si="3"/>
        <v>44618.412020430966</v>
      </c>
      <c r="P32" s="837">
        <f t="shared" si="4"/>
        <v>24337.315647507799</v>
      </c>
      <c r="T32" s="848">
        <f t="shared" si="9"/>
        <v>0.90249999999999997</v>
      </c>
      <c r="W32" s="3">
        <f t="shared" si="5"/>
        <v>0.6139132535407591</v>
      </c>
      <c r="X32" s="837"/>
      <c r="Y32" s="837"/>
    </row>
    <row r="33" spans="1:25">
      <c r="A33" s="687"/>
      <c r="B33" s="687"/>
      <c r="C33" s="1879"/>
      <c r="D33" s="1880"/>
      <c r="E33" s="784">
        <v>62</v>
      </c>
      <c r="F33" s="779">
        <v>0.65</v>
      </c>
      <c r="G33" s="687"/>
      <c r="H33" s="687"/>
      <c r="J33" s="3">
        <f t="shared" si="6"/>
        <v>11</v>
      </c>
      <c r="K33" s="3">
        <f t="shared" si="7"/>
        <v>54</v>
      </c>
      <c r="L33" s="3">
        <f t="shared" si="8"/>
        <v>23</v>
      </c>
      <c r="M33" s="837">
        <f t="shared" si="1"/>
        <v>128440.83587444064</v>
      </c>
      <c r="N33" s="694">
        <f t="shared" si="2"/>
        <v>119948.19854843128</v>
      </c>
      <c r="O33" s="837">
        <f t="shared" si="3"/>
        <v>48279.14991574359</v>
      </c>
      <c r="P33" s="837">
        <f t="shared" si="4"/>
        <v>25189.121695170568</v>
      </c>
      <c r="T33" s="848">
        <f t="shared" si="9"/>
        <v>0.90249999999999997</v>
      </c>
      <c r="W33" s="3">
        <f t="shared" si="5"/>
        <v>0.58467928908643729</v>
      </c>
      <c r="X33" s="837"/>
      <c r="Y33" s="837"/>
    </row>
    <row r="34" spans="1:25">
      <c r="A34" s="687"/>
      <c r="B34" s="687"/>
      <c r="C34" s="1881"/>
      <c r="D34" s="1882"/>
      <c r="E34" s="778">
        <v>65</v>
      </c>
      <c r="F34" s="777">
        <v>1</v>
      </c>
      <c r="G34" s="687"/>
      <c r="H34" s="687"/>
      <c r="J34" s="3">
        <f t="shared" si="6"/>
        <v>12</v>
      </c>
      <c r="K34" s="3">
        <f t="shared" si="7"/>
        <v>55</v>
      </c>
      <c r="L34" s="3">
        <f t="shared" si="8"/>
        <v>24</v>
      </c>
      <c r="M34" s="837">
        <f t="shared" si="1"/>
        <v>132936.26513004606</v>
      </c>
      <c r="N34" s="694">
        <f t="shared" si="2"/>
        <v>124146.38549762637</v>
      </c>
      <c r="O34" s="837">
        <f t="shared" si="3"/>
        <v>52141.48190900308</v>
      </c>
      <c r="P34" s="837">
        <f t="shared" si="4"/>
        <v>26070.74095450154</v>
      </c>
      <c r="T34" s="848">
        <f t="shared" si="9"/>
        <v>0.90249999999999997</v>
      </c>
      <c r="W34" s="3">
        <f t="shared" si="5"/>
        <v>0.55683741817755927</v>
      </c>
      <c r="X34" s="837"/>
      <c r="Y34" s="837"/>
    </row>
    <row r="35" spans="1:25">
      <c r="A35" s="687"/>
      <c r="B35" s="687"/>
      <c r="C35" s="1845" t="s">
        <v>1040</v>
      </c>
      <c r="D35" s="1846"/>
      <c r="E35" s="784" t="s">
        <v>493</v>
      </c>
      <c r="F35" s="783"/>
      <c r="G35" s="687"/>
      <c r="H35" s="687"/>
      <c r="J35" s="3">
        <f t="shared" si="6"/>
        <v>13</v>
      </c>
      <c r="K35" s="3">
        <f t="shared" si="7"/>
        <v>56</v>
      </c>
      <c r="L35" s="3">
        <f t="shared" si="8"/>
        <v>25</v>
      </c>
      <c r="M35" s="837">
        <f t="shared" si="1"/>
        <v>137589.03440959766</v>
      </c>
      <c r="N35" s="694">
        <f t="shared" si="2"/>
        <v>128491.50899004326</v>
      </c>
      <c r="O35" s="837">
        <f t="shared" si="3"/>
        <v>56215.035183143933</v>
      </c>
      <c r="P35" s="837">
        <f t="shared" si="4"/>
        <v>26983.216887909086</v>
      </c>
      <c r="T35" s="848">
        <f t="shared" si="9"/>
        <v>0.90249999999999997</v>
      </c>
      <c r="W35" s="3">
        <f t="shared" si="5"/>
        <v>0.53032135064529451</v>
      </c>
      <c r="X35" s="837"/>
      <c r="Y35" s="837"/>
    </row>
    <row r="36" spans="1:25">
      <c r="A36" s="687"/>
      <c r="B36" s="687"/>
      <c r="C36" s="1854" t="s">
        <v>1039</v>
      </c>
      <c r="D36" s="1855"/>
      <c r="E36" s="782" t="s">
        <v>252</v>
      </c>
      <c r="F36" s="781" t="s">
        <v>491</v>
      </c>
      <c r="G36" s="687"/>
      <c r="H36" s="687"/>
      <c r="J36" s="3">
        <f t="shared" si="6"/>
        <v>14</v>
      </c>
      <c r="K36" s="3">
        <f t="shared" si="7"/>
        <v>57</v>
      </c>
      <c r="L36" s="3">
        <f t="shared" si="8"/>
        <v>26</v>
      </c>
      <c r="M36" s="837">
        <f t="shared" si="1"/>
        <v>142404.65061393357</v>
      </c>
      <c r="N36" s="694">
        <f t="shared" si="2"/>
        <v>132988.71180469479</v>
      </c>
      <c r="O36" s="837">
        <f t="shared" si="3"/>
        <v>60509.863871136127</v>
      </c>
      <c r="P36" s="837">
        <f t="shared" si="4"/>
        <v>27927.629478985906</v>
      </c>
      <c r="T36" s="848">
        <f t="shared" si="9"/>
        <v>0.90249999999999997</v>
      </c>
      <c r="W36" s="3">
        <f t="shared" si="5"/>
        <v>0.50506795299551854</v>
      </c>
      <c r="X36" s="837"/>
      <c r="Y36" s="837"/>
    </row>
    <row r="37" spans="1:25">
      <c r="A37" s="687"/>
      <c r="B37" s="687"/>
      <c r="C37" s="1879"/>
      <c r="D37" s="1880"/>
      <c r="E37" s="780" t="s">
        <v>1038</v>
      </c>
      <c r="F37" s="779">
        <v>0.05</v>
      </c>
      <c r="G37" s="738"/>
      <c r="H37" s="687"/>
      <c r="J37" s="3">
        <f t="shared" si="6"/>
        <v>15</v>
      </c>
      <c r="K37" s="3">
        <f t="shared" si="7"/>
        <v>58</v>
      </c>
      <c r="L37" s="3">
        <f t="shared" si="8"/>
        <v>27</v>
      </c>
      <c r="M37" s="837">
        <f t="shared" si="1"/>
        <v>147388.81338542124</v>
      </c>
      <c r="N37" s="694">
        <f t="shared" si="2"/>
        <v>137643.3167178591</v>
      </c>
      <c r="O37" s="837">
        <f t="shared" si="3"/>
        <v>65036.467149188422</v>
      </c>
      <c r="P37" s="837">
        <f t="shared" si="4"/>
        <v>28905.096510750409</v>
      </c>
      <c r="T37" s="848">
        <f t="shared" si="9"/>
        <v>0.90249999999999997</v>
      </c>
      <c r="W37" s="3">
        <f t="shared" si="5"/>
        <v>0.48101709809097004</v>
      </c>
      <c r="X37" s="837"/>
      <c r="Y37" s="837"/>
    </row>
    <row r="38" spans="1:25">
      <c r="A38" s="687"/>
      <c r="B38" s="687"/>
      <c r="C38" s="1881"/>
      <c r="D38" s="1882"/>
      <c r="E38" s="778" t="s">
        <v>1037</v>
      </c>
      <c r="F38" s="777">
        <v>0</v>
      </c>
      <c r="G38" s="687"/>
      <c r="H38" s="687"/>
      <c r="J38" s="3">
        <f t="shared" si="6"/>
        <v>16</v>
      </c>
      <c r="K38" s="3">
        <f t="shared" si="7"/>
        <v>59</v>
      </c>
      <c r="L38" s="3">
        <f t="shared" si="8"/>
        <v>28</v>
      </c>
      <c r="M38" s="837">
        <f t="shared" si="1"/>
        <v>152547.42185391096</v>
      </c>
      <c r="N38" s="694">
        <f t="shared" si="2"/>
        <v>142460.83280298414</v>
      </c>
      <c r="O38" s="837">
        <f t="shared" si="3"/>
        <v>69805.808073462234</v>
      </c>
      <c r="P38" s="837">
        <f t="shared" si="4"/>
        <v>29916.774888626671</v>
      </c>
      <c r="T38" s="848">
        <f t="shared" si="9"/>
        <v>0.90249999999999997</v>
      </c>
      <c r="W38" s="3">
        <f t="shared" si="5"/>
        <v>0.45811152199140004</v>
      </c>
      <c r="X38" s="837"/>
      <c r="Y38" s="837"/>
    </row>
    <row r="39" spans="1:25">
      <c r="A39" s="687"/>
      <c r="B39" s="687"/>
      <c r="C39" s="1865" t="s">
        <v>1036</v>
      </c>
      <c r="D39" s="1883"/>
      <c r="E39" s="1861" t="s">
        <v>643</v>
      </c>
      <c r="F39" s="1862"/>
      <c r="G39" s="687"/>
      <c r="H39" s="687"/>
      <c r="J39" s="3">
        <f t="shared" si="6"/>
        <v>17</v>
      </c>
      <c r="K39" s="3">
        <f t="shared" si="7"/>
        <v>60</v>
      </c>
      <c r="L39" s="3">
        <f t="shared" si="8"/>
        <v>29</v>
      </c>
      <c r="M39" s="837">
        <f t="shared" si="1"/>
        <v>157886.58161879782</v>
      </c>
      <c r="N39" s="694">
        <f t="shared" si="2"/>
        <v>147446.9619510886</v>
      </c>
      <c r="O39" s="837">
        <f t="shared" si="3"/>
        <v>74829.333190177465</v>
      </c>
      <c r="P39" s="837">
        <f t="shared" si="4"/>
        <v>30963.862009728608</v>
      </c>
      <c r="Q39" s="724">
        <v>1</v>
      </c>
      <c r="T39" s="848">
        <f t="shared" si="9"/>
        <v>0.90249999999999997</v>
      </c>
      <c r="W39" s="3">
        <f t="shared" si="5"/>
        <v>0.43629668761085716</v>
      </c>
      <c r="X39" s="837"/>
      <c r="Y39" s="837"/>
    </row>
    <row r="40" spans="1:25">
      <c r="A40" s="687"/>
      <c r="B40" s="687"/>
      <c r="C40" s="744"/>
      <c r="D40" s="776"/>
      <c r="E40" s="1863"/>
      <c r="F40" s="1864"/>
      <c r="G40" s="687"/>
      <c r="H40" s="687"/>
      <c r="J40" s="3">
        <f t="shared" si="6"/>
        <v>18</v>
      </c>
      <c r="K40" s="3">
        <f t="shared" si="7"/>
        <v>61</v>
      </c>
      <c r="L40" s="3">
        <f t="shared" si="8"/>
        <v>30</v>
      </c>
      <c r="M40" s="837">
        <f t="shared" si="1"/>
        <v>163412.61197545574</v>
      </c>
      <c r="N40" s="694">
        <f t="shared" si="2"/>
        <v>152607.60561937667</v>
      </c>
      <c r="O40" s="837">
        <f t="shared" si="3"/>
        <v>80118.99295017276</v>
      </c>
      <c r="P40" s="837">
        <f t="shared" si="4"/>
        <v>32047.597180069104</v>
      </c>
      <c r="Q40" s="724">
        <v>1</v>
      </c>
      <c r="T40" s="848">
        <f t="shared" si="9"/>
        <v>0.90249999999999997</v>
      </c>
      <c r="W40" s="3">
        <f t="shared" si="5"/>
        <v>0.41552065486748302</v>
      </c>
      <c r="X40" s="837"/>
      <c r="Y40" s="837"/>
    </row>
    <row r="41" spans="1:25">
      <c r="A41" s="687"/>
      <c r="B41" s="687"/>
      <c r="C41" s="1865" t="s">
        <v>1035</v>
      </c>
      <c r="D41" s="1866"/>
      <c r="E41" s="1867" t="s">
        <v>1034</v>
      </c>
      <c r="F41" s="1868"/>
      <c r="G41" s="687"/>
      <c r="H41" s="687"/>
      <c r="J41" s="3">
        <f t="shared" si="6"/>
        <v>19</v>
      </c>
      <c r="K41" s="3">
        <f t="shared" si="7"/>
        <v>62</v>
      </c>
      <c r="L41" s="3">
        <f t="shared" si="8"/>
        <v>31</v>
      </c>
      <c r="M41" s="837">
        <f t="shared" si="1"/>
        <v>169132.05339459667</v>
      </c>
      <c r="N41" s="694">
        <f t="shared" si="2"/>
        <v>157948.87181605483</v>
      </c>
      <c r="O41" s="837">
        <f t="shared" si="3"/>
        <v>85687.262960209759</v>
      </c>
      <c r="P41" s="837">
        <f t="shared" si="4"/>
        <v>33169.263081371515</v>
      </c>
      <c r="Q41" s="724">
        <v>1</v>
      </c>
      <c r="S41" s="724">
        <v>0.65</v>
      </c>
      <c r="T41" s="848">
        <f t="shared" si="9"/>
        <v>0.90249999999999997</v>
      </c>
      <c r="U41" s="707">
        <f>D107</f>
        <v>16.3</v>
      </c>
      <c r="V41" s="707">
        <f>E107</f>
        <v>13.1</v>
      </c>
      <c r="W41" s="3">
        <f t="shared" si="5"/>
        <v>0.39573395701665048</v>
      </c>
      <c r="X41" s="837">
        <f>S41*T41*P41*U41*W41</f>
        <v>125512.59599366118</v>
      </c>
      <c r="Y41" s="837">
        <f>S41*T41*P41*V41*W41</f>
        <v>100872.08635073384</v>
      </c>
    </row>
    <row r="42" spans="1:25">
      <c r="A42" s="687"/>
      <c r="B42" s="687"/>
      <c r="C42" s="1873" t="s">
        <v>591</v>
      </c>
      <c r="D42" s="1874"/>
      <c r="E42" s="1875" t="s">
        <v>642</v>
      </c>
      <c r="F42" s="1876"/>
      <c r="G42" s="687"/>
      <c r="H42" s="687"/>
      <c r="J42" s="3">
        <f t="shared" si="6"/>
        <v>20</v>
      </c>
      <c r="K42" s="3">
        <f t="shared" si="7"/>
        <v>63</v>
      </c>
      <c r="L42" s="3">
        <f t="shared" si="8"/>
        <v>32</v>
      </c>
      <c r="M42" s="837">
        <f t="shared" si="1"/>
        <v>175051.67526340755</v>
      </c>
      <c r="N42" s="694">
        <f t="shared" si="2"/>
        <v>163477.08232961674</v>
      </c>
      <c r="O42" s="837">
        <f t="shared" si="3"/>
        <v>91547.166104585383</v>
      </c>
      <c r="P42" s="837">
        <f t="shared" si="4"/>
        <v>34330.187289219517</v>
      </c>
      <c r="Q42" s="724">
        <v>1</v>
      </c>
      <c r="T42" s="848">
        <f t="shared" si="9"/>
        <v>0.31587499999999996</v>
      </c>
      <c r="W42" s="3">
        <f t="shared" si="5"/>
        <v>0.37688948287300045</v>
      </c>
      <c r="X42" s="837"/>
      <c r="Y42" s="837"/>
    </row>
    <row r="43" spans="1:25" ht="15.6" customHeight="1">
      <c r="A43" s="687"/>
      <c r="B43" s="687"/>
      <c r="C43" s="687"/>
      <c r="D43" s="687"/>
      <c r="E43" s="687"/>
      <c r="F43" s="775"/>
      <c r="G43" s="763"/>
      <c r="H43" s="687"/>
      <c r="J43" s="3">
        <f t="shared" si="6"/>
        <v>21</v>
      </c>
      <c r="K43" s="3">
        <f t="shared" si="7"/>
        <v>64</v>
      </c>
      <c r="L43" s="3">
        <f t="shared" si="8"/>
        <v>33</v>
      </c>
      <c r="M43" s="837">
        <f t="shared" si="1"/>
        <v>181178.48389762681</v>
      </c>
      <c r="N43" s="694">
        <f t="shared" si="2"/>
        <v>169198.78021115332</v>
      </c>
      <c r="O43" s="837">
        <f t="shared" si="3"/>
        <v>97712.295571941053</v>
      </c>
      <c r="P43" s="837">
        <f t="shared" si="4"/>
        <v>35531.7438443422</v>
      </c>
      <c r="Q43" s="724">
        <v>1</v>
      </c>
      <c r="T43" s="848">
        <f t="shared" si="9"/>
        <v>0.31587499999999996</v>
      </c>
      <c r="W43" s="3">
        <f t="shared" si="5"/>
        <v>0.35894236464095275</v>
      </c>
      <c r="X43" s="837"/>
      <c r="Y43" s="837"/>
    </row>
    <row r="44" spans="1:25">
      <c r="A44" s="687"/>
      <c r="B44" s="687"/>
      <c r="C44" s="687"/>
      <c r="D44" s="687"/>
      <c r="E44" s="687"/>
      <c r="F44" s="763"/>
      <c r="G44" s="763"/>
      <c r="H44" s="687"/>
      <c r="J44" s="3">
        <f t="shared" si="6"/>
        <v>22</v>
      </c>
      <c r="K44" s="3">
        <f t="shared" si="7"/>
        <v>65</v>
      </c>
      <c r="L44" s="3">
        <f t="shared" si="8"/>
        <v>34</v>
      </c>
      <c r="M44" s="837">
        <f t="shared" si="1"/>
        <v>187519.73083404373</v>
      </c>
      <c r="N44" s="694">
        <f t="shared" si="2"/>
        <v>175120.7375185437</v>
      </c>
      <c r="O44" s="837">
        <f t="shared" si="3"/>
        <v>104196.8388235335</v>
      </c>
      <c r="P44" s="837">
        <f t="shared" si="4"/>
        <v>36775.354878894177</v>
      </c>
      <c r="Q44" s="724">
        <v>1</v>
      </c>
      <c r="S44" s="724">
        <v>1</v>
      </c>
      <c r="T44" s="848">
        <f t="shared" si="9"/>
        <v>0.31587499999999996</v>
      </c>
      <c r="U44" s="704">
        <f>D110</f>
        <v>15.2</v>
      </c>
      <c r="V44" s="704">
        <f>E110</f>
        <v>12.5</v>
      </c>
      <c r="W44" s="3">
        <f t="shared" si="5"/>
        <v>0.34184987108662168</v>
      </c>
      <c r="X44" s="837">
        <f>S44*T44*P44*U44*W44</f>
        <v>60360.264703092602</v>
      </c>
      <c r="Y44" s="837">
        <f>S44*T44*P44*V44*W44</f>
        <v>49638.375578201158</v>
      </c>
    </row>
    <row r="45" spans="1:25" ht="15.6" customHeight="1">
      <c r="A45" s="687"/>
      <c r="B45" s="687"/>
      <c r="C45" s="774" t="s">
        <v>1033</v>
      </c>
      <c r="D45" s="717"/>
      <c r="E45" s="717"/>
      <c r="F45" s="717"/>
      <c r="G45" s="763"/>
      <c r="H45" s="687"/>
      <c r="W45" s="3" t="s">
        <v>347</v>
      </c>
      <c r="X45" s="850">
        <f>SUM(X22:X44)</f>
        <v>194681.01797467651</v>
      </c>
      <c r="Y45" s="850">
        <f>SUM(Y22:Y44)</f>
        <v>157754.01232196356</v>
      </c>
    </row>
    <row r="46" spans="1:25">
      <c r="A46" s="687"/>
      <c r="B46" s="687"/>
      <c r="C46" s="773"/>
      <c r="D46" s="717"/>
      <c r="E46" s="717"/>
      <c r="F46" s="717"/>
      <c r="G46" s="763"/>
      <c r="H46" s="687"/>
      <c r="W46" s="3" t="s">
        <v>808</v>
      </c>
      <c r="X46" s="851">
        <f>X45/12</f>
        <v>16223.418164556375</v>
      </c>
      <c r="Y46" s="851">
        <f>Y45/12</f>
        <v>13146.167693496964</v>
      </c>
    </row>
    <row r="47" spans="1:25">
      <c r="A47" s="687"/>
      <c r="B47" s="687"/>
      <c r="C47" s="754" t="s">
        <v>1032</v>
      </c>
      <c r="D47" s="772"/>
      <c r="E47" s="771">
        <v>0.05</v>
      </c>
      <c r="F47" s="768"/>
      <c r="G47" s="770"/>
      <c r="H47" s="687"/>
    </row>
    <row r="48" spans="1:25" ht="16.2" thickBot="1">
      <c r="A48" s="687"/>
      <c r="B48" s="687"/>
      <c r="C48" s="1869" t="s">
        <v>1031</v>
      </c>
      <c r="D48" s="1870"/>
      <c r="E48" s="769">
        <v>0.06</v>
      </c>
      <c r="F48" s="768"/>
      <c r="G48" s="767"/>
      <c r="H48" s="687"/>
      <c r="J48" s="698" t="s">
        <v>1147</v>
      </c>
      <c r="K48" s="164"/>
      <c r="W48" s="724"/>
    </row>
    <row r="49" spans="1:25" ht="16.2" thickBot="1">
      <c r="A49" s="687"/>
      <c r="B49" s="687"/>
      <c r="C49" s="766" t="s">
        <v>1030</v>
      </c>
      <c r="D49" s="765"/>
      <c r="E49" s="764">
        <v>7.0000000000000007E-2</v>
      </c>
      <c r="F49" s="717"/>
      <c r="G49" s="763"/>
      <c r="H49" s="687"/>
      <c r="K49" s="804"/>
      <c r="M49" s="701">
        <v>3.5000000000000003E-2</v>
      </c>
      <c r="X49" s="1884" t="s">
        <v>1146</v>
      </c>
      <c r="Y49" s="1885"/>
    </row>
    <row r="50" spans="1:25" ht="31.2">
      <c r="A50" s="687"/>
      <c r="B50" s="687"/>
      <c r="C50" s="717"/>
      <c r="D50" s="757"/>
      <c r="E50" s="717"/>
      <c r="F50" s="666"/>
      <c r="G50" s="763"/>
      <c r="H50" s="687"/>
      <c r="J50" s="607" t="s">
        <v>1145</v>
      </c>
      <c r="K50" s="856" t="s">
        <v>252</v>
      </c>
      <c r="L50" s="607" t="s">
        <v>320</v>
      </c>
      <c r="M50" s="607" t="s">
        <v>319</v>
      </c>
      <c r="N50" s="607" t="s">
        <v>1144</v>
      </c>
      <c r="O50" s="607" t="s">
        <v>1143</v>
      </c>
      <c r="P50" s="607" t="s">
        <v>192</v>
      </c>
      <c r="Q50" s="607" t="s">
        <v>1142</v>
      </c>
      <c r="R50" s="607" t="s">
        <v>1141</v>
      </c>
      <c r="S50" s="607" t="s">
        <v>1140</v>
      </c>
      <c r="T50" s="607" t="s">
        <v>1139</v>
      </c>
      <c r="U50" s="607" t="s">
        <v>1138</v>
      </c>
      <c r="V50" s="607" t="s">
        <v>1137</v>
      </c>
      <c r="W50" s="607" t="s">
        <v>1136</v>
      </c>
      <c r="X50" s="607" t="s">
        <v>1126</v>
      </c>
      <c r="Y50" s="607" t="s">
        <v>1135</v>
      </c>
    </row>
    <row r="51" spans="1:25">
      <c r="A51" s="687"/>
      <c r="B51" s="687"/>
      <c r="C51" s="723" t="s">
        <v>1029</v>
      </c>
      <c r="D51" s="717"/>
      <c r="E51" s="666"/>
      <c r="F51" s="761"/>
      <c r="G51" s="687"/>
      <c r="H51" s="687"/>
      <c r="M51" s="728">
        <v>92000</v>
      </c>
    </row>
    <row r="52" spans="1:25" ht="32.1" customHeight="1">
      <c r="A52" s="687"/>
      <c r="B52" s="687"/>
      <c r="C52" s="762"/>
      <c r="D52" s="717"/>
      <c r="E52" s="666"/>
      <c r="F52" s="761"/>
      <c r="G52" s="687"/>
      <c r="H52" s="687"/>
      <c r="M52" s="728">
        <v>92000</v>
      </c>
    </row>
    <row r="53" spans="1:25">
      <c r="A53" s="687"/>
      <c r="B53" s="687"/>
      <c r="C53" s="1871" t="s">
        <v>1028</v>
      </c>
      <c r="D53" s="1872"/>
      <c r="E53" s="1865" t="s">
        <v>477</v>
      </c>
      <c r="F53" s="1866"/>
      <c r="G53" s="687"/>
      <c r="H53" s="687"/>
      <c r="M53" s="728">
        <v>98000</v>
      </c>
    </row>
    <row r="54" spans="1:25">
      <c r="A54" s="687"/>
      <c r="B54" s="687"/>
      <c r="C54" s="754"/>
      <c r="D54" s="755"/>
      <c r="E54" s="759"/>
      <c r="F54" s="740"/>
      <c r="G54" s="687"/>
      <c r="H54" s="687"/>
      <c r="J54" s="3">
        <v>0</v>
      </c>
      <c r="K54" s="3">
        <v>60</v>
      </c>
      <c r="L54" s="3">
        <v>7</v>
      </c>
      <c r="M54" s="837">
        <f>M53*(1+$M$49)</f>
        <v>101429.99999999999</v>
      </c>
      <c r="N54" s="694">
        <f t="shared" ref="N54:N59" si="10">AVERAGE(M51:M53)</f>
        <v>94000</v>
      </c>
      <c r="O54" s="837">
        <f t="shared" ref="O54:O59" si="11">1.75%*N54*L54</f>
        <v>11515.000000000002</v>
      </c>
      <c r="P54" s="855">
        <f t="shared" ref="P54:P59" si="12">O54*(7/L54)</f>
        <v>11515.000000000002</v>
      </c>
      <c r="T54" s="724">
        <v>1</v>
      </c>
      <c r="W54" s="3">
        <f t="shared" ref="W54:W59" si="13">$O$16^J54</f>
        <v>1</v>
      </c>
    </row>
    <row r="55" spans="1:25">
      <c r="A55" s="687"/>
      <c r="B55" s="687"/>
      <c r="C55" s="758" t="s">
        <v>1027</v>
      </c>
      <c r="D55" s="757"/>
      <c r="E55" s="689"/>
      <c r="F55" s="756"/>
      <c r="G55" s="687"/>
      <c r="H55" s="687"/>
      <c r="J55" s="3">
        <f t="shared" ref="J55:L59" si="14">J54+1</f>
        <v>1</v>
      </c>
      <c r="K55" s="3">
        <f t="shared" si="14"/>
        <v>61</v>
      </c>
      <c r="L55" s="3">
        <f t="shared" si="14"/>
        <v>8</v>
      </c>
      <c r="M55" s="837">
        <f>M54*(1+$M$49)</f>
        <v>104980.04999999997</v>
      </c>
      <c r="N55" s="694">
        <f t="shared" si="10"/>
        <v>97143.333333333328</v>
      </c>
      <c r="O55" s="837">
        <f t="shared" si="11"/>
        <v>13600.066666666668</v>
      </c>
      <c r="P55" s="855">
        <f t="shared" si="12"/>
        <v>11900.058333333334</v>
      </c>
      <c r="T55" s="848">
        <f>T54*(1-S54)*(1-R54)</f>
        <v>1</v>
      </c>
      <c r="W55" s="3">
        <f t="shared" si="13"/>
        <v>0.95238095238095233</v>
      </c>
    </row>
    <row r="56" spans="1:25">
      <c r="A56" s="687"/>
      <c r="B56" s="687"/>
      <c r="C56" s="754" t="s">
        <v>1026</v>
      </c>
      <c r="D56" s="755"/>
      <c r="E56" s="741" t="s">
        <v>474</v>
      </c>
      <c r="F56" s="740"/>
      <c r="G56" s="687"/>
      <c r="H56" s="687"/>
      <c r="J56" s="3">
        <f t="shared" si="14"/>
        <v>2</v>
      </c>
      <c r="K56" s="3">
        <f t="shared" si="14"/>
        <v>62</v>
      </c>
      <c r="L56" s="3">
        <f t="shared" si="14"/>
        <v>9</v>
      </c>
      <c r="M56" s="837">
        <f>M55*(1+$M$49)</f>
        <v>108654.35174999996</v>
      </c>
      <c r="N56" s="694">
        <f t="shared" si="10"/>
        <v>101470.01666666666</v>
      </c>
      <c r="O56" s="837">
        <f t="shared" si="11"/>
        <v>15981.527625000002</v>
      </c>
      <c r="P56" s="855">
        <f t="shared" si="12"/>
        <v>12430.077041666669</v>
      </c>
      <c r="Q56" s="3" t="s">
        <v>1134</v>
      </c>
      <c r="S56" s="724">
        <v>0.65</v>
      </c>
      <c r="T56" s="848">
        <f>T55*(1-S55)*(1-R55)</f>
        <v>1</v>
      </c>
      <c r="W56" s="3">
        <f t="shared" si="13"/>
        <v>0.90702947845804982</v>
      </c>
      <c r="X56" s="837">
        <f>S56*T56*P56*U59*W59</f>
        <v>96224.191260043095</v>
      </c>
      <c r="Y56" s="837">
        <f>S56*T56*P56*V59*W59</f>
        <v>79131.73623358809</v>
      </c>
    </row>
    <row r="57" spans="1:25">
      <c r="A57" s="687"/>
      <c r="B57" s="687"/>
      <c r="C57" s="1854" t="s">
        <v>350</v>
      </c>
      <c r="D57" s="1855"/>
      <c r="E57" s="754" t="s">
        <v>1025</v>
      </c>
      <c r="F57" s="753"/>
      <c r="G57" s="687"/>
      <c r="H57" s="687"/>
      <c r="J57" s="3">
        <f t="shared" si="14"/>
        <v>3</v>
      </c>
      <c r="K57" s="3">
        <f t="shared" si="14"/>
        <v>63</v>
      </c>
      <c r="L57" s="3">
        <f t="shared" si="14"/>
        <v>10</v>
      </c>
      <c r="M57" s="837">
        <f>M56*(1+$M$49)</f>
        <v>112457.25406124994</v>
      </c>
      <c r="N57" s="694">
        <f t="shared" si="10"/>
        <v>105021.46724999997</v>
      </c>
      <c r="O57" s="837">
        <f t="shared" si="11"/>
        <v>18378.756768749998</v>
      </c>
      <c r="P57" s="855">
        <f t="shared" si="12"/>
        <v>12865.129738124997</v>
      </c>
      <c r="T57" s="848">
        <f>T56*(1-S56)*(1-R56)</f>
        <v>0.35</v>
      </c>
      <c r="W57" s="3">
        <f t="shared" si="13"/>
        <v>0.86383759853147601</v>
      </c>
      <c r="X57" s="837"/>
      <c r="Y57" s="837"/>
    </row>
    <row r="58" spans="1:25">
      <c r="A58" s="687"/>
      <c r="B58" s="687"/>
      <c r="C58" s="752"/>
      <c r="D58" s="751"/>
      <c r="E58" s="750"/>
      <c r="F58" s="749"/>
      <c r="G58" s="687"/>
      <c r="H58" s="687"/>
      <c r="J58" s="3">
        <f t="shared" si="14"/>
        <v>4</v>
      </c>
      <c r="K58" s="3">
        <f t="shared" si="14"/>
        <v>64</v>
      </c>
      <c r="L58" s="3">
        <f t="shared" si="14"/>
        <v>11</v>
      </c>
      <c r="M58" s="837">
        <f>M57*(1+$M$49)</f>
        <v>116393.25795339368</v>
      </c>
      <c r="N58" s="694">
        <f t="shared" si="10"/>
        <v>108697.21860374995</v>
      </c>
      <c r="O58" s="837">
        <f t="shared" si="11"/>
        <v>20924.214581221866</v>
      </c>
      <c r="P58" s="855">
        <f t="shared" si="12"/>
        <v>13315.409278959369</v>
      </c>
      <c r="T58" s="848">
        <f>T57*(1-S57)*(1-R57)</f>
        <v>0.35</v>
      </c>
      <c r="W58" s="3">
        <f t="shared" si="13"/>
        <v>0.82270247479188185</v>
      </c>
      <c r="X58" s="837"/>
      <c r="Y58" s="837"/>
    </row>
    <row r="59" spans="1:25">
      <c r="A59" s="687"/>
      <c r="B59" s="687"/>
      <c r="C59" s="747" t="s">
        <v>471</v>
      </c>
      <c r="D59" s="746"/>
      <c r="E59" s="746"/>
      <c r="F59" s="745"/>
      <c r="G59" s="687"/>
      <c r="H59" s="739"/>
      <c r="J59" s="3">
        <f t="shared" si="14"/>
        <v>5</v>
      </c>
      <c r="K59" s="3">
        <f t="shared" si="14"/>
        <v>65</v>
      </c>
      <c r="L59" s="3">
        <f t="shared" si="14"/>
        <v>12</v>
      </c>
      <c r="N59" s="694">
        <f t="shared" si="10"/>
        <v>112501.62125488119</v>
      </c>
      <c r="O59" s="837">
        <f t="shared" si="11"/>
        <v>23625.340463525052</v>
      </c>
      <c r="P59" s="855">
        <f t="shared" si="12"/>
        <v>13781.448603722947</v>
      </c>
      <c r="S59" s="724">
        <v>1</v>
      </c>
      <c r="T59" s="848">
        <f>T58*(1-S58)*(1-R58)</f>
        <v>0.35</v>
      </c>
      <c r="U59" s="704">
        <f>D110</f>
        <v>15.2</v>
      </c>
      <c r="V59" s="704">
        <f>E110</f>
        <v>12.5</v>
      </c>
      <c r="W59" s="3">
        <f t="shared" si="13"/>
        <v>0.78352616646845885</v>
      </c>
      <c r="X59" s="837">
        <f>S59*T59*P59*U59*W59</f>
        <v>57446.028153999963</v>
      </c>
      <c r="Y59" s="837">
        <f>S59*T59*P59*V59*W59</f>
        <v>47241.799468749967</v>
      </c>
    </row>
    <row r="60" spans="1:25">
      <c r="A60" s="687"/>
      <c r="B60" s="687"/>
      <c r="C60" s="1856" t="s">
        <v>1022</v>
      </c>
      <c r="D60" s="1857"/>
      <c r="E60" s="1858" t="s">
        <v>1024</v>
      </c>
      <c r="F60" s="1859"/>
      <c r="G60" s="687"/>
      <c r="H60" s="739"/>
      <c r="W60" s="3" t="s">
        <v>347</v>
      </c>
      <c r="X60" s="850">
        <f>SUM(X54:X59)</f>
        <v>153670.21941404307</v>
      </c>
      <c r="Y60" s="850">
        <f>SUM(Y54:Y59)</f>
        <v>126373.53570233806</v>
      </c>
    </row>
    <row r="61" spans="1:25" ht="16.2" thickBot="1">
      <c r="A61" s="687"/>
      <c r="B61" s="687"/>
      <c r="C61" s="1837" t="s">
        <v>1020</v>
      </c>
      <c r="D61" s="1838"/>
      <c r="E61" s="1860" t="s">
        <v>1023</v>
      </c>
      <c r="F61" s="1840"/>
      <c r="G61" s="687"/>
      <c r="H61" s="739"/>
      <c r="W61" s="3" t="s">
        <v>808</v>
      </c>
      <c r="X61" s="850">
        <f>X60/7</f>
        <v>21952.888487720436</v>
      </c>
      <c r="Y61" s="850">
        <f>Y60/7</f>
        <v>18053.362243191154</v>
      </c>
    </row>
    <row r="62" spans="1:25" ht="16.2" thickBot="1">
      <c r="A62" s="687"/>
      <c r="B62" s="687"/>
      <c r="C62" s="741"/>
      <c r="D62" s="740"/>
      <c r="E62" s="748"/>
      <c r="F62" s="743"/>
      <c r="G62" s="687"/>
      <c r="H62" s="739"/>
      <c r="J62" s="698" t="s">
        <v>1133</v>
      </c>
      <c r="L62" s="1884" t="s">
        <v>1131</v>
      </c>
      <c r="M62" s="1888"/>
      <c r="N62" s="1888"/>
      <c r="O62" s="1888"/>
      <c r="P62" s="1885"/>
      <c r="Q62" s="1884" t="s">
        <v>1130</v>
      </c>
      <c r="R62" s="1888"/>
      <c r="S62" s="1888"/>
      <c r="T62" s="1885"/>
    </row>
    <row r="63" spans="1:25">
      <c r="A63" s="687"/>
      <c r="B63" s="687"/>
      <c r="C63" s="747" t="s">
        <v>466</v>
      </c>
      <c r="D63" s="746"/>
      <c r="E63" s="746"/>
      <c r="F63" s="745"/>
      <c r="G63" s="687"/>
      <c r="H63" s="739"/>
      <c r="J63" s="3" t="s">
        <v>252</v>
      </c>
      <c r="K63" s="3" t="s">
        <v>1129</v>
      </c>
      <c r="L63" s="698" t="s">
        <v>1127</v>
      </c>
      <c r="M63" s="3" t="s">
        <v>1103</v>
      </c>
      <c r="N63" s="3" t="s">
        <v>46</v>
      </c>
      <c r="O63" s="3" t="s">
        <v>1128</v>
      </c>
      <c r="P63" s="3" t="s">
        <v>1125</v>
      </c>
      <c r="Q63" s="698" t="s">
        <v>1127</v>
      </c>
      <c r="R63" s="3" t="s">
        <v>1103</v>
      </c>
      <c r="S63" s="3" t="s">
        <v>1126</v>
      </c>
      <c r="T63" s="3" t="s">
        <v>1125</v>
      </c>
    </row>
    <row r="64" spans="1:25">
      <c r="A64" s="687"/>
      <c r="B64" s="687"/>
      <c r="C64" s="1856" t="s">
        <v>1022</v>
      </c>
      <c r="D64" s="1857"/>
      <c r="E64" s="1839" t="s">
        <v>1021</v>
      </c>
      <c r="F64" s="1840"/>
      <c r="G64" s="687"/>
      <c r="H64" s="739"/>
      <c r="J64" s="3">
        <v>61</v>
      </c>
      <c r="K64" s="694">
        <f>D86</f>
        <v>21000</v>
      </c>
      <c r="L64" s="704">
        <f>D110</f>
        <v>15.2</v>
      </c>
      <c r="M64" s="704">
        <f>E110</f>
        <v>12.5</v>
      </c>
      <c r="N64" s="818">
        <f>O16^(65-J64)</f>
        <v>0.82270247479188185</v>
      </c>
      <c r="O64" s="850">
        <f>K64*L64*N64</f>
        <v>262606.62995356868</v>
      </c>
      <c r="P64" s="850">
        <f>K64*M64*N64</f>
        <v>215959.399632869</v>
      </c>
      <c r="Q64" s="707">
        <f>D152</f>
        <v>15.4</v>
      </c>
      <c r="R64" s="707">
        <f>D129</f>
        <v>11.9</v>
      </c>
      <c r="S64" s="850">
        <f>Q64*K64</f>
        <v>323400</v>
      </c>
      <c r="T64" s="850">
        <f>R64*K64</f>
        <v>249900</v>
      </c>
    </row>
    <row r="65" spans="1:30" ht="16.2" customHeight="1" thickBot="1">
      <c r="A65" s="687"/>
      <c r="B65" s="687"/>
      <c r="C65" s="1837" t="s">
        <v>1020</v>
      </c>
      <c r="D65" s="1838"/>
      <c r="E65" s="1839" t="s">
        <v>1019</v>
      </c>
      <c r="F65" s="1840"/>
      <c r="G65" s="687"/>
      <c r="H65" s="739"/>
      <c r="I65" s="742"/>
      <c r="J65" s="698"/>
    </row>
    <row r="66" spans="1:30" ht="31.8" thickBot="1">
      <c r="A66" s="687"/>
      <c r="B66" s="687"/>
      <c r="C66" s="1837" t="s">
        <v>1018</v>
      </c>
      <c r="D66" s="1838"/>
      <c r="E66" s="1843">
        <v>100000</v>
      </c>
      <c r="F66" s="1844"/>
      <c r="G66" s="687"/>
      <c r="H66" s="739"/>
      <c r="I66" s="742"/>
      <c r="J66" s="698" t="s">
        <v>1132</v>
      </c>
      <c r="L66" s="854" t="s">
        <v>1131</v>
      </c>
      <c r="M66" s="853"/>
      <c r="N66" s="853"/>
      <c r="O66" s="853"/>
      <c r="P66" s="852"/>
      <c r="Q66" s="1884" t="s">
        <v>1130</v>
      </c>
      <c r="R66" s="1888"/>
      <c r="S66" s="1888"/>
      <c r="T66" s="1885"/>
    </row>
    <row r="67" spans="1:30">
      <c r="A67" s="687"/>
      <c r="B67" s="687"/>
      <c r="C67" s="1837" t="s">
        <v>537</v>
      </c>
      <c r="D67" s="1838"/>
      <c r="E67" s="1845" t="s">
        <v>461</v>
      </c>
      <c r="F67" s="1846"/>
      <c r="G67" s="687"/>
      <c r="H67" s="739"/>
      <c r="I67" s="742"/>
      <c r="J67" s="3" t="s">
        <v>252</v>
      </c>
      <c r="K67" s="3" t="s">
        <v>1129</v>
      </c>
      <c r="L67" s="698" t="s">
        <v>1127</v>
      </c>
      <c r="M67" s="3" t="s">
        <v>1103</v>
      </c>
      <c r="N67" s="3" t="s">
        <v>1128</v>
      </c>
      <c r="O67" s="3" t="s">
        <v>1125</v>
      </c>
      <c r="Q67" s="698" t="s">
        <v>1127</v>
      </c>
      <c r="R67" s="3" t="s">
        <v>1103</v>
      </c>
      <c r="S67" s="3" t="s">
        <v>1126</v>
      </c>
      <c r="T67" s="3" t="s">
        <v>1125</v>
      </c>
    </row>
    <row r="68" spans="1:30">
      <c r="A68" s="687"/>
      <c r="B68" s="687"/>
      <c r="C68" s="687"/>
      <c r="D68" s="687"/>
      <c r="E68" s="687"/>
      <c r="F68" s="687"/>
      <c r="G68" s="687"/>
      <c r="H68" s="687"/>
      <c r="J68" s="3">
        <v>75</v>
      </c>
      <c r="K68" s="694">
        <f>D93</f>
        <v>53000</v>
      </c>
      <c r="L68" s="704">
        <f>D112</f>
        <v>12.7</v>
      </c>
      <c r="M68" s="704">
        <f>E112</f>
        <v>10.8</v>
      </c>
      <c r="N68" s="688">
        <f>K68*L68</f>
        <v>673100</v>
      </c>
      <c r="O68" s="851">
        <f>K68*M68</f>
        <v>572400</v>
      </c>
      <c r="Q68" s="704">
        <f>E159</f>
        <v>15.6</v>
      </c>
      <c r="R68" s="704">
        <f>E136</f>
        <v>11.8</v>
      </c>
      <c r="S68" s="850">
        <f>Q68*K68</f>
        <v>826800</v>
      </c>
      <c r="T68" s="850">
        <f>R68*K68</f>
        <v>625400</v>
      </c>
    </row>
    <row r="69" spans="1:30">
      <c r="A69" s="687"/>
      <c r="B69" s="687"/>
      <c r="C69" s="687"/>
      <c r="D69" s="687"/>
      <c r="E69" s="687"/>
      <c r="F69" s="687"/>
      <c r="G69" s="687"/>
      <c r="H69" s="687"/>
      <c r="I69" s="742"/>
    </row>
    <row r="70" spans="1:30">
      <c r="A70" s="687"/>
      <c r="B70" s="687"/>
      <c r="C70" s="687"/>
      <c r="D70" s="687"/>
      <c r="E70" s="687"/>
      <c r="F70" s="687"/>
      <c r="G70" s="687"/>
      <c r="H70" s="687"/>
      <c r="N70" s="694"/>
    </row>
    <row r="71" spans="1:30">
      <c r="A71" s="687"/>
      <c r="B71" s="687"/>
      <c r="C71" s="723" t="s">
        <v>450</v>
      </c>
      <c r="D71" s="717"/>
      <c r="E71" s="717"/>
      <c r="F71" s="717"/>
      <c r="G71" s="717"/>
      <c r="H71" s="687"/>
      <c r="J71" s="698" t="s">
        <v>1124</v>
      </c>
      <c r="N71" s="694"/>
    </row>
    <row r="72" spans="1:30">
      <c r="A72" s="687"/>
      <c r="B72" s="687"/>
      <c r="C72" s="717"/>
      <c r="D72" s="717"/>
      <c r="E72" s="687"/>
      <c r="F72" s="687"/>
      <c r="G72" s="687"/>
      <c r="H72" s="687"/>
      <c r="M72" s="724"/>
      <c r="N72" s="694"/>
      <c r="P72" s="849" t="s">
        <v>1123</v>
      </c>
      <c r="Q72" s="849" t="s">
        <v>1122</v>
      </c>
    </row>
    <row r="73" spans="1:30">
      <c r="A73" s="687"/>
      <c r="B73" s="687"/>
      <c r="C73" s="731" t="s">
        <v>352</v>
      </c>
      <c r="D73" s="730" t="s">
        <v>388</v>
      </c>
      <c r="E73" s="730" t="s">
        <v>377</v>
      </c>
      <c r="F73" s="687"/>
      <c r="G73" s="687"/>
      <c r="H73" s="687"/>
      <c r="J73" s="698" t="s">
        <v>1121</v>
      </c>
      <c r="O73" s="709" t="s">
        <v>1120</v>
      </c>
      <c r="P73" s="693">
        <f>MAX(P80:P90)</f>
        <v>208376</v>
      </c>
      <c r="Q73" s="693">
        <f>MAX(Q80:Q90)</f>
        <v>129210.20000000003</v>
      </c>
      <c r="X73" s="698"/>
    </row>
    <row r="74" spans="1:30">
      <c r="A74" s="687"/>
      <c r="B74" s="687"/>
      <c r="C74" s="727" t="s">
        <v>252</v>
      </c>
      <c r="D74" s="733">
        <v>43</v>
      </c>
      <c r="E74" s="733">
        <v>60</v>
      </c>
      <c r="F74" s="687"/>
      <c r="G74" s="687"/>
      <c r="H74" s="687"/>
      <c r="J74" s="3" t="s">
        <v>252</v>
      </c>
      <c r="K74" s="3">
        <f>D74</f>
        <v>43</v>
      </c>
      <c r="O74" s="709" t="s">
        <v>1119</v>
      </c>
      <c r="P74" s="715">
        <f>P85</f>
        <v>208376</v>
      </c>
      <c r="Q74" s="715">
        <f>Q85</f>
        <v>126392</v>
      </c>
      <c r="R74" s="61" t="s">
        <v>1118</v>
      </c>
    </row>
    <row r="75" spans="1:30">
      <c r="A75" s="687"/>
      <c r="B75" s="687"/>
      <c r="C75" s="727" t="s">
        <v>1017</v>
      </c>
      <c r="D75" s="728">
        <v>79000</v>
      </c>
      <c r="E75" s="728">
        <v>92000</v>
      </c>
      <c r="F75" s="687"/>
      <c r="G75" s="687"/>
      <c r="H75" s="687"/>
      <c r="J75" s="3" t="s">
        <v>320</v>
      </c>
      <c r="K75" s="3">
        <f>D78</f>
        <v>12</v>
      </c>
      <c r="O75" s="714" t="s">
        <v>614</v>
      </c>
      <c r="P75" s="713">
        <f>AVERAGE(P73:P74)</f>
        <v>208376</v>
      </c>
      <c r="Q75" s="713">
        <f>AVERAGE(Q73:Q74)</f>
        <v>127801.1</v>
      </c>
      <c r="R75" s="736"/>
      <c r="S75" s="708"/>
      <c r="T75" s="708"/>
      <c r="U75" s="711"/>
      <c r="V75" s="711"/>
      <c r="X75" s="694"/>
      <c r="Y75" s="694"/>
      <c r="Z75" s="694"/>
      <c r="AC75" s="694"/>
      <c r="AD75" s="694"/>
    </row>
    <row r="76" spans="1:30">
      <c r="A76" s="687"/>
      <c r="B76" s="687"/>
      <c r="C76" s="727" t="s">
        <v>1016</v>
      </c>
      <c r="D76" s="728">
        <v>80000</v>
      </c>
      <c r="E76" s="728">
        <v>92000</v>
      </c>
      <c r="F76" s="687"/>
      <c r="G76" s="687"/>
      <c r="H76" s="687"/>
      <c r="J76" s="3" t="s">
        <v>1117</v>
      </c>
      <c r="K76" s="3">
        <f>K74+K75</f>
        <v>55</v>
      </c>
      <c r="M76" s="694"/>
      <c r="N76" s="694"/>
      <c r="P76" s="712"/>
      <c r="Q76" s="712"/>
      <c r="R76" s="736"/>
      <c r="S76" s="708"/>
      <c r="T76" s="708"/>
      <c r="U76" s="711"/>
      <c r="V76" s="711"/>
      <c r="X76" s="694"/>
      <c r="Y76" s="694"/>
      <c r="Z76" s="694"/>
      <c r="AC76" s="694"/>
      <c r="AD76" s="694"/>
    </row>
    <row r="77" spans="1:30">
      <c r="A77" s="687"/>
      <c r="B77" s="687"/>
      <c r="C77" s="727" t="s">
        <v>1015</v>
      </c>
      <c r="D77" s="728">
        <v>85000</v>
      </c>
      <c r="E77" s="728">
        <v>98000</v>
      </c>
      <c r="F77" s="687"/>
      <c r="G77" s="687"/>
      <c r="H77" s="687"/>
      <c r="J77" s="3" t="s">
        <v>1116</v>
      </c>
      <c r="K77" s="3">
        <f>20-K75+K74</f>
        <v>51</v>
      </c>
      <c r="M77" s="694"/>
      <c r="N77" s="694"/>
      <c r="P77" s="712"/>
      <c r="Q77" s="712"/>
      <c r="R77" s="736"/>
      <c r="S77" s="708"/>
      <c r="T77" s="708"/>
      <c r="U77" s="711"/>
      <c r="V77" s="711"/>
      <c r="X77" s="694"/>
      <c r="Y77" s="694"/>
      <c r="Z77" s="694"/>
      <c r="AC77" s="688"/>
      <c r="AD77" s="688"/>
    </row>
    <row r="78" spans="1:30">
      <c r="A78" s="687"/>
      <c r="B78" s="687"/>
      <c r="C78" s="727" t="s">
        <v>248</v>
      </c>
      <c r="D78" s="733">
        <v>12</v>
      </c>
      <c r="E78" s="733">
        <v>7</v>
      </c>
      <c r="F78" s="687"/>
      <c r="G78" s="687"/>
      <c r="H78" s="687"/>
      <c r="M78" s="694"/>
      <c r="N78" s="3" t="s">
        <v>1115</v>
      </c>
      <c r="O78" s="3" t="s">
        <v>1114</v>
      </c>
      <c r="P78" s="712"/>
      <c r="Q78" s="712"/>
      <c r="R78" s="736"/>
      <c r="S78" s="708"/>
      <c r="T78" s="708"/>
      <c r="U78" s="711"/>
      <c r="V78" s="711"/>
      <c r="X78" s="694"/>
      <c r="Y78" s="694"/>
      <c r="Z78" s="694"/>
      <c r="AC78" s="688"/>
      <c r="AD78" s="688"/>
    </row>
    <row r="79" spans="1:30">
      <c r="A79" s="687"/>
      <c r="B79" s="687"/>
      <c r="C79" s="717"/>
      <c r="D79" s="717"/>
      <c r="E79" s="717"/>
      <c r="F79" s="738"/>
      <c r="G79" s="687"/>
      <c r="H79" s="687"/>
      <c r="J79" s="3" t="s">
        <v>1113</v>
      </c>
      <c r="K79" s="3" t="s">
        <v>805</v>
      </c>
      <c r="L79" s="3" t="s">
        <v>1112</v>
      </c>
      <c r="M79" s="3" t="s">
        <v>1111</v>
      </c>
      <c r="N79" s="3" t="s">
        <v>94</v>
      </c>
      <c r="O79" s="3" t="s">
        <v>94</v>
      </c>
      <c r="P79" s="3" t="s">
        <v>1110</v>
      </c>
      <c r="Q79" s="3" t="s">
        <v>1109</v>
      </c>
      <c r="U79" s="734"/>
      <c r="V79" s="734"/>
      <c r="Y79" s="688"/>
      <c r="Z79" s="688"/>
      <c r="AC79" s="688"/>
      <c r="AD79" s="688"/>
    </row>
    <row r="80" spans="1:30">
      <c r="A80" s="687"/>
      <c r="B80" s="687"/>
      <c r="C80" s="717"/>
      <c r="D80" s="725"/>
      <c r="E80" s="725"/>
      <c r="F80" s="687"/>
      <c r="G80" s="687"/>
      <c r="H80" s="687"/>
      <c r="J80" s="3">
        <v>55</v>
      </c>
      <c r="K80" s="694">
        <f t="shared" ref="K80:K90" si="15">$N$22</f>
        <v>81333.333333333328</v>
      </c>
      <c r="L80" s="848">
        <f t="shared" ref="L80:L90" si="16">MIN(1,1-(5%*(60-J80)))</f>
        <v>0.75</v>
      </c>
      <c r="M80" s="837">
        <f t="shared" ref="M80:M90" si="17">1.75%*K80*L80*$K$75</f>
        <v>12810</v>
      </c>
      <c r="N80" s="707">
        <f t="shared" ref="N80:N90" si="18">D141</f>
        <v>15.3</v>
      </c>
      <c r="O80" s="707">
        <f t="shared" ref="O80:O90" si="19">D118</f>
        <v>10</v>
      </c>
      <c r="P80" s="837">
        <f t="shared" ref="P80:P90" si="20">N80*M80</f>
        <v>195993</v>
      </c>
      <c r="Q80" s="837">
        <f t="shared" ref="Q80:Q90" si="21">M80*O80</f>
        <v>128100</v>
      </c>
      <c r="AC80" s="694"/>
      <c r="AD80" s="694"/>
    </row>
    <row r="81" spans="1:30">
      <c r="A81" s="687"/>
      <c r="B81" s="687"/>
      <c r="C81" s="731" t="s">
        <v>1014</v>
      </c>
      <c r="D81" s="730" t="s">
        <v>385</v>
      </c>
      <c r="E81" s="725"/>
      <c r="F81" s="687"/>
      <c r="G81" s="687"/>
      <c r="H81" s="687"/>
      <c r="J81" s="3">
        <f t="shared" ref="J81:J90" si="22">J80+1</f>
        <v>56</v>
      </c>
      <c r="K81" s="694">
        <f t="shared" si="15"/>
        <v>81333.333333333328</v>
      </c>
      <c r="L81" s="848">
        <f t="shared" si="16"/>
        <v>0.8</v>
      </c>
      <c r="M81" s="837">
        <f t="shared" si="17"/>
        <v>13664</v>
      </c>
      <c r="N81" s="707">
        <f t="shared" si="18"/>
        <v>14.7</v>
      </c>
      <c r="O81" s="707">
        <f t="shared" si="19"/>
        <v>9.4</v>
      </c>
      <c r="P81" s="837">
        <f t="shared" si="20"/>
        <v>200860.79999999999</v>
      </c>
      <c r="Q81" s="837">
        <f t="shared" si="21"/>
        <v>128441.60000000001</v>
      </c>
      <c r="AC81" s="694"/>
      <c r="AD81" s="694"/>
    </row>
    <row r="82" spans="1:30">
      <c r="A82" s="687"/>
      <c r="B82" s="687"/>
      <c r="C82" s="727" t="s">
        <v>252</v>
      </c>
      <c r="D82" s="733">
        <v>61</v>
      </c>
      <c r="E82" s="725"/>
      <c r="F82" s="687"/>
      <c r="G82" s="687"/>
      <c r="H82" s="687"/>
      <c r="J82" s="3">
        <f t="shared" si="22"/>
        <v>57</v>
      </c>
      <c r="K82" s="694">
        <f t="shared" si="15"/>
        <v>81333.333333333328</v>
      </c>
      <c r="L82" s="848">
        <f t="shared" si="16"/>
        <v>0.85</v>
      </c>
      <c r="M82" s="837">
        <f t="shared" si="17"/>
        <v>14518.000000000002</v>
      </c>
      <c r="N82" s="707">
        <f t="shared" si="18"/>
        <v>14</v>
      </c>
      <c r="O82" s="707">
        <f t="shared" si="19"/>
        <v>8.9</v>
      </c>
      <c r="P82" s="837">
        <f t="shared" si="20"/>
        <v>203252.00000000003</v>
      </c>
      <c r="Q82" s="837">
        <f t="shared" si="21"/>
        <v>129210.20000000003</v>
      </c>
      <c r="AC82" s="688"/>
      <c r="AD82" s="688"/>
    </row>
    <row r="83" spans="1:30">
      <c r="A83" s="687"/>
      <c r="B83" s="687"/>
      <c r="C83" s="735" t="s">
        <v>1013</v>
      </c>
      <c r="D83" s="733" t="s">
        <v>440</v>
      </c>
      <c r="E83" s="725"/>
      <c r="F83" s="687"/>
      <c r="G83" s="687"/>
      <c r="H83" s="687"/>
      <c r="J83" s="3">
        <f t="shared" si="22"/>
        <v>58</v>
      </c>
      <c r="K83" s="694">
        <f t="shared" si="15"/>
        <v>81333.333333333328</v>
      </c>
      <c r="L83" s="848">
        <f t="shared" si="16"/>
        <v>0.9</v>
      </c>
      <c r="M83" s="837">
        <f t="shared" si="17"/>
        <v>15372.000000000004</v>
      </c>
      <c r="N83" s="707">
        <f t="shared" si="18"/>
        <v>13.4</v>
      </c>
      <c r="O83" s="707">
        <f t="shared" si="19"/>
        <v>8.4</v>
      </c>
      <c r="P83" s="837">
        <f t="shared" si="20"/>
        <v>205984.80000000005</v>
      </c>
      <c r="Q83" s="837">
        <f t="shared" si="21"/>
        <v>129124.80000000003</v>
      </c>
      <c r="AC83" s="688"/>
      <c r="AD83" s="688"/>
    </row>
    <row r="84" spans="1:30">
      <c r="A84" s="687"/>
      <c r="B84" s="687"/>
      <c r="C84" s="727" t="s">
        <v>1012</v>
      </c>
      <c r="D84" s="733">
        <v>35</v>
      </c>
      <c r="E84" s="725"/>
      <c r="F84" s="687"/>
      <c r="G84" s="687"/>
      <c r="H84" s="687"/>
      <c r="J84" s="3">
        <f t="shared" si="22"/>
        <v>59</v>
      </c>
      <c r="K84" s="694">
        <f t="shared" si="15"/>
        <v>81333.333333333328</v>
      </c>
      <c r="L84" s="848">
        <f t="shared" si="16"/>
        <v>0.95</v>
      </c>
      <c r="M84" s="837">
        <f t="shared" si="17"/>
        <v>16226</v>
      </c>
      <c r="N84" s="707">
        <f t="shared" si="18"/>
        <v>12.8</v>
      </c>
      <c r="O84" s="707">
        <f t="shared" si="19"/>
        <v>7.9</v>
      </c>
      <c r="P84" s="837">
        <f t="shared" si="20"/>
        <v>207692.80000000002</v>
      </c>
      <c r="Q84" s="837">
        <f t="shared" si="21"/>
        <v>128185.40000000001</v>
      </c>
      <c r="X84" s="698"/>
    </row>
    <row r="85" spans="1:30">
      <c r="A85" s="687"/>
      <c r="B85" s="687"/>
      <c r="C85" s="727" t="s">
        <v>1011</v>
      </c>
      <c r="D85" s="733">
        <v>9</v>
      </c>
      <c r="E85" s="725"/>
      <c r="F85" s="687"/>
      <c r="G85" s="687"/>
      <c r="H85" s="687"/>
      <c r="J85" s="3">
        <f t="shared" si="22"/>
        <v>60</v>
      </c>
      <c r="K85" s="694">
        <f t="shared" si="15"/>
        <v>81333.333333333328</v>
      </c>
      <c r="L85" s="848">
        <f t="shared" si="16"/>
        <v>1</v>
      </c>
      <c r="M85" s="837">
        <f t="shared" si="17"/>
        <v>17080</v>
      </c>
      <c r="N85" s="707">
        <f t="shared" si="18"/>
        <v>12.2</v>
      </c>
      <c r="O85" s="707">
        <f t="shared" si="19"/>
        <v>7.4</v>
      </c>
      <c r="P85" s="837">
        <f t="shared" si="20"/>
        <v>208376</v>
      </c>
      <c r="Q85" s="837">
        <f t="shared" si="21"/>
        <v>126392</v>
      </c>
    </row>
    <row r="86" spans="1:30">
      <c r="A86" s="687"/>
      <c r="B86" s="687"/>
      <c r="C86" s="727" t="s">
        <v>1010</v>
      </c>
      <c r="D86" s="728">
        <v>21000</v>
      </c>
      <c r="E86" s="725"/>
      <c r="F86" s="687"/>
      <c r="G86" s="687"/>
      <c r="H86" s="687"/>
      <c r="J86" s="3">
        <f t="shared" si="22"/>
        <v>61</v>
      </c>
      <c r="K86" s="694">
        <f t="shared" si="15"/>
        <v>81333.333333333328</v>
      </c>
      <c r="L86" s="848">
        <f t="shared" si="16"/>
        <v>1</v>
      </c>
      <c r="M86" s="837">
        <f t="shared" si="17"/>
        <v>17080</v>
      </c>
      <c r="N86" s="707">
        <f t="shared" si="18"/>
        <v>11.6</v>
      </c>
      <c r="O86" s="707">
        <f t="shared" si="19"/>
        <v>7</v>
      </c>
      <c r="P86" s="837">
        <f t="shared" si="20"/>
        <v>198128</v>
      </c>
      <c r="Q86" s="837">
        <f t="shared" si="21"/>
        <v>119560</v>
      </c>
      <c r="R86" s="736"/>
      <c r="S86" s="708"/>
      <c r="T86" s="708"/>
      <c r="U86" s="711"/>
      <c r="V86" s="711"/>
      <c r="X86" s="694"/>
      <c r="Y86" s="694"/>
      <c r="Z86" s="694"/>
    </row>
    <row r="87" spans="1:30">
      <c r="A87" s="687"/>
      <c r="B87" s="687"/>
      <c r="C87" s="717"/>
      <c r="D87" s="725"/>
      <c r="E87" s="725"/>
      <c r="F87" s="687"/>
      <c r="G87" s="687"/>
      <c r="H87" s="687"/>
      <c r="J87" s="3">
        <f t="shared" si="22"/>
        <v>62</v>
      </c>
      <c r="K87" s="694">
        <f t="shared" si="15"/>
        <v>81333.333333333328</v>
      </c>
      <c r="L87" s="848">
        <f t="shared" si="16"/>
        <v>1</v>
      </c>
      <c r="M87" s="837">
        <f t="shared" si="17"/>
        <v>17080</v>
      </c>
      <c r="N87" s="707">
        <f t="shared" si="18"/>
        <v>11</v>
      </c>
      <c r="O87" s="707">
        <f t="shared" si="19"/>
        <v>6.6</v>
      </c>
      <c r="P87" s="837">
        <f t="shared" si="20"/>
        <v>187880</v>
      </c>
      <c r="Q87" s="837">
        <f t="shared" si="21"/>
        <v>112728</v>
      </c>
      <c r="R87" s="736"/>
      <c r="S87" s="708"/>
      <c r="T87" s="708"/>
      <c r="U87" s="711"/>
      <c r="V87" s="711"/>
      <c r="X87" s="694"/>
      <c r="Y87" s="694"/>
      <c r="Z87" s="694"/>
    </row>
    <row r="88" spans="1:30">
      <c r="A88" s="687"/>
      <c r="B88" s="687"/>
      <c r="C88" s="717"/>
      <c r="D88" s="725"/>
      <c r="E88" s="725"/>
      <c r="F88" s="687"/>
      <c r="G88" s="687"/>
      <c r="H88" s="687"/>
      <c r="J88" s="3">
        <f t="shared" si="22"/>
        <v>63</v>
      </c>
      <c r="K88" s="694">
        <f t="shared" si="15"/>
        <v>81333.333333333328</v>
      </c>
      <c r="L88" s="848">
        <f t="shared" si="16"/>
        <v>1</v>
      </c>
      <c r="M88" s="837">
        <f t="shared" si="17"/>
        <v>17080</v>
      </c>
      <c r="N88" s="707">
        <f t="shared" si="18"/>
        <v>10.5</v>
      </c>
      <c r="O88" s="707">
        <f t="shared" si="19"/>
        <v>6.2</v>
      </c>
      <c r="P88" s="837">
        <f t="shared" si="20"/>
        <v>179340</v>
      </c>
      <c r="Q88" s="837">
        <f t="shared" si="21"/>
        <v>105896</v>
      </c>
      <c r="R88" s="736"/>
      <c r="S88" s="708"/>
      <c r="T88" s="708"/>
      <c r="U88" s="711"/>
      <c r="V88" s="711"/>
      <c r="X88" s="694"/>
      <c r="Y88" s="694"/>
      <c r="Z88" s="694"/>
    </row>
    <row r="89" spans="1:30">
      <c r="A89" s="687"/>
      <c r="B89" s="687"/>
      <c r="C89" s="731" t="s">
        <v>1009</v>
      </c>
      <c r="D89" s="730" t="s">
        <v>384</v>
      </c>
      <c r="E89" s="725"/>
      <c r="F89" s="687"/>
      <c r="G89" s="687"/>
      <c r="H89" s="687"/>
      <c r="J89" s="3">
        <f t="shared" si="22"/>
        <v>64</v>
      </c>
      <c r="K89" s="694">
        <f t="shared" si="15"/>
        <v>81333.333333333328</v>
      </c>
      <c r="L89" s="848">
        <f t="shared" si="16"/>
        <v>1</v>
      </c>
      <c r="M89" s="837">
        <f t="shared" si="17"/>
        <v>17080</v>
      </c>
      <c r="N89" s="707">
        <f t="shared" si="18"/>
        <v>10</v>
      </c>
      <c r="O89" s="707">
        <f t="shared" si="19"/>
        <v>5.8</v>
      </c>
      <c r="P89" s="837">
        <f t="shared" si="20"/>
        <v>170800</v>
      </c>
      <c r="Q89" s="837">
        <f t="shared" si="21"/>
        <v>99064</v>
      </c>
      <c r="U89" s="734"/>
      <c r="V89" s="734"/>
      <c r="Y89" s="688"/>
      <c r="Z89" s="688"/>
    </row>
    <row r="90" spans="1:30" ht="16.2" thickBot="1">
      <c r="A90" s="687"/>
      <c r="B90" s="687"/>
      <c r="C90" s="727" t="s">
        <v>252</v>
      </c>
      <c r="D90" s="726">
        <v>75</v>
      </c>
      <c r="E90" s="725"/>
      <c r="F90" s="687"/>
      <c r="G90" s="687"/>
      <c r="H90" s="687"/>
      <c r="J90" s="3">
        <f t="shared" si="22"/>
        <v>65</v>
      </c>
      <c r="K90" s="694">
        <f t="shared" si="15"/>
        <v>81333.333333333328</v>
      </c>
      <c r="L90" s="848">
        <f t="shared" si="16"/>
        <v>1</v>
      </c>
      <c r="M90" s="837">
        <f t="shared" si="17"/>
        <v>17080</v>
      </c>
      <c r="N90" s="707">
        <f t="shared" si="18"/>
        <v>9.5</v>
      </c>
      <c r="O90" s="707">
        <f t="shared" si="19"/>
        <v>5.5</v>
      </c>
      <c r="P90" s="837">
        <f t="shared" si="20"/>
        <v>162260</v>
      </c>
      <c r="Q90" s="837">
        <f t="shared" si="21"/>
        <v>93940</v>
      </c>
    </row>
    <row r="91" spans="1:30" ht="16.2" thickBot="1">
      <c r="A91" s="687"/>
      <c r="B91" s="687"/>
      <c r="C91" s="727" t="s">
        <v>1008</v>
      </c>
      <c r="D91" s="726">
        <v>73</v>
      </c>
      <c r="E91" s="725"/>
      <c r="F91" s="657"/>
      <c r="G91" s="687"/>
      <c r="H91" s="687"/>
      <c r="J91" s="695"/>
      <c r="N91" s="695"/>
      <c r="O91" s="847" t="s">
        <v>1108</v>
      </c>
      <c r="P91" s="846">
        <f>MAX(P80:P90)</f>
        <v>208376</v>
      </c>
      <c r="Q91" s="845">
        <f>MAX(Q80:Q90)</f>
        <v>129210.20000000003</v>
      </c>
    </row>
    <row r="92" spans="1:30">
      <c r="A92" s="687"/>
      <c r="B92" s="687"/>
      <c r="C92" s="727" t="s">
        <v>1007</v>
      </c>
      <c r="D92" s="729">
        <v>43101</v>
      </c>
      <c r="E92" s="725"/>
      <c r="F92" s="687"/>
      <c r="G92" s="687"/>
      <c r="H92" s="687"/>
      <c r="J92" s="698" t="s">
        <v>1107</v>
      </c>
      <c r="O92" s="732"/>
    </row>
    <row r="93" spans="1:30">
      <c r="A93" s="687"/>
      <c r="B93" s="687"/>
      <c r="C93" s="727" t="s">
        <v>1006</v>
      </c>
      <c r="D93" s="728">
        <v>53000</v>
      </c>
      <c r="E93" s="725"/>
      <c r="F93" s="687"/>
      <c r="G93" s="687"/>
      <c r="H93" s="687"/>
      <c r="K93" s="844"/>
    </row>
    <row r="94" spans="1:30">
      <c r="A94" s="687"/>
      <c r="B94" s="687"/>
      <c r="C94" s="727" t="s">
        <v>1005</v>
      </c>
      <c r="D94" s="726" t="s">
        <v>431</v>
      </c>
      <c r="E94" s="725"/>
      <c r="F94" s="687"/>
      <c r="G94" s="687"/>
      <c r="H94" s="687"/>
      <c r="J94" s="61" t="s">
        <v>1106</v>
      </c>
      <c r="O94" s="724"/>
      <c r="R94" s="709"/>
    </row>
    <row r="95" spans="1:30">
      <c r="A95" s="687"/>
      <c r="B95" s="1847"/>
      <c r="C95" s="1847"/>
      <c r="D95" s="717"/>
      <c r="E95" s="717"/>
      <c r="F95" s="717"/>
      <c r="G95" s="717"/>
      <c r="H95" s="687"/>
      <c r="P95" s="694"/>
      <c r="R95" s="694"/>
    </row>
    <row r="96" spans="1:30">
      <c r="A96" s="687"/>
      <c r="B96" s="687"/>
      <c r="C96" s="723" t="s">
        <v>429</v>
      </c>
      <c r="D96" s="723"/>
      <c r="E96" s="717"/>
      <c r="F96" s="717"/>
      <c r="G96" s="717"/>
      <c r="H96" s="687"/>
      <c r="J96" s="3" t="s">
        <v>252</v>
      </c>
      <c r="K96" s="694" t="s">
        <v>320</v>
      </c>
      <c r="L96" s="3" t="s">
        <v>1105</v>
      </c>
      <c r="M96" s="3" t="s">
        <v>1104</v>
      </c>
      <c r="N96" s="3" t="s">
        <v>1103</v>
      </c>
      <c r="O96" s="3" t="s">
        <v>1102</v>
      </c>
      <c r="P96" s="3" t="s">
        <v>1101</v>
      </c>
    </row>
    <row r="97" spans="1:17 16384:16384">
      <c r="A97" s="687"/>
      <c r="B97" s="687"/>
      <c r="C97" s="717"/>
      <c r="D97" s="717"/>
      <c r="E97" s="717"/>
      <c r="F97" s="717"/>
      <c r="G97" s="717"/>
      <c r="H97" s="687"/>
      <c r="J97" s="698">
        <f>K54</f>
        <v>60</v>
      </c>
      <c r="K97" s="688">
        <v>7</v>
      </c>
      <c r="L97" s="688">
        <f t="shared" ref="L97:L102" si="23">$P$54</f>
        <v>11515.000000000002</v>
      </c>
      <c r="M97" s="707">
        <f t="shared" ref="M97:M102" si="24">D153</f>
        <v>19</v>
      </c>
      <c r="N97" s="704">
        <f t="shared" ref="N97:N102" si="25">D130</f>
        <v>15.5</v>
      </c>
      <c r="O97" s="837">
        <f>L97*$M$102/M97*M97</f>
        <v>170422</v>
      </c>
      <c r="P97" s="837">
        <f>L97*$N$102/N97*N97</f>
        <v>130119.50000000003</v>
      </c>
    </row>
    <row r="98" spans="1:17 16384:16384">
      <c r="A98" s="687"/>
      <c r="B98" s="687"/>
      <c r="C98" s="720" t="s">
        <v>1004</v>
      </c>
      <c r="D98" s="719"/>
      <c r="E98" s="718">
        <v>1888770</v>
      </c>
      <c r="F98" s="717"/>
      <c r="G98" s="717"/>
      <c r="H98" s="687"/>
      <c r="J98" s="3">
        <f t="shared" ref="J98:K102" si="26">J97+1</f>
        <v>61</v>
      </c>
      <c r="K98" s="3">
        <f t="shared" si="26"/>
        <v>8</v>
      </c>
      <c r="L98" s="688">
        <f t="shared" si="23"/>
        <v>11515.000000000002</v>
      </c>
      <c r="M98" s="707">
        <f t="shared" si="24"/>
        <v>18.100000000000001</v>
      </c>
      <c r="N98" s="704">
        <f t="shared" si="25"/>
        <v>14.6</v>
      </c>
      <c r="O98" s="837">
        <f>L98*$M$102/M98*M98</f>
        <v>170422.00000000003</v>
      </c>
      <c r="P98" s="837">
        <f>L98*$N$102/N98*N98</f>
        <v>130119.50000000004</v>
      </c>
    </row>
    <row r="99" spans="1:17 16384:16384">
      <c r="A99" s="687"/>
      <c r="B99" s="687"/>
      <c r="C99" s="717"/>
      <c r="D99" s="717"/>
      <c r="E99" s="717"/>
      <c r="F99" s="717"/>
      <c r="G99" s="717"/>
      <c r="H99" s="687"/>
      <c r="J99" s="3">
        <f t="shared" si="26"/>
        <v>62</v>
      </c>
      <c r="K99" s="3">
        <f t="shared" si="26"/>
        <v>9</v>
      </c>
      <c r="L99" s="688">
        <f t="shared" si="23"/>
        <v>11515.000000000002</v>
      </c>
      <c r="M99" s="707">
        <f t="shared" si="24"/>
        <v>17.2</v>
      </c>
      <c r="N99" s="704">
        <f t="shared" si="25"/>
        <v>13.7</v>
      </c>
      <c r="O99" s="837">
        <f>L99*$M$102/M99*M99</f>
        <v>170422.00000000003</v>
      </c>
      <c r="P99" s="837">
        <f>L99*$N$102/N99*N99</f>
        <v>130119.50000000004</v>
      </c>
    </row>
    <row r="100" spans="1:17 16384:16384">
      <c r="A100" s="687"/>
      <c r="B100" s="657"/>
      <c r="C100" s="658" t="s">
        <v>1003</v>
      </c>
      <c r="D100" s="665"/>
      <c r="E100" s="665"/>
      <c r="F100" s="658"/>
      <c r="G100" s="658"/>
      <c r="H100" s="657"/>
      <c r="J100" s="3">
        <f t="shared" si="26"/>
        <v>63</v>
      </c>
      <c r="K100" s="3">
        <f t="shared" si="26"/>
        <v>10</v>
      </c>
      <c r="L100" s="688">
        <f t="shared" si="23"/>
        <v>11515.000000000002</v>
      </c>
      <c r="M100" s="707">
        <f t="shared" si="24"/>
        <v>16.399999999999999</v>
      </c>
      <c r="N100" s="704">
        <f t="shared" si="25"/>
        <v>12.9</v>
      </c>
      <c r="O100" s="837">
        <f>L100*$M$102/M100*M100</f>
        <v>170422.00000000003</v>
      </c>
      <c r="P100" s="837">
        <f>L100*$N$102/N100*N100</f>
        <v>130119.50000000004</v>
      </c>
    </row>
    <row r="101" spans="1:17 16384:16384" ht="16.2" thickBot="1">
      <c r="A101" s="687"/>
      <c r="B101" s="657"/>
      <c r="C101" s="657"/>
      <c r="D101" s="657"/>
      <c r="E101" s="657"/>
      <c r="F101" s="657"/>
      <c r="G101" s="657"/>
      <c r="H101" s="657"/>
      <c r="J101" s="3">
        <f t="shared" si="26"/>
        <v>64</v>
      </c>
      <c r="K101" s="3">
        <f t="shared" si="26"/>
        <v>11</v>
      </c>
      <c r="L101" s="688">
        <f t="shared" si="23"/>
        <v>11515.000000000002</v>
      </c>
      <c r="M101" s="707">
        <f t="shared" si="24"/>
        <v>15.6</v>
      </c>
      <c r="N101" s="704">
        <f t="shared" si="25"/>
        <v>12.1</v>
      </c>
      <c r="O101" s="837">
        <f>L101*$M$102/M101*M101</f>
        <v>170422.00000000003</v>
      </c>
      <c r="P101" s="837">
        <f>L101*$N$102/N101*N101</f>
        <v>130119.50000000001</v>
      </c>
    </row>
    <row r="102" spans="1:17 16384:16384" ht="16.2" thickBot="1">
      <c r="A102" s="687"/>
      <c r="B102" s="659"/>
      <c r="C102" s="659" t="s">
        <v>1002</v>
      </c>
      <c r="D102" s="657"/>
      <c r="E102" s="657"/>
      <c r="F102" s="657"/>
      <c r="G102" s="657"/>
      <c r="H102" s="657"/>
      <c r="J102" s="3">
        <f t="shared" si="26"/>
        <v>65</v>
      </c>
      <c r="K102" s="3">
        <f t="shared" si="26"/>
        <v>12</v>
      </c>
      <c r="L102" s="688">
        <f t="shared" si="23"/>
        <v>11515.000000000002</v>
      </c>
      <c r="M102" s="707">
        <f t="shared" si="24"/>
        <v>14.8</v>
      </c>
      <c r="N102" s="843">
        <f t="shared" si="25"/>
        <v>11.3</v>
      </c>
      <c r="O102" s="842">
        <f>L102*M102</f>
        <v>170422.00000000003</v>
      </c>
      <c r="P102" s="841">
        <f>N102*L102</f>
        <v>130119.50000000003</v>
      </c>
      <c r="Q102" s="3" t="s">
        <v>1100</v>
      </c>
    </row>
    <row r="103" spans="1:17 16384:16384">
      <c r="A103" s="687"/>
      <c r="B103" s="659"/>
      <c r="C103" s="659"/>
      <c r="D103" s="657"/>
      <c r="E103" s="657"/>
      <c r="F103" s="657"/>
      <c r="G103" s="657"/>
      <c r="H103" s="657"/>
    </row>
    <row r="104" spans="1:17 16384:16384">
      <c r="A104" s="687"/>
      <c r="B104" s="659"/>
      <c r="C104" s="2"/>
      <c r="D104" s="716" t="s">
        <v>757</v>
      </c>
      <c r="E104" s="716" t="s">
        <v>1001</v>
      </c>
      <c r="F104" s="657"/>
      <c r="G104" s="657"/>
      <c r="H104" s="657"/>
    </row>
    <row r="105" spans="1:17 16384:16384" ht="18.600000000000001">
      <c r="A105" s="687"/>
      <c r="B105" s="659"/>
      <c r="C105" s="705" t="s">
        <v>978</v>
      </c>
      <c r="D105" s="707">
        <v>17</v>
      </c>
      <c r="E105" s="704">
        <v>13.6</v>
      </c>
      <c r="F105" s="657"/>
      <c r="G105" s="657"/>
      <c r="H105" s="657"/>
      <c r="K105" s="721"/>
    </row>
    <row r="106" spans="1:17 16384:16384" ht="18.600000000000001">
      <c r="A106" s="687"/>
      <c r="B106" s="659"/>
      <c r="C106" s="705" t="s">
        <v>1000</v>
      </c>
      <c r="D106" s="704">
        <v>16.600000000000001</v>
      </c>
      <c r="E106" s="704">
        <v>13.4</v>
      </c>
      <c r="F106" s="657"/>
      <c r="G106" s="657"/>
      <c r="H106" s="657"/>
    </row>
    <row r="107" spans="1:17 16384:16384" ht="18.600000000000001">
      <c r="A107" s="687"/>
      <c r="B107" s="659"/>
      <c r="C107" s="705" t="s">
        <v>999</v>
      </c>
      <c r="D107" s="707">
        <v>16.3</v>
      </c>
      <c r="E107" s="704">
        <v>13.1</v>
      </c>
      <c r="F107" s="657"/>
      <c r="G107" s="657"/>
      <c r="H107" s="657"/>
      <c r="XFD107" s="3">
        <f>XEY94</f>
        <v>0</v>
      </c>
    </row>
    <row r="108" spans="1:17 16384:16384" ht="18.600000000000001">
      <c r="A108" s="687"/>
      <c r="B108" s="659"/>
      <c r="C108" s="705" t="s">
        <v>998</v>
      </c>
      <c r="D108" s="704">
        <v>15.9</v>
      </c>
      <c r="E108" s="704">
        <v>12.9</v>
      </c>
      <c r="F108" s="657"/>
      <c r="G108" s="657"/>
      <c r="H108" s="657"/>
      <c r="K108" s="698"/>
      <c r="L108" s="698"/>
    </row>
    <row r="109" spans="1:17 16384:16384" ht="18.600000000000001">
      <c r="A109" s="687"/>
      <c r="B109" s="659"/>
      <c r="C109" s="705" t="s">
        <v>997</v>
      </c>
      <c r="D109" s="704">
        <v>15.6</v>
      </c>
      <c r="E109" s="704">
        <v>12.7</v>
      </c>
      <c r="F109" s="657"/>
      <c r="G109" s="657"/>
      <c r="H109" s="657"/>
      <c r="J109" s="695"/>
    </row>
    <row r="110" spans="1:17 16384:16384" ht="18.600000000000001">
      <c r="A110" s="687"/>
      <c r="B110" s="659"/>
      <c r="C110" s="705" t="s">
        <v>996</v>
      </c>
      <c r="D110" s="704">
        <v>15.2</v>
      </c>
      <c r="E110" s="704">
        <v>12.5</v>
      </c>
      <c r="F110" s="657"/>
      <c r="G110" s="657"/>
      <c r="H110" s="657"/>
      <c r="N110" s="694"/>
      <c r="O110" s="709"/>
      <c r="P110" s="693"/>
      <c r="Q110" s="693"/>
    </row>
    <row r="111" spans="1:17 16384:16384" ht="18">
      <c r="A111" s="687"/>
      <c r="B111" s="659"/>
      <c r="C111" s="705"/>
      <c r="D111" s="706"/>
      <c r="E111" s="706"/>
      <c r="F111" s="657"/>
      <c r="G111" s="657"/>
      <c r="H111" s="657"/>
    </row>
    <row r="112" spans="1:17 16384:16384" ht="18.600000000000001">
      <c r="A112" s="687"/>
      <c r="B112" s="659"/>
      <c r="C112" s="705" t="s">
        <v>995</v>
      </c>
      <c r="D112" s="704">
        <v>12.7</v>
      </c>
      <c r="E112" s="704">
        <v>10.8</v>
      </c>
      <c r="F112" s="657"/>
      <c r="G112" s="657"/>
      <c r="H112" s="657"/>
      <c r="N112" s="694"/>
      <c r="O112" s="714"/>
      <c r="P112" s="713"/>
      <c r="Q112" s="713"/>
    </row>
    <row r="113" spans="1:17">
      <c r="A113" s="687"/>
      <c r="B113" s="703"/>
      <c r="C113" s="702"/>
      <c r="D113" s="702"/>
      <c r="E113" s="702"/>
      <c r="F113" s="702"/>
      <c r="G113" s="702"/>
      <c r="H113" s="702"/>
      <c r="N113" s="694"/>
    </row>
    <row r="114" spans="1:17">
      <c r="A114" s="687"/>
      <c r="B114" s="703"/>
      <c r="C114" s="702"/>
      <c r="D114" s="702"/>
      <c r="E114" s="702"/>
      <c r="F114" s="702"/>
      <c r="G114" s="702"/>
      <c r="H114" s="702"/>
    </row>
    <row r="115" spans="1:17">
      <c r="A115" s="687"/>
      <c r="B115" s="703"/>
      <c r="C115" s="659" t="s">
        <v>994</v>
      </c>
      <c r="D115" s="2"/>
      <c r="E115" s="2"/>
      <c r="F115" s="702"/>
      <c r="G115" s="702"/>
      <c r="H115" s="702"/>
    </row>
    <row r="116" spans="1:17">
      <c r="A116" s="687"/>
      <c r="B116" s="703"/>
      <c r="C116" s="2"/>
      <c r="D116" s="2"/>
      <c r="E116" s="2"/>
      <c r="F116" s="702"/>
      <c r="G116" s="702"/>
      <c r="H116" s="702"/>
    </row>
    <row r="117" spans="1:17">
      <c r="A117" s="687"/>
      <c r="B117" s="703"/>
      <c r="C117" s="2"/>
      <c r="D117" s="710" t="s">
        <v>992</v>
      </c>
      <c r="E117" s="710" t="s">
        <v>991</v>
      </c>
      <c r="F117" s="665"/>
      <c r="G117" s="702"/>
      <c r="H117" s="702"/>
      <c r="M117" s="711"/>
      <c r="N117" s="708"/>
      <c r="O117" s="708"/>
      <c r="P117" s="711"/>
      <c r="Q117" s="711"/>
    </row>
    <row r="118" spans="1:17" ht="18">
      <c r="A118" s="687"/>
      <c r="B118" s="703"/>
      <c r="C118" s="705" t="s">
        <v>990</v>
      </c>
      <c r="D118" s="707">
        <v>10</v>
      </c>
      <c r="E118" s="706"/>
      <c r="F118" s="702"/>
      <c r="G118" s="702"/>
      <c r="H118" s="702"/>
      <c r="M118" s="711"/>
      <c r="N118" s="708"/>
      <c r="O118" s="708"/>
      <c r="P118" s="711"/>
      <c r="Q118" s="711"/>
    </row>
    <row r="119" spans="1:17" ht="18">
      <c r="A119" s="687"/>
      <c r="B119" s="703"/>
      <c r="C119" s="705" t="s">
        <v>989</v>
      </c>
      <c r="D119" s="707">
        <v>9.4</v>
      </c>
      <c r="E119" s="706"/>
      <c r="F119" s="702"/>
      <c r="G119" s="702"/>
      <c r="H119" s="702"/>
      <c r="M119" s="711"/>
      <c r="N119" s="708"/>
      <c r="O119" s="708"/>
      <c r="P119" s="711"/>
      <c r="Q119" s="711"/>
    </row>
    <row r="120" spans="1:17" ht="18">
      <c r="A120" s="687"/>
      <c r="B120" s="703"/>
      <c r="C120" s="705" t="s">
        <v>988</v>
      </c>
      <c r="D120" s="707">
        <v>8.9</v>
      </c>
      <c r="E120" s="706"/>
      <c r="F120" s="702"/>
      <c r="G120" s="702"/>
      <c r="H120" s="702"/>
      <c r="M120" s="711"/>
      <c r="N120" s="708"/>
      <c r="O120" s="708"/>
      <c r="P120" s="711"/>
      <c r="Q120" s="711"/>
    </row>
    <row r="121" spans="1:17" ht="18">
      <c r="A121" s="687"/>
      <c r="B121" s="703"/>
      <c r="C121" s="705" t="s">
        <v>987</v>
      </c>
      <c r="D121" s="707">
        <v>8.4</v>
      </c>
      <c r="E121" s="706"/>
      <c r="F121" s="702"/>
      <c r="G121" s="702"/>
      <c r="H121" s="702"/>
      <c r="M121" s="711"/>
      <c r="N121" s="708"/>
      <c r="O121" s="708"/>
      <c r="P121" s="711"/>
      <c r="Q121" s="711"/>
    </row>
    <row r="122" spans="1:17" ht="18">
      <c r="A122" s="687"/>
      <c r="B122" s="703"/>
      <c r="C122" s="705" t="s">
        <v>986</v>
      </c>
      <c r="D122" s="707">
        <v>7.9</v>
      </c>
      <c r="E122" s="706"/>
      <c r="F122" s="702"/>
      <c r="G122" s="702"/>
      <c r="H122" s="702"/>
      <c r="M122" s="711"/>
      <c r="N122" s="708"/>
      <c r="O122" s="708"/>
      <c r="P122" s="711"/>
      <c r="Q122" s="711"/>
    </row>
    <row r="123" spans="1:17" ht="18">
      <c r="A123" s="687"/>
      <c r="B123" s="703"/>
      <c r="C123" s="705" t="s">
        <v>985</v>
      </c>
      <c r="D123" s="707">
        <v>7.4</v>
      </c>
      <c r="E123" s="706"/>
      <c r="F123" s="702"/>
      <c r="G123" s="702"/>
      <c r="H123" s="702"/>
      <c r="M123" s="711"/>
      <c r="N123" s="711"/>
      <c r="O123" s="711"/>
      <c r="P123" s="711"/>
      <c r="Q123" s="711"/>
    </row>
    <row r="124" spans="1:17" ht="18">
      <c r="A124" s="687"/>
      <c r="B124" s="703"/>
      <c r="C124" s="705" t="s">
        <v>984</v>
      </c>
      <c r="D124" s="707">
        <v>7</v>
      </c>
      <c r="E124" s="706"/>
      <c r="F124" s="702"/>
      <c r="G124" s="702"/>
      <c r="H124" s="702"/>
      <c r="M124" s="701"/>
      <c r="N124" s="711"/>
      <c r="O124" s="711"/>
      <c r="P124" s="711"/>
      <c r="Q124" s="711"/>
    </row>
    <row r="125" spans="1:17" ht="18">
      <c r="A125" s="687"/>
      <c r="B125" s="703"/>
      <c r="C125" s="705" t="s">
        <v>983</v>
      </c>
      <c r="D125" s="707">
        <v>6.6</v>
      </c>
      <c r="E125" s="706"/>
      <c r="F125" s="702"/>
      <c r="G125" s="702"/>
      <c r="H125" s="702"/>
      <c r="M125" s="701"/>
      <c r="N125" s="711"/>
      <c r="O125" s="711"/>
      <c r="P125" s="711"/>
      <c r="Q125" s="711"/>
    </row>
    <row r="126" spans="1:17" ht="18">
      <c r="A126" s="687"/>
      <c r="B126" s="703"/>
      <c r="C126" s="705" t="s">
        <v>982</v>
      </c>
      <c r="D126" s="707">
        <v>6.2</v>
      </c>
      <c r="E126" s="706"/>
      <c r="F126" s="702"/>
      <c r="G126" s="702"/>
      <c r="H126" s="702"/>
      <c r="M126" s="701"/>
      <c r="N126" s="711"/>
      <c r="O126" s="711"/>
      <c r="P126" s="711"/>
      <c r="Q126" s="711"/>
    </row>
    <row r="127" spans="1:17" ht="18">
      <c r="A127" s="687"/>
      <c r="B127" s="703"/>
      <c r="C127" s="705" t="s">
        <v>981</v>
      </c>
      <c r="D127" s="707">
        <v>5.8</v>
      </c>
      <c r="E127" s="706"/>
      <c r="F127" s="702"/>
      <c r="G127" s="702"/>
      <c r="H127" s="702"/>
      <c r="M127" s="701"/>
      <c r="N127" s="711"/>
      <c r="O127" s="711"/>
      <c r="P127" s="711"/>
      <c r="Q127" s="711"/>
    </row>
    <row r="128" spans="1:17" ht="18">
      <c r="A128" s="687"/>
      <c r="B128" s="703"/>
      <c r="C128" s="705" t="s">
        <v>980</v>
      </c>
      <c r="D128" s="707">
        <v>5.5</v>
      </c>
      <c r="E128" s="706"/>
      <c r="F128" s="702"/>
      <c r="G128" s="702"/>
      <c r="H128" s="702"/>
      <c r="M128" s="701"/>
      <c r="N128" s="711"/>
      <c r="O128" s="711"/>
      <c r="P128" s="711"/>
      <c r="Q128" s="711"/>
    </row>
    <row r="129" spans="1:17" ht="18">
      <c r="A129" s="687"/>
      <c r="B129" s="703"/>
      <c r="C129" s="705" t="s">
        <v>979</v>
      </c>
      <c r="D129" s="707">
        <v>11.9</v>
      </c>
      <c r="E129" s="706"/>
      <c r="F129" s="702"/>
      <c r="G129" s="702"/>
      <c r="H129" s="702"/>
      <c r="M129" s="724"/>
      <c r="N129" s="711"/>
      <c r="O129" s="711"/>
      <c r="P129" s="711"/>
      <c r="Q129" s="711"/>
    </row>
    <row r="130" spans="1:17" ht="18.600000000000001">
      <c r="A130" s="687"/>
      <c r="B130" s="703"/>
      <c r="C130" s="705" t="s">
        <v>978</v>
      </c>
      <c r="D130" s="704">
        <v>15.5</v>
      </c>
      <c r="E130" s="706"/>
      <c r="F130" s="702"/>
      <c r="G130" s="702"/>
      <c r="H130" s="702"/>
      <c r="M130" s="724"/>
      <c r="N130" s="711"/>
      <c r="O130" s="711"/>
      <c r="P130" s="711"/>
      <c r="Q130" s="711"/>
    </row>
    <row r="131" spans="1:17" ht="18">
      <c r="A131" s="687"/>
      <c r="B131" s="703"/>
      <c r="C131" s="705" t="s">
        <v>977</v>
      </c>
      <c r="D131" s="704">
        <v>14.6</v>
      </c>
      <c r="E131" s="706"/>
      <c r="F131" s="702"/>
      <c r="G131" s="702"/>
      <c r="H131" s="702"/>
      <c r="M131" s="724"/>
      <c r="N131" s="711"/>
      <c r="O131" s="711"/>
      <c r="P131" s="711"/>
      <c r="Q131" s="711"/>
    </row>
    <row r="132" spans="1:17" ht="18">
      <c r="A132" s="687"/>
      <c r="B132" s="703"/>
      <c r="C132" s="705" t="s">
        <v>976</v>
      </c>
      <c r="D132" s="704">
        <v>13.7</v>
      </c>
      <c r="E132" s="706"/>
      <c r="F132" s="702"/>
      <c r="G132" s="702"/>
      <c r="H132" s="702"/>
      <c r="M132" s="724"/>
      <c r="N132" s="711"/>
      <c r="O132" s="711"/>
      <c r="P132" s="711"/>
      <c r="Q132" s="711"/>
    </row>
    <row r="133" spans="1:17" ht="18">
      <c r="A133" s="687"/>
      <c r="B133" s="703"/>
      <c r="C133" s="705" t="s">
        <v>975</v>
      </c>
      <c r="D133" s="704">
        <v>12.9</v>
      </c>
      <c r="E133" s="706"/>
      <c r="F133" s="702"/>
      <c r="G133" s="702"/>
      <c r="H133" s="702"/>
      <c r="M133" s="724"/>
      <c r="N133" s="711"/>
      <c r="O133" s="711"/>
      <c r="P133" s="711"/>
      <c r="Q133" s="711"/>
    </row>
    <row r="134" spans="1:17" ht="18">
      <c r="A134" s="687"/>
      <c r="B134" s="703"/>
      <c r="C134" s="705" t="s">
        <v>974</v>
      </c>
      <c r="D134" s="704">
        <v>12.1</v>
      </c>
      <c r="E134" s="706"/>
      <c r="F134" s="702"/>
      <c r="G134" s="702"/>
      <c r="H134" s="702"/>
      <c r="M134" s="724"/>
      <c r="N134" s="711"/>
      <c r="O134" s="711"/>
      <c r="P134" s="711"/>
      <c r="Q134" s="711"/>
    </row>
    <row r="135" spans="1:17" ht="18">
      <c r="A135" s="687"/>
      <c r="B135" s="703"/>
      <c r="C135" s="705" t="s">
        <v>973</v>
      </c>
      <c r="D135" s="704">
        <v>11.3</v>
      </c>
      <c r="E135" s="706"/>
      <c r="F135" s="702"/>
      <c r="G135" s="702"/>
      <c r="H135" s="702"/>
    </row>
    <row r="136" spans="1:17" ht="18.600000000000001">
      <c r="A136" s="687"/>
      <c r="B136" s="703"/>
      <c r="C136" s="705" t="s">
        <v>972</v>
      </c>
      <c r="D136" s="704"/>
      <c r="E136" s="704">
        <v>11.8</v>
      </c>
      <c r="F136" s="702"/>
      <c r="G136" s="702"/>
      <c r="H136" s="702"/>
    </row>
    <row r="137" spans="1:17">
      <c r="A137" s="687"/>
      <c r="B137" s="703"/>
      <c r="C137" s="702"/>
      <c r="D137" s="702"/>
      <c r="E137" s="702"/>
      <c r="F137" s="702"/>
      <c r="G137" s="702"/>
      <c r="H137" s="702"/>
      <c r="M137" s="693"/>
      <c r="N137" s="693"/>
    </row>
    <row r="138" spans="1:17">
      <c r="A138" s="687"/>
      <c r="B138" s="703"/>
      <c r="C138" s="659" t="s">
        <v>993</v>
      </c>
      <c r="D138" s="2"/>
      <c r="E138" s="2"/>
      <c r="F138" s="702"/>
      <c r="G138" s="702"/>
      <c r="H138" s="702"/>
      <c r="K138" s="694"/>
      <c r="L138" s="712"/>
      <c r="M138" s="711"/>
      <c r="N138" s="711"/>
      <c r="O138" s="708"/>
      <c r="P138" s="711"/>
      <c r="Q138" s="711"/>
    </row>
    <row r="139" spans="1:17">
      <c r="A139" s="687"/>
      <c r="B139" s="703"/>
      <c r="C139" s="2"/>
      <c r="D139" s="2"/>
      <c r="E139" s="2"/>
      <c r="F139" s="702"/>
      <c r="G139" s="702"/>
      <c r="H139" s="702"/>
      <c r="K139" s="694"/>
      <c r="L139" s="712"/>
      <c r="M139" s="711"/>
      <c r="N139" s="840"/>
      <c r="O139" s="708"/>
      <c r="P139" s="711"/>
      <c r="Q139" s="711"/>
    </row>
    <row r="140" spans="1:17">
      <c r="A140" s="687"/>
      <c r="B140" s="703"/>
      <c r="C140" s="2"/>
      <c r="D140" s="710" t="s">
        <v>992</v>
      </c>
      <c r="E140" s="710" t="s">
        <v>991</v>
      </c>
      <c r="F140" s="665"/>
      <c r="G140" s="702"/>
      <c r="H140" s="702"/>
      <c r="K140" s="694"/>
      <c r="L140" s="712"/>
      <c r="M140" s="711"/>
      <c r="N140" s="708"/>
      <c r="O140" s="708"/>
      <c r="P140" s="711"/>
      <c r="Q140" s="711"/>
    </row>
    <row r="141" spans="1:17" ht="18">
      <c r="A141" s="687"/>
      <c r="B141" s="703"/>
      <c r="C141" s="705" t="s">
        <v>990</v>
      </c>
      <c r="D141" s="707">
        <v>15.3</v>
      </c>
      <c r="E141" s="706"/>
      <c r="F141" s="702"/>
      <c r="G141" s="702"/>
      <c r="H141" s="702"/>
      <c r="J141" s="711"/>
      <c r="N141" s="708"/>
      <c r="O141" s="708"/>
      <c r="P141" s="711"/>
      <c r="Q141" s="711"/>
    </row>
    <row r="142" spans="1:17" ht="18">
      <c r="A142" s="687"/>
      <c r="B142" s="703"/>
      <c r="C142" s="705" t="s">
        <v>989</v>
      </c>
      <c r="D142" s="707">
        <v>14.7</v>
      </c>
      <c r="E142" s="706"/>
      <c r="F142" s="702"/>
      <c r="G142" s="702"/>
      <c r="H142" s="702"/>
      <c r="J142" s="711"/>
      <c r="N142" s="708"/>
      <c r="O142" s="708"/>
      <c r="P142" s="711"/>
      <c r="Q142" s="711"/>
    </row>
    <row r="143" spans="1:17" ht="18">
      <c r="A143" s="687"/>
      <c r="B143" s="703"/>
      <c r="C143" s="705" t="s">
        <v>988</v>
      </c>
      <c r="D143" s="707">
        <v>14</v>
      </c>
      <c r="E143" s="706"/>
      <c r="F143" s="702"/>
      <c r="G143" s="702"/>
      <c r="H143" s="702"/>
      <c r="J143" s="711"/>
      <c r="N143" s="708"/>
      <c r="O143" s="708"/>
      <c r="P143" s="711"/>
      <c r="Q143" s="711"/>
    </row>
    <row r="144" spans="1:17" ht="18">
      <c r="A144" s="687"/>
      <c r="B144" s="703"/>
      <c r="C144" s="705" t="s">
        <v>987</v>
      </c>
      <c r="D144" s="707">
        <v>13.4</v>
      </c>
      <c r="E144" s="706"/>
      <c r="F144" s="702"/>
      <c r="G144" s="702"/>
      <c r="H144" s="702"/>
      <c r="J144" s="711"/>
      <c r="N144" s="708"/>
      <c r="O144" s="708"/>
      <c r="P144" s="711"/>
      <c r="Q144" s="711"/>
    </row>
    <row r="145" spans="1:20" ht="18">
      <c r="A145" s="687"/>
      <c r="B145" s="703"/>
      <c r="C145" s="705" t="s">
        <v>986</v>
      </c>
      <c r="D145" s="707">
        <v>12.8</v>
      </c>
      <c r="E145" s="706"/>
      <c r="F145" s="702"/>
      <c r="G145" s="702"/>
      <c r="H145" s="702"/>
      <c r="J145" s="711"/>
      <c r="N145" s="708"/>
      <c r="O145" s="708"/>
      <c r="P145" s="711"/>
      <c r="Q145" s="711"/>
    </row>
    <row r="146" spans="1:20" ht="18">
      <c r="A146" s="687"/>
      <c r="B146" s="703"/>
      <c r="C146" s="705" t="s">
        <v>985</v>
      </c>
      <c r="D146" s="707">
        <v>12.2</v>
      </c>
      <c r="E146" s="706"/>
      <c r="F146" s="702"/>
      <c r="G146" s="702"/>
      <c r="H146" s="702"/>
      <c r="J146" s="711"/>
      <c r="O146" s="695"/>
    </row>
    <row r="147" spans="1:20" ht="18">
      <c r="A147" s="687"/>
      <c r="B147" s="703"/>
      <c r="C147" s="705" t="s">
        <v>984</v>
      </c>
      <c r="D147" s="707">
        <v>11.6</v>
      </c>
      <c r="E147" s="706"/>
      <c r="F147" s="702"/>
      <c r="G147" s="702"/>
      <c r="H147" s="702"/>
      <c r="J147" s="711"/>
    </row>
    <row r="148" spans="1:20" ht="18">
      <c r="A148" s="687"/>
      <c r="B148" s="703"/>
      <c r="C148" s="705" t="s">
        <v>983</v>
      </c>
      <c r="D148" s="707">
        <v>11</v>
      </c>
      <c r="E148" s="706"/>
      <c r="F148" s="702"/>
      <c r="G148" s="702"/>
      <c r="H148" s="702"/>
    </row>
    <row r="149" spans="1:20" ht="18">
      <c r="A149" s="687"/>
      <c r="B149" s="703"/>
      <c r="C149" s="705" t="s">
        <v>982</v>
      </c>
      <c r="D149" s="707">
        <v>10.5</v>
      </c>
      <c r="E149" s="706"/>
      <c r="F149" s="702"/>
      <c r="G149" s="702"/>
      <c r="H149" s="702"/>
      <c r="T149" s="709"/>
    </row>
    <row r="150" spans="1:20" ht="18">
      <c r="A150" s="687"/>
      <c r="B150" s="703"/>
      <c r="C150" s="705" t="s">
        <v>981</v>
      </c>
      <c r="D150" s="707">
        <v>10</v>
      </c>
      <c r="E150" s="706"/>
      <c r="F150" s="702"/>
      <c r="G150" s="702"/>
      <c r="H150" s="702"/>
      <c r="P150" s="694"/>
      <c r="Q150" s="694"/>
      <c r="T150" s="694"/>
    </row>
    <row r="151" spans="1:20" ht="18">
      <c r="A151" s="687"/>
      <c r="B151" s="703"/>
      <c r="C151" s="705" t="s">
        <v>980</v>
      </c>
      <c r="D151" s="707">
        <v>9.5</v>
      </c>
      <c r="E151" s="706"/>
      <c r="F151" s="702"/>
      <c r="G151" s="702"/>
      <c r="H151" s="702"/>
      <c r="M151" s="709"/>
      <c r="N151" s="816"/>
    </row>
    <row r="152" spans="1:20" ht="18">
      <c r="A152" s="687"/>
      <c r="B152" s="703"/>
      <c r="C152" s="705" t="s">
        <v>979</v>
      </c>
      <c r="D152" s="707">
        <v>15.4</v>
      </c>
      <c r="E152" s="706"/>
      <c r="F152" s="702"/>
      <c r="G152" s="702"/>
      <c r="H152" s="702"/>
      <c r="J152" s="694"/>
      <c r="M152" s="694"/>
      <c r="N152" s="688"/>
      <c r="P152" s="688"/>
      <c r="Q152" s="688"/>
      <c r="T152" s="688"/>
    </row>
    <row r="153" spans="1:20" ht="18.600000000000001">
      <c r="A153" s="687"/>
      <c r="B153" s="703"/>
      <c r="C153" s="705" t="s">
        <v>978</v>
      </c>
      <c r="D153" s="707">
        <v>19</v>
      </c>
      <c r="E153" s="706"/>
      <c r="F153" s="702"/>
      <c r="G153" s="702"/>
      <c r="H153" s="702"/>
    </row>
    <row r="154" spans="1:20" ht="18">
      <c r="A154" s="687"/>
      <c r="B154" s="703"/>
      <c r="C154" s="705" t="s">
        <v>977</v>
      </c>
      <c r="D154" s="704">
        <v>18.100000000000001</v>
      </c>
      <c r="E154" s="706"/>
      <c r="F154" s="702"/>
      <c r="G154" s="702"/>
      <c r="H154" s="702"/>
      <c r="J154" s="688"/>
      <c r="M154" s="688"/>
      <c r="N154" s="694"/>
    </row>
    <row r="155" spans="1:20" ht="18">
      <c r="A155" s="687"/>
      <c r="B155" s="703"/>
      <c r="C155" s="705" t="s">
        <v>976</v>
      </c>
      <c r="D155" s="704">
        <v>17.2</v>
      </c>
      <c r="E155" s="706"/>
      <c r="F155" s="702"/>
      <c r="G155" s="702"/>
      <c r="H155" s="702"/>
    </row>
    <row r="156" spans="1:20" ht="18">
      <c r="A156" s="687"/>
      <c r="B156" s="703"/>
      <c r="C156" s="705" t="s">
        <v>975</v>
      </c>
      <c r="D156" s="704">
        <v>16.399999999999999</v>
      </c>
      <c r="E156" s="706"/>
      <c r="F156" s="702"/>
      <c r="G156" s="702"/>
      <c r="H156" s="702"/>
    </row>
    <row r="157" spans="1:20" ht="18">
      <c r="A157" s="687"/>
      <c r="B157" s="703"/>
      <c r="C157" s="705" t="s">
        <v>974</v>
      </c>
      <c r="D157" s="704">
        <v>15.6</v>
      </c>
      <c r="E157" s="706"/>
      <c r="F157" s="702"/>
      <c r="G157" s="702"/>
      <c r="H157" s="702"/>
      <c r="N157" s="694"/>
    </row>
    <row r="158" spans="1:20" ht="18">
      <c r="A158" s="687"/>
      <c r="B158" s="703"/>
      <c r="C158" s="705" t="s">
        <v>973</v>
      </c>
      <c r="D158" s="704">
        <v>14.8</v>
      </c>
      <c r="E158" s="706"/>
      <c r="F158" s="702"/>
      <c r="G158" s="702"/>
      <c r="H158" s="702"/>
      <c r="N158" s="694"/>
    </row>
    <row r="159" spans="1:20" ht="18.600000000000001">
      <c r="A159" s="687"/>
      <c r="B159" s="703"/>
      <c r="C159" s="705" t="s">
        <v>972</v>
      </c>
      <c r="D159" s="704"/>
      <c r="E159" s="704">
        <v>15.6</v>
      </c>
      <c r="F159" s="702"/>
      <c r="G159" s="702"/>
      <c r="H159" s="702"/>
      <c r="N159" s="694"/>
    </row>
    <row r="160" spans="1:20">
      <c r="A160" s="687"/>
      <c r="B160" s="703"/>
      <c r="C160" s="702"/>
      <c r="D160" s="702"/>
      <c r="E160" s="702"/>
      <c r="F160" s="702"/>
      <c r="G160" s="702"/>
      <c r="H160" s="702"/>
    </row>
    <row r="161" spans="1:15">
      <c r="A161" s="687"/>
      <c r="B161" s="657"/>
      <c r="C161" s="657"/>
      <c r="D161" s="657"/>
      <c r="E161" s="657"/>
      <c r="F161" s="657"/>
      <c r="G161" s="657"/>
      <c r="H161" s="657"/>
    </row>
    <row r="162" spans="1:15">
      <c r="A162" s="679" t="s">
        <v>26</v>
      </c>
      <c r="B162" s="678" t="s">
        <v>202</v>
      </c>
      <c r="C162" s="663" t="s">
        <v>971</v>
      </c>
      <c r="D162" s="657"/>
      <c r="E162" s="657"/>
      <c r="F162" s="657"/>
      <c r="G162" s="657"/>
      <c r="H162" s="657"/>
    </row>
    <row r="163" spans="1:15">
      <c r="A163" s="679"/>
      <c r="B163" s="678"/>
      <c r="C163" s="670"/>
      <c r="D163" s="657"/>
      <c r="E163" s="657"/>
      <c r="F163" s="657"/>
      <c r="G163" s="657"/>
      <c r="H163" s="657"/>
      <c r="N163" s="816"/>
    </row>
    <row r="164" spans="1:15">
      <c r="A164" s="679"/>
      <c r="B164" s="678"/>
      <c r="C164" s="221" t="s">
        <v>399</v>
      </c>
      <c r="D164" s="149"/>
      <c r="E164" s="149"/>
      <c r="F164" s="149"/>
      <c r="G164" s="148"/>
      <c r="H164" s="657"/>
    </row>
    <row r="165" spans="1:15">
      <c r="A165" s="687"/>
      <c r="B165" s="673"/>
      <c r="C165" s="657"/>
      <c r="D165" s="657"/>
      <c r="E165" s="657"/>
      <c r="F165" s="657"/>
      <c r="G165" s="657"/>
      <c r="H165" s="657"/>
    </row>
    <row r="166" spans="1:15">
      <c r="A166" s="687"/>
      <c r="B166" s="673"/>
      <c r="C166" s="670" t="s">
        <v>947</v>
      </c>
      <c r="D166" s="657"/>
      <c r="E166" s="668">
        <f>E98</f>
        <v>1888770</v>
      </c>
      <c r="F166" s="657"/>
      <c r="G166" s="657"/>
      <c r="H166" s="657"/>
    </row>
    <row r="167" spans="1:15">
      <c r="A167" s="687"/>
      <c r="B167" s="673"/>
      <c r="C167" s="663"/>
      <c r="D167" s="657"/>
      <c r="E167" s="657"/>
      <c r="F167" s="657"/>
      <c r="G167" s="657"/>
      <c r="H167" s="657"/>
    </row>
    <row r="168" spans="1:15">
      <c r="A168" s="687"/>
      <c r="B168" s="673"/>
      <c r="C168" s="670" t="s">
        <v>970</v>
      </c>
      <c r="D168" s="657"/>
      <c r="E168" s="657"/>
      <c r="F168" s="657"/>
      <c r="G168" s="657"/>
      <c r="H168" s="657"/>
      <c r="J168" s="3" t="s">
        <v>348</v>
      </c>
    </row>
    <row r="169" spans="1:15">
      <c r="A169" s="687"/>
      <c r="B169" s="673"/>
      <c r="C169" s="663" t="s">
        <v>966</v>
      </c>
      <c r="D169" s="657"/>
      <c r="E169" s="668">
        <f>SUM(K9:K10)</f>
        <v>348351.23738871957</v>
      </c>
      <c r="F169" s="657"/>
      <c r="G169" s="657"/>
      <c r="H169" s="657"/>
      <c r="J169" s="3" t="s">
        <v>1099</v>
      </c>
    </row>
    <row r="170" spans="1:15">
      <c r="A170" s="687"/>
      <c r="B170" s="673"/>
      <c r="C170" s="663" t="s">
        <v>965</v>
      </c>
      <c r="D170" s="657"/>
      <c r="E170" s="668">
        <f>K11</f>
        <v>262606.62995356868</v>
      </c>
      <c r="F170" s="657"/>
      <c r="G170" s="657"/>
      <c r="H170" s="657"/>
      <c r="J170" s="3">
        <v>1</v>
      </c>
      <c r="K170" s="701">
        <f>E47</f>
        <v>0.05</v>
      </c>
      <c r="L170" s="698"/>
    </row>
    <row r="171" spans="1:15">
      <c r="A171" s="687"/>
      <c r="B171" s="673"/>
      <c r="C171" s="663" t="s">
        <v>964</v>
      </c>
      <c r="D171" s="657"/>
      <c r="E171" s="668">
        <f>K12</f>
        <v>673100</v>
      </c>
      <c r="F171" s="657"/>
      <c r="G171" s="657"/>
      <c r="H171" s="657"/>
      <c r="J171" s="3">
        <v>2</v>
      </c>
      <c r="K171" s="701">
        <f>E48</f>
        <v>0.06</v>
      </c>
      <c r="M171" s="701"/>
      <c r="O171" s="701"/>
    </row>
    <row r="172" spans="1:15">
      <c r="A172" s="687"/>
      <c r="B172" s="673"/>
      <c r="C172" s="663" t="s">
        <v>349</v>
      </c>
      <c r="D172" s="657"/>
      <c r="E172" s="676">
        <f>SUM(E169:E171)</f>
        <v>1284057.8673422881</v>
      </c>
      <c r="F172" s="657"/>
      <c r="G172" s="657"/>
      <c r="H172" s="657"/>
      <c r="J172" s="3">
        <v>3</v>
      </c>
      <c r="K172" s="3">
        <f>MAX(0,5%-E49)</f>
        <v>0</v>
      </c>
    </row>
    <row r="173" spans="1:15">
      <c r="A173" s="687"/>
      <c r="B173" s="673"/>
      <c r="C173" s="663" t="s">
        <v>348</v>
      </c>
      <c r="D173" s="657"/>
      <c r="E173" s="668">
        <f>K173*L13</f>
        <v>117973.56424228878</v>
      </c>
      <c r="F173" s="657"/>
      <c r="G173" s="657"/>
      <c r="H173" s="657"/>
      <c r="J173" s="3" t="s">
        <v>348</v>
      </c>
      <c r="K173" s="701">
        <f>SUM(K170:K172)</f>
        <v>0.11</v>
      </c>
      <c r="M173" s="693"/>
      <c r="N173" s="693"/>
      <c r="O173" s="693"/>
    </row>
    <row r="174" spans="1:15">
      <c r="A174" s="687"/>
      <c r="B174" s="673"/>
      <c r="C174" s="670" t="s">
        <v>347</v>
      </c>
      <c r="D174" s="657"/>
      <c r="E174" s="676">
        <f>SUM(E172:E173)</f>
        <v>1402031.4315845768</v>
      </c>
      <c r="F174" s="665"/>
      <c r="G174" s="690"/>
      <c r="H174" s="657"/>
      <c r="M174" s="694"/>
      <c r="N174" s="693"/>
    </row>
    <row r="175" spans="1:15">
      <c r="A175" s="687"/>
      <c r="B175" s="673"/>
      <c r="C175" s="663"/>
      <c r="D175" s="657"/>
      <c r="E175" s="657"/>
      <c r="F175" s="665"/>
      <c r="G175" s="699"/>
      <c r="H175" s="657"/>
      <c r="M175" s="693"/>
      <c r="O175" s="693"/>
    </row>
    <row r="176" spans="1:15">
      <c r="A176" s="687"/>
      <c r="B176" s="673"/>
      <c r="C176" s="670" t="s">
        <v>346</v>
      </c>
      <c r="D176" s="657"/>
      <c r="E176" s="676">
        <f>E166-E174</f>
        <v>486738.56841542316</v>
      </c>
      <c r="F176" s="657"/>
      <c r="G176" s="690"/>
      <c r="H176" s="657"/>
      <c r="M176" s="693"/>
      <c r="N176" s="693"/>
      <c r="O176" s="693"/>
    </row>
    <row r="177" spans="1:15">
      <c r="A177" s="687"/>
      <c r="B177" s="673"/>
      <c r="C177" s="663"/>
      <c r="D177" s="657"/>
      <c r="E177" s="682"/>
      <c r="F177" s="657"/>
      <c r="G177" s="690"/>
      <c r="H177" s="657"/>
      <c r="O177" s="693"/>
    </row>
    <row r="178" spans="1:15">
      <c r="A178" s="687"/>
      <c r="B178" s="673"/>
      <c r="C178" s="657"/>
      <c r="D178" s="657"/>
      <c r="E178" s="657"/>
      <c r="F178" s="657"/>
      <c r="G178" s="657"/>
      <c r="H178" s="657"/>
    </row>
    <row r="179" spans="1:15">
      <c r="A179" s="687"/>
      <c r="B179" s="673"/>
      <c r="C179" s="670" t="s">
        <v>739</v>
      </c>
      <c r="D179" s="657"/>
      <c r="E179" s="668">
        <f>E98-E66</f>
        <v>1788770</v>
      </c>
      <c r="F179" s="657"/>
      <c r="G179" s="657"/>
      <c r="H179" s="657"/>
      <c r="I179" s="698"/>
    </row>
    <row r="180" spans="1:15">
      <c r="A180" s="687"/>
      <c r="B180" s="673"/>
      <c r="C180" s="670" t="s">
        <v>969</v>
      </c>
      <c r="D180" s="657"/>
      <c r="E180" s="657"/>
      <c r="F180" s="657"/>
      <c r="G180" s="657"/>
      <c r="H180" s="657"/>
      <c r="J180" s="700"/>
      <c r="L180" s="700"/>
    </row>
    <row r="181" spans="1:15">
      <c r="A181" s="687"/>
      <c r="B181" s="673"/>
      <c r="C181" s="663" t="s">
        <v>966</v>
      </c>
      <c r="D181" s="657"/>
      <c r="E181" s="668">
        <f>P9+P10</f>
        <v>257920.60000000003</v>
      </c>
      <c r="F181" s="657"/>
      <c r="G181" s="657"/>
      <c r="H181" s="657"/>
      <c r="L181" s="698"/>
    </row>
    <row r="182" spans="1:15">
      <c r="A182" s="687"/>
      <c r="B182" s="673"/>
      <c r="C182" s="663" t="s">
        <v>965</v>
      </c>
      <c r="D182" s="657"/>
      <c r="E182" s="668">
        <f>P11</f>
        <v>249900</v>
      </c>
      <c r="F182" s="657"/>
      <c r="G182" s="657"/>
      <c r="H182" s="657"/>
      <c r="J182" s="693"/>
      <c r="L182" s="693"/>
    </row>
    <row r="183" spans="1:15">
      <c r="A183" s="687"/>
      <c r="B183" s="673"/>
      <c r="C183" s="663" t="s">
        <v>964</v>
      </c>
      <c r="D183" s="657"/>
      <c r="E183" s="668">
        <f>P12</f>
        <v>625400</v>
      </c>
      <c r="F183" s="657"/>
      <c r="G183" s="657"/>
      <c r="H183" s="657"/>
      <c r="J183" s="693"/>
      <c r="L183" s="693"/>
    </row>
    <row r="184" spans="1:15">
      <c r="A184" s="687"/>
      <c r="B184" s="673"/>
      <c r="C184" s="670" t="s">
        <v>347</v>
      </c>
      <c r="D184" s="657"/>
      <c r="E184" s="676">
        <f>SUM(E181:E183)</f>
        <v>1133220.6000000001</v>
      </c>
      <c r="F184" s="657"/>
      <c r="G184" s="657"/>
      <c r="H184" s="657"/>
      <c r="I184" s="698"/>
      <c r="J184" s="693"/>
      <c r="L184" s="693"/>
    </row>
    <row r="185" spans="1:15">
      <c r="A185" s="687"/>
      <c r="B185" s="673"/>
      <c r="C185" s="663"/>
      <c r="D185" s="657"/>
      <c r="E185" s="663"/>
      <c r="F185" s="657"/>
      <c r="G185" s="657"/>
      <c r="H185" s="657"/>
    </row>
    <row r="186" spans="1:15">
      <c r="A186" s="687"/>
      <c r="B186" s="673"/>
      <c r="C186" s="670" t="s">
        <v>407</v>
      </c>
      <c r="D186" s="657"/>
      <c r="E186" s="676">
        <f>E179-E184</f>
        <v>655549.39999999991</v>
      </c>
      <c r="F186" s="657"/>
      <c r="G186" s="657"/>
      <c r="H186" s="657"/>
    </row>
    <row r="187" spans="1:15">
      <c r="A187" s="687"/>
      <c r="B187" s="673"/>
      <c r="C187" s="670" t="s">
        <v>968</v>
      </c>
      <c r="D187" s="657"/>
      <c r="E187" s="691">
        <f>(E179+100000)/E184</f>
        <v>1.6667275550762137</v>
      </c>
      <c r="F187" s="657"/>
      <c r="G187" s="657"/>
      <c r="H187" s="657"/>
    </row>
    <row r="188" spans="1:15">
      <c r="A188" s="687"/>
      <c r="B188" s="673"/>
      <c r="C188" s="663"/>
      <c r="D188" s="657"/>
      <c r="E188" s="696"/>
      <c r="F188" s="657"/>
      <c r="G188" s="657"/>
      <c r="H188" s="657"/>
      <c r="L188" s="697"/>
    </row>
    <row r="189" spans="1:15">
      <c r="A189" s="687"/>
      <c r="B189" s="673"/>
      <c r="C189" s="670" t="s">
        <v>944</v>
      </c>
      <c r="D189" s="657"/>
      <c r="E189" s="668">
        <f>E179</f>
        <v>1788770</v>
      </c>
      <c r="F189" s="690"/>
      <c r="G189" s="657"/>
      <c r="H189" s="657"/>
    </row>
    <row r="190" spans="1:15">
      <c r="A190" s="687"/>
      <c r="B190" s="673"/>
      <c r="C190" s="670" t="s">
        <v>967</v>
      </c>
      <c r="D190" s="657"/>
      <c r="E190" s="657"/>
      <c r="F190" s="657"/>
      <c r="G190" s="657"/>
      <c r="H190" s="657"/>
      <c r="J190" s="693"/>
      <c r="L190" s="693"/>
    </row>
    <row r="191" spans="1:15">
      <c r="A191" s="687"/>
      <c r="B191" s="673"/>
      <c r="C191" s="663" t="s">
        <v>966</v>
      </c>
      <c r="D191" s="657"/>
      <c r="E191" s="668">
        <f>O9+O10</f>
        <v>378798</v>
      </c>
      <c r="F191" s="657"/>
      <c r="G191" s="657"/>
      <c r="H191" s="657"/>
      <c r="J191" s="693"/>
      <c r="L191" s="693"/>
    </row>
    <row r="192" spans="1:15">
      <c r="A192" s="687"/>
      <c r="B192" s="673"/>
      <c r="C192" s="663" t="s">
        <v>965</v>
      </c>
      <c r="D192" s="657"/>
      <c r="E192" s="668">
        <f>O11</f>
        <v>323400</v>
      </c>
      <c r="F192" s="657"/>
      <c r="G192" s="657"/>
      <c r="H192" s="657"/>
    </row>
    <row r="193" spans="1:12">
      <c r="A193" s="687"/>
      <c r="B193" s="673"/>
      <c r="C193" s="663" t="s">
        <v>964</v>
      </c>
      <c r="D193" s="657"/>
      <c r="E193" s="668">
        <f>O12</f>
        <v>826800</v>
      </c>
      <c r="F193" s="657"/>
      <c r="G193" s="657"/>
      <c r="H193" s="657"/>
      <c r="J193" s="694"/>
    </row>
    <row r="194" spans="1:12">
      <c r="A194" s="687"/>
      <c r="B194" s="673"/>
      <c r="C194" s="670" t="s">
        <v>347</v>
      </c>
      <c r="D194" s="657"/>
      <c r="E194" s="676">
        <f>SUM(E191:E193)</f>
        <v>1528998</v>
      </c>
      <c r="F194" s="690"/>
      <c r="G194" s="692"/>
      <c r="H194" s="657"/>
      <c r="I194" s="695"/>
      <c r="J194" s="693"/>
      <c r="L194" s="693"/>
    </row>
    <row r="195" spans="1:12">
      <c r="A195" s="687"/>
      <c r="B195" s="673"/>
      <c r="C195" s="663"/>
      <c r="D195" s="657"/>
      <c r="E195" s="663"/>
      <c r="F195" s="657"/>
      <c r="G195" s="657"/>
      <c r="H195" s="657"/>
    </row>
    <row r="196" spans="1:12">
      <c r="A196" s="687"/>
      <c r="B196" s="673"/>
      <c r="C196" s="670" t="s">
        <v>403</v>
      </c>
      <c r="D196" s="657"/>
      <c r="E196" s="676">
        <f>E189-E194</f>
        <v>259772</v>
      </c>
      <c r="F196" s="657"/>
      <c r="G196" s="692"/>
      <c r="H196" s="657"/>
      <c r="L196" s="693"/>
    </row>
    <row r="197" spans="1:12">
      <c r="A197" s="687"/>
      <c r="B197" s="673"/>
      <c r="C197" s="663" t="s">
        <v>963</v>
      </c>
      <c r="D197" s="657"/>
      <c r="E197" s="691">
        <f>(E189+100000)/E194</f>
        <v>1.2352991959440105</v>
      </c>
      <c r="F197" s="657"/>
      <c r="G197" s="690"/>
      <c r="H197" s="657"/>
    </row>
    <row r="198" spans="1:12">
      <c r="A198" s="687"/>
      <c r="B198" s="673"/>
      <c r="C198" s="657"/>
      <c r="D198" s="657"/>
      <c r="E198" s="657"/>
      <c r="F198" s="657"/>
      <c r="G198" s="665"/>
      <c r="H198" s="657"/>
    </row>
    <row r="199" spans="1:12">
      <c r="A199" s="679" t="s">
        <v>34</v>
      </c>
      <c r="B199" s="678" t="s">
        <v>71</v>
      </c>
      <c r="C199" s="663" t="s">
        <v>962</v>
      </c>
      <c r="D199" s="657"/>
      <c r="E199" s="657"/>
      <c r="F199" s="657"/>
      <c r="G199" s="665"/>
      <c r="H199" s="657"/>
      <c r="J199" s="694"/>
    </row>
    <row r="200" spans="1:12">
      <c r="A200" s="689"/>
      <c r="B200" s="678"/>
      <c r="C200" s="670"/>
      <c r="D200" s="657"/>
      <c r="E200" s="657"/>
      <c r="F200" s="657"/>
      <c r="G200" s="657"/>
      <c r="H200" s="657"/>
      <c r="J200" s="693"/>
    </row>
    <row r="201" spans="1:12">
      <c r="A201" s="689"/>
      <c r="B201" s="678"/>
      <c r="C201" s="221" t="s">
        <v>399</v>
      </c>
      <c r="D201" s="149"/>
      <c r="E201" s="149"/>
      <c r="F201" s="149"/>
      <c r="G201" s="148"/>
      <c r="H201" s="657"/>
      <c r="J201" s="693"/>
    </row>
    <row r="202" spans="1:12">
      <c r="A202" s="689"/>
      <c r="B202" s="678"/>
      <c r="C202" s="670"/>
      <c r="D202" s="657"/>
      <c r="E202" s="657"/>
      <c r="F202" s="657"/>
      <c r="G202" s="657"/>
      <c r="H202" s="657"/>
    </row>
    <row r="203" spans="1:12">
      <c r="A203" s="687"/>
      <c r="B203" s="673"/>
      <c r="C203" s="657"/>
      <c r="D203" s="657"/>
      <c r="E203" s="657"/>
      <c r="F203" s="657"/>
      <c r="G203" s="657"/>
      <c r="H203" s="657"/>
      <c r="J203" s="3" t="s">
        <v>1098</v>
      </c>
    </row>
    <row r="204" spans="1:12">
      <c r="A204" s="687"/>
      <c r="B204" s="673"/>
      <c r="C204" s="670"/>
      <c r="D204" s="657"/>
      <c r="E204" s="657"/>
      <c r="F204" s="657"/>
      <c r="G204" s="657"/>
      <c r="H204" s="657"/>
    </row>
    <row r="205" spans="1:12">
      <c r="A205" s="687"/>
      <c r="B205" s="673"/>
      <c r="C205" s="670" t="s">
        <v>961</v>
      </c>
      <c r="D205" s="657"/>
      <c r="E205" s="657"/>
      <c r="F205" s="186">
        <f>K207</f>
        <v>283322.09999999986</v>
      </c>
      <c r="G205" s="657"/>
      <c r="H205" s="657"/>
      <c r="J205" s="834" t="s">
        <v>1097</v>
      </c>
      <c r="K205" s="819">
        <f>E176</f>
        <v>486738.56841542316</v>
      </c>
      <c r="L205" s="819">
        <f>E242</f>
        <v>241065.82914361614</v>
      </c>
    </row>
    <row r="206" spans="1:12" ht="27.6">
      <c r="A206" s="687"/>
      <c r="B206" s="673"/>
      <c r="C206" s="663"/>
      <c r="D206" s="657"/>
      <c r="E206" s="657"/>
      <c r="F206" s="657"/>
      <c r="G206" s="657"/>
      <c r="H206" s="657"/>
      <c r="J206" s="834" t="s">
        <v>1096</v>
      </c>
      <c r="K206" s="819">
        <f>E166-1.05*E194</f>
        <v>283322.09999999986</v>
      </c>
      <c r="L206" s="819">
        <f>E238-1.05*E247</f>
        <v>20243.359909817344</v>
      </c>
    </row>
    <row r="207" spans="1:12" ht="27.6">
      <c r="A207" s="687"/>
      <c r="B207" s="673"/>
      <c r="C207" s="670" t="s">
        <v>960</v>
      </c>
      <c r="D207" s="657"/>
      <c r="E207" s="657"/>
      <c r="F207" s="668">
        <f>K219</f>
        <v>0</v>
      </c>
      <c r="G207" s="657"/>
      <c r="H207" s="657"/>
      <c r="J207" s="834" t="s">
        <v>1095</v>
      </c>
      <c r="K207" s="821">
        <f>MIN(K205:K206)</f>
        <v>283322.09999999986</v>
      </c>
      <c r="L207" s="821">
        <f>MIN(L205:L206)</f>
        <v>20243.359909817344</v>
      </c>
    </row>
    <row r="208" spans="1:12">
      <c r="A208" s="687"/>
      <c r="B208" s="673"/>
      <c r="C208" s="663"/>
      <c r="D208" s="657"/>
      <c r="E208" s="657"/>
      <c r="F208" s="665"/>
      <c r="G208" s="665"/>
      <c r="H208" s="657"/>
      <c r="J208" s="832" t="s">
        <v>1094</v>
      </c>
      <c r="K208" s="839">
        <v>2024</v>
      </c>
      <c r="L208" s="839">
        <v>2025</v>
      </c>
    </row>
    <row r="209" spans="1:14">
      <c r="A209" s="687"/>
      <c r="B209" s="673"/>
      <c r="C209" s="670" t="s">
        <v>959</v>
      </c>
      <c r="D209" s="669"/>
      <c r="E209" s="657"/>
      <c r="F209" s="668">
        <f>K223</f>
        <v>0</v>
      </c>
      <c r="G209" s="657"/>
      <c r="H209" s="657"/>
      <c r="J209" s="834" t="s">
        <v>1093</v>
      </c>
      <c r="K209" s="819">
        <f>M13</f>
        <v>38176.306652276813</v>
      </c>
      <c r="L209" s="819">
        <f>K209*(1+5%)</f>
        <v>40085.121984890655</v>
      </c>
    </row>
    <row r="210" spans="1:14">
      <c r="A210" s="687"/>
      <c r="B210" s="673"/>
      <c r="C210" s="670"/>
      <c r="D210" s="669"/>
      <c r="E210" s="657"/>
      <c r="F210" s="682"/>
      <c r="G210" s="657"/>
      <c r="H210" s="657"/>
      <c r="J210" s="834" t="s">
        <v>1092</v>
      </c>
      <c r="K210" s="819">
        <f>11%*N13</f>
        <v>3431.9482930356926</v>
      </c>
      <c r="L210" s="819">
        <f>K210*(1+5%)</f>
        <v>3603.5457076874773</v>
      </c>
    </row>
    <row r="211" spans="1:14">
      <c r="A211" s="667"/>
      <c r="B211" s="671"/>
      <c r="C211" s="665"/>
      <c r="D211" s="665"/>
      <c r="E211" s="665"/>
      <c r="F211" s="665"/>
      <c r="G211" s="665"/>
      <c r="H211" s="657"/>
      <c r="J211" s="834" t="s">
        <v>1091</v>
      </c>
      <c r="K211" s="819">
        <v>50000</v>
      </c>
      <c r="L211" s="819">
        <v>50000</v>
      </c>
    </row>
    <row r="212" spans="1:14">
      <c r="A212" s="679" t="s">
        <v>38</v>
      </c>
      <c r="B212" s="678" t="s">
        <v>27</v>
      </c>
      <c r="C212" s="663" t="s">
        <v>958</v>
      </c>
      <c r="D212" s="665"/>
      <c r="E212" s="665"/>
      <c r="F212" s="665"/>
      <c r="G212" s="665"/>
      <c r="H212" s="657"/>
      <c r="J212" s="834" t="s">
        <v>1090</v>
      </c>
      <c r="K212" s="819">
        <f>K211*11%</f>
        <v>5500</v>
      </c>
      <c r="L212" s="819">
        <f>L211*11%</f>
        <v>5500</v>
      </c>
    </row>
    <row r="213" spans="1:14">
      <c r="A213" s="667"/>
      <c r="B213" s="671"/>
      <c r="C213" s="665"/>
      <c r="D213" s="665"/>
      <c r="E213" s="665"/>
      <c r="F213" s="665"/>
      <c r="G213" s="665"/>
      <c r="H213" s="657"/>
      <c r="J213" s="834" t="s">
        <v>1089</v>
      </c>
      <c r="K213" s="821">
        <f>SUM(K209:K212)</f>
        <v>97108.25494531251</v>
      </c>
      <c r="L213" s="821">
        <f>SUM(L209:L212)</f>
        <v>99188.667692578136</v>
      </c>
    </row>
    <row r="214" spans="1:14">
      <c r="A214" s="667"/>
      <c r="B214" s="671"/>
      <c r="C214" s="1848" t="s">
        <v>676</v>
      </c>
      <c r="D214" s="1848"/>
      <c r="E214" s="1848"/>
      <c r="F214" s="1848"/>
      <c r="G214" s="1849"/>
      <c r="H214" s="657"/>
      <c r="J214" s="834" t="s">
        <v>1088</v>
      </c>
      <c r="K214" s="838">
        <f>SUM(Q9:Q10)*6.5%</f>
        <v>11895</v>
      </c>
      <c r="L214" s="838">
        <f>SUM(R9:R10)*6.5%</f>
        <v>12311.325000000001</v>
      </c>
      <c r="N214" s="816"/>
    </row>
    <row r="215" spans="1:14">
      <c r="A215" s="667"/>
      <c r="B215" s="671"/>
      <c r="C215" s="1850"/>
      <c r="D215" s="1850"/>
      <c r="E215" s="1850"/>
      <c r="F215" s="1850"/>
      <c r="G215" s="1851"/>
      <c r="H215" s="657"/>
      <c r="J215" s="834" t="s">
        <v>1087</v>
      </c>
      <c r="K215" s="838">
        <f>K213-K214</f>
        <v>85213.25494531251</v>
      </c>
      <c r="L215" s="838">
        <f>L213-L214</f>
        <v>86877.342692578139</v>
      </c>
    </row>
    <row r="216" spans="1:14">
      <c r="A216" s="667"/>
      <c r="B216" s="671"/>
      <c r="C216" s="1850"/>
      <c r="D216" s="1850"/>
      <c r="E216" s="1850"/>
      <c r="F216" s="1850"/>
      <c r="G216" s="1851"/>
      <c r="H216" s="657"/>
      <c r="J216" s="832" t="s">
        <v>1086</v>
      </c>
      <c r="K216" s="837">
        <f>MIN(K213,K207)</f>
        <v>97108.25494531251</v>
      </c>
      <c r="L216" s="837">
        <f>MIN(L213,L207)</f>
        <v>20243.359909817344</v>
      </c>
    </row>
    <row r="217" spans="1:14" ht="27.6">
      <c r="A217" s="667"/>
      <c r="B217" s="671"/>
      <c r="C217" s="1850"/>
      <c r="D217" s="1850"/>
      <c r="E217" s="1850"/>
      <c r="F217" s="1850"/>
      <c r="G217" s="1851"/>
      <c r="H217" s="657"/>
      <c r="J217" s="832" t="s">
        <v>1085</v>
      </c>
      <c r="K217" s="837">
        <f>K207-K216</f>
        <v>186213.84505468735</v>
      </c>
      <c r="L217" s="693">
        <f>MIN(L216,K217)</f>
        <v>20243.359909817344</v>
      </c>
    </row>
    <row r="218" spans="1:14" ht="16.2" thickBot="1">
      <c r="A218" s="667"/>
      <c r="B218" s="671"/>
      <c r="C218" s="1852"/>
      <c r="D218" s="1852"/>
      <c r="E218" s="1852"/>
      <c r="F218" s="1852"/>
      <c r="G218" s="1853"/>
      <c r="H218" s="657"/>
    </row>
    <row r="219" spans="1:14" ht="28.2" thickBot="1">
      <c r="A219" s="667"/>
      <c r="B219" s="673"/>
      <c r="C219" s="657"/>
      <c r="D219" s="657"/>
      <c r="E219" s="657"/>
      <c r="F219" s="657"/>
      <c r="G219" s="657"/>
      <c r="H219" s="657"/>
      <c r="J219" s="832" t="s">
        <v>960</v>
      </c>
      <c r="K219" s="836">
        <f>K213-K216</f>
        <v>0</v>
      </c>
      <c r="L219" s="836">
        <f>L215-L216</f>
        <v>66633.982782760795</v>
      </c>
    </row>
    <row r="220" spans="1:14">
      <c r="A220" s="667"/>
      <c r="B220" s="671"/>
      <c r="C220" s="659" t="s">
        <v>957</v>
      </c>
      <c r="D220" s="659"/>
      <c r="E220" s="659"/>
      <c r="F220" s="659"/>
      <c r="G220" s="665"/>
      <c r="H220" s="657"/>
      <c r="K220" s="816"/>
    </row>
    <row r="221" spans="1:14" ht="27.6">
      <c r="A221" s="667"/>
      <c r="B221" s="671"/>
      <c r="C221" s="665"/>
      <c r="D221" s="665"/>
      <c r="E221" s="665"/>
      <c r="F221" s="665"/>
      <c r="G221" s="665"/>
      <c r="H221" s="657"/>
      <c r="J221" s="834" t="s">
        <v>1084</v>
      </c>
      <c r="K221" s="835">
        <f>E166/E174</f>
        <v>1.3471666593560681</v>
      </c>
      <c r="L221" s="835">
        <f>E238/E240</f>
        <v>1.1652342058738074</v>
      </c>
    </row>
    <row r="222" spans="1:14" ht="27.6">
      <c r="A222" s="667"/>
      <c r="B222" s="671"/>
      <c r="C222" s="670" t="s">
        <v>956</v>
      </c>
      <c r="D222" s="665"/>
      <c r="E222" s="682"/>
      <c r="F222" s="665"/>
      <c r="G222" s="665"/>
      <c r="H222" s="657"/>
      <c r="J222" s="834" t="s">
        <v>1083</v>
      </c>
      <c r="K222" s="833" t="str">
        <f>IF(K221&gt;1.25, "Y", "N")</f>
        <v>Y</v>
      </c>
      <c r="L222" s="833" t="str">
        <f>IF(L221&gt;1.25, "Y", "N")</f>
        <v>N</v>
      </c>
    </row>
    <row r="223" spans="1:14" ht="27.6">
      <c r="A223" s="667"/>
      <c r="B223" s="671"/>
      <c r="C223" s="670"/>
      <c r="D223" s="665"/>
      <c r="E223" s="682"/>
      <c r="F223" s="665"/>
      <c r="G223" s="665"/>
      <c r="H223" s="657"/>
      <c r="J223" s="832" t="s">
        <v>1082</v>
      </c>
      <c r="K223" s="831">
        <f>IF(K222="Y",0,K215)</f>
        <v>0</v>
      </c>
      <c r="L223" s="831">
        <f>IF(L222="Y",0,L215)</f>
        <v>86877.342692578139</v>
      </c>
    </row>
    <row r="224" spans="1:14">
      <c r="A224" s="667"/>
      <c r="B224" s="671"/>
      <c r="C224" s="681" t="s">
        <v>955</v>
      </c>
      <c r="D224" s="680"/>
      <c r="E224" s="686">
        <v>1700000</v>
      </c>
      <c r="F224" s="665"/>
      <c r="G224" s="665"/>
      <c r="H224" s="657"/>
    </row>
    <row r="225" spans="1:16">
      <c r="A225" s="667"/>
      <c r="B225" s="671"/>
      <c r="C225" s="685" t="s">
        <v>954</v>
      </c>
      <c r="D225" s="684"/>
      <c r="E225" s="683">
        <v>50000</v>
      </c>
      <c r="F225" s="665"/>
      <c r="G225" s="665"/>
      <c r="H225" s="657"/>
    </row>
    <row r="226" spans="1:16">
      <c r="A226" s="667"/>
      <c r="B226" s="671"/>
      <c r="C226" s="665"/>
      <c r="D226" s="665"/>
      <c r="E226" s="682"/>
      <c r="F226" s="665"/>
      <c r="G226" s="665"/>
      <c r="H226" s="657"/>
    </row>
    <row r="227" spans="1:16">
      <c r="A227" s="667"/>
      <c r="B227" s="671"/>
      <c r="C227" s="670" t="s">
        <v>953</v>
      </c>
      <c r="D227" s="665"/>
      <c r="E227" s="682"/>
      <c r="F227" s="665"/>
      <c r="G227" s="665"/>
      <c r="H227" s="657"/>
    </row>
    <row r="228" spans="1:16">
      <c r="A228" s="667"/>
      <c r="B228" s="671"/>
      <c r="C228" s="665"/>
      <c r="D228" s="665"/>
      <c r="E228" s="665"/>
      <c r="F228" s="665"/>
      <c r="G228" s="665"/>
      <c r="H228" s="657"/>
    </row>
    <row r="229" spans="1:16">
      <c r="A229" s="667"/>
      <c r="B229" s="671"/>
      <c r="C229" s="681" t="s">
        <v>952</v>
      </c>
      <c r="D229" s="680"/>
      <c r="E229" s="1841">
        <v>50000</v>
      </c>
      <c r="F229" s="1842"/>
      <c r="G229" s="665"/>
      <c r="H229" s="657"/>
    </row>
    <row r="230" spans="1:16">
      <c r="A230" s="667"/>
      <c r="B230" s="671"/>
      <c r="C230" s="681" t="s">
        <v>951</v>
      </c>
      <c r="D230" s="680"/>
      <c r="E230" s="1841" t="s">
        <v>950</v>
      </c>
      <c r="F230" s="1842"/>
      <c r="G230" s="665"/>
      <c r="H230" s="657"/>
    </row>
    <row r="231" spans="1:16">
      <c r="A231" s="667"/>
      <c r="B231" s="671"/>
      <c r="C231" s="663"/>
      <c r="D231" s="665"/>
      <c r="E231" s="674"/>
      <c r="F231" s="674"/>
      <c r="G231" s="665"/>
      <c r="H231" s="657"/>
    </row>
    <row r="232" spans="1:16">
      <c r="A232" s="679" t="s">
        <v>211</v>
      </c>
      <c r="B232" s="678" t="s">
        <v>71</v>
      </c>
      <c r="C232" s="663" t="s">
        <v>949</v>
      </c>
      <c r="D232" s="665"/>
      <c r="E232" s="674"/>
      <c r="F232" s="674"/>
      <c r="G232" s="665"/>
      <c r="H232" s="657"/>
    </row>
    <row r="233" spans="1:16">
      <c r="A233" s="679"/>
      <c r="B233" s="678"/>
      <c r="C233" s="663"/>
      <c r="D233" s="665"/>
      <c r="E233" s="674"/>
      <c r="F233" s="674"/>
      <c r="G233" s="665"/>
      <c r="H233" s="657"/>
    </row>
    <row r="234" spans="1:16">
      <c r="A234" s="667"/>
      <c r="B234" s="671"/>
      <c r="C234" s="221" t="s">
        <v>399</v>
      </c>
      <c r="D234" s="149"/>
      <c r="E234" s="149"/>
      <c r="F234" s="149"/>
      <c r="G234" s="148"/>
      <c r="H234" s="657"/>
    </row>
    <row r="235" spans="1:16">
      <c r="A235" s="667"/>
      <c r="B235" s="671"/>
      <c r="C235" s="663"/>
      <c r="D235" s="665"/>
      <c r="E235" s="674"/>
      <c r="F235" s="674"/>
      <c r="G235" s="665"/>
      <c r="H235" s="657"/>
    </row>
    <row r="236" spans="1:16">
      <c r="A236" s="667"/>
      <c r="B236" s="671"/>
      <c r="C236" s="663" t="s">
        <v>948</v>
      </c>
      <c r="D236" s="657"/>
      <c r="E236" s="668">
        <f>SUM(K209:K210)</f>
        <v>41608.254945312503</v>
      </c>
      <c r="F236" s="674"/>
      <c r="G236" s="665"/>
      <c r="H236" s="657"/>
    </row>
    <row r="237" spans="1:16">
      <c r="A237" s="667"/>
      <c r="B237" s="671"/>
      <c r="C237" s="663"/>
      <c r="D237" s="665"/>
      <c r="E237" s="674"/>
      <c r="F237" s="674"/>
      <c r="G237" s="665"/>
      <c r="H237" s="657"/>
    </row>
    <row r="238" spans="1:16">
      <c r="A238" s="667"/>
      <c r="B238" s="671"/>
      <c r="C238" s="670" t="s">
        <v>947</v>
      </c>
      <c r="D238" s="665"/>
      <c r="E238" s="676">
        <f>E224</f>
        <v>1700000</v>
      </c>
      <c r="F238" s="674"/>
      <c r="G238" s="665"/>
      <c r="H238" s="657"/>
      <c r="J238" s="3" t="s">
        <v>1081</v>
      </c>
      <c r="K238" s="816"/>
    </row>
    <row r="239" spans="1:16">
      <c r="A239" s="667"/>
      <c r="B239" s="671"/>
      <c r="C239" s="670"/>
      <c r="D239" s="665"/>
      <c r="E239" s="676"/>
      <c r="F239" s="674"/>
      <c r="G239" s="665"/>
      <c r="H239" s="657"/>
      <c r="J239" s="830" t="s">
        <v>955</v>
      </c>
      <c r="K239" s="829"/>
      <c r="L239" s="828">
        <v>1700000</v>
      </c>
      <c r="M239" s="819"/>
      <c r="N239" s="819"/>
      <c r="O239" s="819"/>
      <c r="P239" s="819"/>
    </row>
    <row r="240" spans="1:16">
      <c r="A240" s="667"/>
      <c r="B240" s="671"/>
      <c r="C240" s="670" t="s">
        <v>946</v>
      </c>
      <c r="D240" s="665"/>
      <c r="E240" s="668">
        <f>K248</f>
        <v>1458934.1708563839</v>
      </c>
      <c r="F240" s="674"/>
      <c r="G240" s="665"/>
      <c r="H240" s="657"/>
      <c r="J240" s="827" t="s">
        <v>954</v>
      </c>
      <c r="K240" s="826"/>
      <c r="L240" s="825">
        <v>50000</v>
      </c>
      <c r="M240" s="819"/>
      <c r="N240" s="819"/>
      <c r="O240" s="819"/>
      <c r="P240" s="819"/>
    </row>
    <row r="241" spans="1:16">
      <c r="A241" s="667"/>
      <c r="B241" s="671"/>
      <c r="C241" s="674"/>
      <c r="D241" s="674"/>
      <c r="E241" s="674"/>
      <c r="F241" s="674"/>
      <c r="G241" s="665"/>
      <c r="H241" s="657"/>
      <c r="J241" s="827" t="s">
        <v>1080</v>
      </c>
      <c r="K241" s="826"/>
      <c r="L241" s="825">
        <v>50000</v>
      </c>
      <c r="M241" s="819"/>
      <c r="N241" s="819"/>
      <c r="O241" s="819"/>
      <c r="P241" s="819"/>
    </row>
    <row r="242" spans="1:16">
      <c r="A242" s="667"/>
      <c r="B242" s="671"/>
      <c r="C242" s="670" t="s">
        <v>945</v>
      </c>
      <c r="D242" s="665"/>
      <c r="E242" s="676">
        <f>E238-E240</f>
        <v>241065.82914361614</v>
      </c>
      <c r="F242" s="674"/>
      <c r="G242" s="665"/>
      <c r="H242" s="657"/>
      <c r="J242" s="822" t="s">
        <v>1079</v>
      </c>
      <c r="K242" s="819"/>
      <c r="L242" s="649">
        <v>0.05</v>
      </c>
      <c r="M242" s="819"/>
      <c r="N242" s="819"/>
      <c r="O242" s="819"/>
      <c r="P242" s="819"/>
    </row>
    <row r="243" spans="1:16">
      <c r="A243" s="667"/>
      <c r="B243" s="671"/>
      <c r="C243" s="670"/>
      <c r="D243" s="665"/>
      <c r="E243" s="674"/>
      <c r="F243" s="674"/>
      <c r="G243" s="665"/>
      <c r="H243" s="657"/>
      <c r="J243" s="822" t="s">
        <v>1078</v>
      </c>
      <c r="K243" s="819"/>
      <c r="L243" s="824">
        <f>((E191+E192)*0.045+E193*0.046)/E194</f>
        <v>4.5540746292670103E-2</v>
      </c>
      <c r="M243" s="819" t="s">
        <v>1077</v>
      </c>
      <c r="N243" s="819"/>
      <c r="O243" s="819"/>
      <c r="P243" s="819"/>
    </row>
    <row r="244" spans="1:16">
      <c r="A244" s="667"/>
      <c r="B244" s="671"/>
      <c r="C244" s="670"/>
      <c r="D244" s="665"/>
      <c r="E244" s="674"/>
      <c r="F244" s="674"/>
      <c r="G244" s="665"/>
      <c r="H244" s="657"/>
      <c r="J244" s="822" t="s">
        <v>1076</v>
      </c>
      <c r="K244" s="1887" t="s">
        <v>1075</v>
      </c>
      <c r="L244" s="1887"/>
      <c r="M244" s="1887" t="s">
        <v>754</v>
      </c>
      <c r="N244" s="1887"/>
      <c r="O244" s="1887" t="s">
        <v>1074</v>
      </c>
      <c r="P244" s="1887"/>
    </row>
    <row r="245" spans="1:16">
      <c r="A245" s="667"/>
      <c r="B245" s="671"/>
      <c r="C245" s="670" t="s">
        <v>944</v>
      </c>
      <c r="D245" s="657"/>
      <c r="E245" s="668">
        <f>E238-100000</f>
        <v>1600000</v>
      </c>
      <c r="F245" s="677"/>
      <c r="G245" s="665"/>
      <c r="H245" s="657"/>
      <c r="J245"/>
      <c r="K245" s="819" t="s">
        <v>1073</v>
      </c>
      <c r="L245" s="819" t="s">
        <v>1072</v>
      </c>
      <c r="M245" s="819" t="s">
        <v>1073</v>
      </c>
      <c r="N245" s="819" t="s">
        <v>1072</v>
      </c>
      <c r="O245" s="819" t="s">
        <v>1071</v>
      </c>
      <c r="P245" s="819" t="s">
        <v>1070</v>
      </c>
    </row>
    <row r="246" spans="1:16" ht="39.6">
      <c r="A246" s="667"/>
      <c r="B246" s="671"/>
      <c r="C246" s="670"/>
      <c r="D246" s="665"/>
      <c r="E246" s="674"/>
      <c r="F246" s="674"/>
      <c r="G246" s="665"/>
      <c r="H246" s="657"/>
      <c r="J246" s="823" t="s">
        <v>1069</v>
      </c>
      <c r="K246" s="819">
        <f>(K13+M13)*(1+L242)-L240*(1+L242/2)</f>
        <v>1337095.8826942933</v>
      </c>
      <c r="L246" s="819">
        <f>(L13+N13)*(1+L242)-L240*(1+L242/2)</f>
        <v>1107620.8014735517</v>
      </c>
      <c r="M246" s="819"/>
      <c r="N246" s="819"/>
      <c r="O246" s="821">
        <f>(O13+L241)*(1+L243)-L240*(1+L243/2)</f>
        <v>1599768.2286573166</v>
      </c>
      <c r="P246" s="819"/>
    </row>
    <row r="247" spans="1:16">
      <c r="A247" s="667"/>
      <c r="B247" s="671"/>
      <c r="C247" s="670" t="s">
        <v>943</v>
      </c>
      <c r="D247" s="665"/>
      <c r="E247" s="668">
        <f>O246</f>
        <v>1599768.2286573166</v>
      </c>
      <c r="F247" s="674"/>
      <c r="G247" s="665"/>
      <c r="H247" s="657"/>
      <c r="J247" s="822" t="s">
        <v>348</v>
      </c>
      <c r="K247" s="819"/>
      <c r="L247" s="819">
        <f>L246*11%</f>
        <v>121838.28816209068</v>
      </c>
      <c r="M247" s="819"/>
      <c r="N247" s="819"/>
      <c r="O247" s="819"/>
      <c r="P247" s="819"/>
    </row>
    <row r="248" spans="1:16">
      <c r="A248" s="667"/>
      <c r="B248" s="671"/>
      <c r="C248" s="670"/>
      <c r="D248" s="665"/>
      <c r="E248" s="674"/>
      <c r="F248" s="674"/>
      <c r="G248" s="665"/>
      <c r="H248" s="657"/>
      <c r="J248" s="822" t="s">
        <v>1068</v>
      </c>
      <c r="K248" s="821">
        <f>K246+L247</f>
        <v>1458934.1708563839</v>
      </c>
      <c r="L248" s="819"/>
      <c r="M248" s="819"/>
      <c r="N248" s="819"/>
      <c r="O248" s="819"/>
      <c r="P248" s="819"/>
    </row>
    <row r="249" spans="1:16">
      <c r="A249" s="667"/>
      <c r="B249" s="671"/>
      <c r="C249" s="670" t="s">
        <v>942</v>
      </c>
      <c r="D249" s="665"/>
      <c r="E249" s="676">
        <f>E245-E247</f>
        <v>231.77134268335067</v>
      </c>
      <c r="F249" s="674"/>
      <c r="G249" s="665"/>
      <c r="H249" s="657"/>
      <c r="J249" s="822" t="s">
        <v>591</v>
      </c>
      <c r="K249" s="819">
        <f>L239</f>
        <v>1700000</v>
      </c>
      <c r="L249" s="819"/>
      <c r="M249" s="819"/>
      <c r="N249" s="819"/>
      <c r="O249" s="819"/>
      <c r="P249" s="819"/>
    </row>
    <row r="250" spans="1:16">
      <c r="A250" s="667"/>
      <c r="B250" s="671"/>
      <c r="C250" s="670" t="s">
        <v>941</v>
      </c>
      <c r="D250" s="665"/>
      <c r="E250" s="675">
        <f>E238/E247</f>
        <v>1.0626539329555305</v>
      </c>
      <c r="F250" s="674"/>
      <c r="G250" s="665"/>
      <c r="H250" s="657"/>
      <c r="J250" t="s">
        <v>1067</v>
      </c>
      <c r="K250" s="821">
        <f>K249-K248</f>
        <v>241065.82914361614</v>
      </c>
      <c r="L250" s="819"/>
      <c r="M250" s="819"/>
      <c r="N250" s="819"/>
      <c r="O250" s="819"/>
      <c r="P250" s="819"/>
    </row>
    <row r="251" spans="1:16">
      <c r="A251" s="667"/>
      <c r="B251" s="671"/>
      <c r="C251" s="663"/>
      <c r="D251" s="665"/>
      <c r="E251" s="674"/>
      <c r="F251" s="674"/>
      <c r="G251" s="665"/>
      <c r="H251" s="657"/>
      <c r="J251"/>
      <c r="K251" s="649">
        <f>K249/K248</f>
        <v>1.1652342058738074</v>
      </c>
      <c r="L251" s="819"/>
      <c r="M251" s="819"/>
      <c r="N251" s="819"/>
      <c r="O251" s="820">
        <f>K249/O246</f>
        <v>1.0626539329555305</v>
      </c>
      <c r="P251" s="819"/>
    </row>
    <row r="252" spans="1:16">
      <c r="A252" s="672" t="s">
        <v>345</v>
      </c>
      <c r="B252" s="673" t="s">
        <v>27</v>
      </c>
      <c r="C252" s="663" t="s">
        <v>940</v>
      </c>
      <c r="D252" s="665"/>
      <c r="E252" s="665"/>
      <c r="F252" s="665"/>
      <c r="G252" s="665"/>
      <c r="H252" s="665"/>
    </row>
    <row r="253" spans="1:16">
      <c r="A253" s="672"/>
      <c r="B253" s="671"/>
      <c r="C253" s="670"/>
      <c r="D253" s="665"/>
      <c r="E253" s="665"/>
      <c r="F253" s="665"/>
      <c r="G253" s="665"/>
      <c r="H253" s="657"/>
    </row>
    <row r="254" spans="1:16">
      <c r="A254" s="667"/>
      <c r="B254" s="671"/>
      <c r="C254" s="221" t="s">
        <v>399</v>
      </c>
      <c r="D254" s="149"/>
      <c r="E254" s="149"/>
      <c r="F254" s="149"/>
      <c r="G254" s="148"/>
      <c r="H254" s="657"/>
    </row>
    <row r="255" spans="1:16">
      <c r="A255" s="667"/>
      <c r="B255" s="671"/>
      <c r="C255" s="5"/>
      <c r="D255" s="2"/>
      <c r="E255" s="2"/>
      <c r="F255" s="149"/>
      <c r="G255" s="2"/>
      <c r="H255" s="657"/>
    </row>
    <row r="256" spans="1:16">
      <c r="A256" s="667"/>
      <c r="B256" s="671"/>
      <c r="C256" s="670" t="s">
        <v>939</v>
      </c>
      <c r="D256" s="665"/>
      <c r="E256" s="665"/>
      <c r="F256" s="668">
        <f>L217</f>
        <v>20243.359909817344</v>
      </c>
      <c r="G256" s="665"/>
      <c r="H256" s="657"/>
    </row>
    <row r="257" spans="1:11">
      <c r="A257" s="667"/>
      <c r="B257" s="671"/>
      <c r="C257" s="663"/>
      <c r="D257" s="665"/>
      <c r="E257" s="665"/>
      <c r="F257" s="665"/>
      <c r="G257" s="665"/>
      <c r="H257" s="657"/>
    </row>
    <row r="258" spans="1:11">
      <c r="A258" s="667"/>
      <c r="B258" s="671"/>
      <c r="C258" s="670" t="s">
        <v>938</v>
      </c>
      <c r="D258" s="665"/>
      <c r="E258" s="665"/>
      <c r="F258" s="668">
        <f>L219</f>
        <v>66633.982782760795</v>
      </c>
      <c r="G258" s="665"/>
      <c r="H258" s="657"/>
    </row>
    <row r="259" spans="1:11">
      <c r="A259" s="667"/>
      <c r="B259" s="671"/>
      <c r="C259" s="665"/>
      <c r="D259" s="665"/>
      <c r="E259" s="665"/>
      <c r="F259" s="665"/>
      <c r="G259" s="665"/>
      <c r="H259" s="657"/>
    </row>
    <row r="260" spans="1:11">
      <c r="A260" s="667"/>
      <c r="B260" s="671"/>
      <c r="C260" s="670" t="s">
        <v>937</v>
      </c>
      <c r="D260" s="669"/>
      <c r="E260" s="657"/>
      <c r="F260" s="668">
        <f>L223</f>
        <v>86877.342692578139</v>
      </c>
      <c r="G260" s="665"/>
      <c r="H260" s="657"/>
      <c r="K260" s="697"/>
    </row>
    <row r="261" spans="1:11">
      <c r="A261" s="667"/>
      <c r="B261" s="665"/>
      <c r="C261" s="665"/>
      <c r="D261" s="665"/>
      <c r="E261" s="665"/>
      <c r="F261" s="665"/>
      <c r="G261" s="665"/>
      <c r="H261" s="657"/>
      <c r="K261" s="697"/>
    </row>
    <row r="262" spans="1:11">
      <c r="A262" s="667"/>
      <c r="B262" s="665"/>
      <c r="C262" s="665"/>
      <c r="D262" s="665"/>
      <c r="E262" s="665"/>
      <c r="F262" s="665"/>
      <c r="G262" s="665"/>
      <c r="H262" s="657"/>
    </row>
    <row r="263" spans="1:11">
      <c r="A263" s="667"/>
      <c r="B263" s="665"/>
      <c r="C263" s="665"/>
      <c r="D263" s="665"/>
      <c r="E263" s="665"/>
      <c r="F263" s="665"/>
      <c r="G263" s="665"/>
      <c r="H263" s="657"/>
    </row>
    <row r="264" spans="1:11">
      <c r="A264" s="666"/>
      <c r="B264" s="665"/>
      <c r="C264" s="665"/>
      <c r="D264" s="665"/>
      <c r="E264" s="665"/>
      <c r="F264" s="665"/>
      <c r="G264" s="665"/>
      <c r="H264" s="657"/>
      <c r="K264" s="818"/>
    </row>
    <row r="265" spans="1:11">
      <c r="A265" s="666"/>
      <c r="B265" s="665"/>
      <c r="C265" s="665"/>
      <c r="D265" s="665"/>
      <c r="E265" s="665"/>
      <c r="F265" s="665"/>
      <c r="G265" s="665"/>
      <c r="H265" s="657"/>
      <c r="K265" s="818"/>
    </row>
    <row r="266" spans="1:11">
      <c r="A266" s="666"/>
      <c r="B266" s="665"/>
      <c r="C266" s="664"/>
      <c r="D266" s="663"/>
      <c r="E266" s="658"/>
      <c r="F266" s="662"/>
      <c r="G266" s="658"/>
      <c r="H266" s="657"/>
      <c r="K266" s="818"/>
    </row>
    <row r="267" spans="1:11">
      <c r="A267" s="661"/>
      <c r="B267" s="660"/>
      <c r="C267" s="658"/>
      <c r="D267" s="659"/>
      <c r="E267" s="658"/>
      <c r="F267" s="658"/>
      <c r="G267" s="658"/>
      <c r="H267" s="657"/>
      <c r="K267" s="816"/>
    </row>
    <row r="270" spans="1:11">
      <c r="K270" s="816"/>
    </row>
    <row r="271" spans="1:11">
      <c r="K271" s="816"/>
    </row>
    <row r="274" spans="11:12">
      <c r="K274" s="817"/>
    </row>
    <row r="275" spans="11:12">
      <c r="L275" s="816"/>
    </row>
  </sheetData>
  <mergeCells count="44">
    <mergeCell ref="E229:F229"/>
    <mergeCell ref="E230:F230"/>
    <mergeCell ref="K244:L244"/>
    <mergeCell ref="M244:N244"/>
    <mergeCell ref="L62:P62"/>
    <mergeCell ref="Q62:T62"/>
    <mergeCell ref="C64:D64"/>
    <mergeCell ref="E64:F64"/>
    <mergeCell ref="C65:D65"/>
    <mergeCell ref="E65:F65"/>
    <mergeCell ref="O244:P244"/>
    <mergeCell ref="C66:D66"/>
    <mergeCell ref="E66:F66"/>
    <mergeCell ref="Q66:T66"/>
    <mergeCell ref="C67:D67"/>
    <mergeCell ref="E67:F67"/>
    <mergeCell ref="B95:C95"/>
    <mergeCell ref="C214:G218"/>
    <mergeCell ref="C61:D61"/>
    <mergeCell ref="E61:F61"/>
    <mergeCell ref="C41:D41"/>
    <mergeCell ref="E41:F41"/>
    <mergeCell ref="C42:D42"/>
    <mergeCell ref="E42:F42"/>
    <mergeCell ref="C48:D48"/>
    <mergeCell ref="C53:D53"/>
    <mergeCell ref="E53:F53"/>
    <mergeCell ref="C57:D57"/>
    <mergeCell ref="C60:D60"/>
    <mergeCell ref="E60:F60"/>
    <mergeCell ref="X49:Y49"/>
    <mergeCell ref="E19:G19"/>
    <mergeCell ref="C21:G21"/>
    <mergeCell ref="C32:D34"/>
    <mergeCell ref="C35:D35"/>
    <mergeCell ref="C36:D38"/>
    <mergeCell ref="C39:D39"/>
    <mergeCell ref="E39:F40"/>
    <mergeCell ref="X17:Y17"/>
    <mergeCell ref="C4:G4"/>
    <mergeCell ref="K7:L7"/>
    <mergeCell ref="M7:N7"/>
    <mergeCell ref="O7:P7"/>
    <mergeCell ref="E9:G9"/>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D55BD-3028-4246-8D99-C49ABA9FD536}">
  <dimension ref="A1:AG2254"/>
  <sheetViews>
    <sheetView zoomScaleNormal="100" workbookViewId="0">
      <selection activeCell="O14" sqref="O14"/>
    </sheetView>
  </sheetViews>
  <sheetFormatPr defaultColWidth="8.6640625" defaultRowHeight="15.6"/>
  <cols>
    <col min="1" max="1" width="11.109375" style="871" customWidth="1"/>
    <col min="2" max="2" width="40.44140625" style="2" customWidth="1"/>
    <col min="3" max="3" width="22.33203125" style="2" customWidth="1"/>
    <col min="4" max="4" width="14.44140625" style="2" customWidth="1"/>
    <col min="5" max="5" width="19.5546875" style="2" customWidth="1"/>
    <col min="6" max="6" width="9.33203125" style="2" customWidth="1"/>
    <col min="7" max="7" width="23.5546875" style="2" customWidth="1"/>
    <col min="8" max="8" width="4.5546875" style="2" customWidth="1"/>
    <col min="9" max="9" width="2" style="871" customWidth="1"/>
    <col min="10" max="10" width="2.109375" style="872" customWidth="1"/>
    <col min="11" max="11" width="3.44140625" style="871" customWidth="1"/>
    <col min="12" max="12" width="5.44140625" style="871" customWidth="1"/>
    <col min="13" max="16384" width="8.6640625" style="871"/>
  </cols>
  <sheetData>
    <row r="1" spans="1:12">
      <c r="A1" s="1" t="s">
        <v>1066</v>
      </c>
      <c r="D1" s="2" t="s">
        <v>1186</v>
      </c>
      <c r="K1" s="3" t="s">
        <v>1066</v>
      </c>
      <c r="L1" s="888"/>
    </row>
    <row r="2" spans="1:12">
      <c r="A2" s="1" t="s">
        <v>1185</v>
      </c>
      <c r="K2" s="3" t="str">
        <f>A2</f>
        <v>Question 5</v>
      </c>
    </row>
    <row r="3" spans="1:12">
      <c r="A3" s="5"/>
      <c r="K3" s="3"/>
    </row>
    <row r="4" spans="1:12">
      <c r="A4" s="5" t="s">
        <v>202</v>
      </c>
      <c r="B4" s="2" t="s">
        <v>1184</v>
      </c>
      <c r="K4" s="3" t="s">
        <v>2</v>
      </c>
    </row>
    <row r="5" spans="1:12">
      <c r="A5" s="5"/>
    </row>
    <row r="6" spans="1:12">
      <c r="A6" s="5"/>
      <c r="B6" s="2" t="s">
        <v>323</v>
      </c>
      <c r="K6" s="888"/>
    </row>
    <row r="7" spans="1:12">
      <c r="A7" s="5"/>
      <c r="K7" s="888"/>
    </row>
    <row r="8" spans="1:12">
      <c r="A8" s="5"/>
      <c r="B8" s="137" t="s">
        <v>872</v>
      </c>
      <c r="K8" s="873"/>
    </row>
    <row r="9" spans="1:12">
      <c r="A9" s="5"/>
      <c r="B9" s="21"/>
      <c r="K9" s="873"/>
    </row>
    <row r="10" spans="1:12" ht="60" customHeight="1">
      <c r="A10" s="5"/>
      <c r="B10" s="16" t="s">
        <v>1063</v>
      </c>
      <c r="C10" s="1906" t="s">
        <v>1183</v>
      </c>
      <c r="D10" s="1906"/>
      <c r="E10" s="1906"/>
      <c r="F10" s="19"/>
      <c r="K10" s="873"/>
    </row>
    <row r="11" spans="1:12">
      <c r="A11" s="5"/>
      <c r="B11" s="16" t="s">
        <v>1182</v>
      </c>
      <c r="C11" s="1906" t="s">
        <v>257</v>
      </c>
      <c r="D11" s="1906"/>
      <c r="E11" s="1906"/>
      <c r="K11" s="888"/>
    </row>
    <row r="12" spans="1:12">
      <c r="A12" s="5"/>
      <c r="B12" s="16" t="s">
        <v>190</v>
      </c>
      <c r="C12" s="1906" t="s">
        <v>127</v>
      </c>
      <c r="D12" s="1906"/>
      <c r="E12" s="1906"/>
      <c r="F12" s="1"/>
      <c r="G12" s="1"/>
      <c r="H12" s="1"/>
      <c r="K12" s="873"/>
    </row>
    <row r="13" spans="1:12">
      <c r="A13" s="5"/>
      <c r="B13" s="16" t="s">
        <v>1181</v>
      </c>
      <c r="C13" s="1906" t="s">
        <v>135</v>
      </c>
      <c r="D13" s="1906"/>
      <c r="E13" s="1906"/>
      <c r="K13" s="873"/>
    </row>
    <row r="14" spans="1:12">
      <c r="A14" s="5"/>
      <c r="B14" s="16" t="s">
        <v>1180</v>
      </c>
      <c r="C14" s="1907" t="s">
        <v>1179</v>
      </c>
      <c r="D14" s="1908"/>
      <c r="E14" s="1909"/>
      <c r="K14" s="873"/>
    </row>
    <row r="15" spans="1:12" ht="32.25" customHeight="1">
      <c r="A15" s="5"/>
      <c r="B15" s="16" t="s">
        <v>553</v>
      </c>
      <c r="C15" s="1906" t="s">
        <v>1178</v>
      </c>
      <c r="D15" s="1906"/>
      <c r="E15" s="1906"/>
      <c r="K15" s="873"/>
    </row>
    <row r="16" spans="1:12" ht="15.75" customHeight="1">
      <c r="A16" s="5"/>
      <c r="B16" s="16" t="s">
        <v>1177</v>
      </c>
      <c r="C16" s="1906" t="s">
        <v>498</v>
      </c>
      <c r="D16" s="1906"/>
      <c r="E16" s="1906"/>
      <c r="K16" s="873"/>
    </row>
    <row r="17" spans="1:12">
      <c r="A17" s="5"/>
    </row>
    <row r="18" spans="1:12">
      <c r="A18" s="5"/>
      <c r="B18" s="137" t="s">
        <v>1176</v>
      </c>
      <c r="K18" s="888"/>
    </row>
    <row r="19" spans="1:12">
      <c r="A19" s="5"/>
      <c r="B19" s="21"/>
      <c r="K19" s="873"/>
    </row>
    <row r="20" spans="1:12">
      <c r="A20" s="5"/>
      <c r="B20" s="1719" t="s">
        <v>476</v>
      </c>
      <c r="C20" s="1719"/>
      <c r="D20" s="1719"/>
      <c r="E20" s="1719"/>
    </row>
    <row r="21" spans="1:12" ht="20.25" customHeight="1">
      <c r="A21" s="5"/>
      <c r="B21" s="893" t="s">
        <v>1175</v>
      </c>
      <c r="C21" s="1903" t="s">
        <v>1174</v>
      </c>
      <c r="D21" s="1904"/>
      <c r="E21" s="1905"/>
      <c r="K21" s="888"/>
    </row>
    <row r="22" spans="1:12" ht="33" customHeight="1">
      <c r="A22" s="5"/>
      <c r="B22" s="893" t="s">
        <v>1173</v>
      </c>
      <c r="C22" s="1895" t="s">
        <v>1172</v>
      </c>
      <c r="D22" s="1896"/>
      <c r="E22" s="1897"/>
      <c r="K22" s="894"/>
    </row>
    <row r="23" spans="1:12" ht="15.75" customHeight="1">
      <c r="A23" s="5"/>
      <c r="B23" s="1889"/>
      <c r="C23" s="1890"/>
      <c r="D23" s="1890"/>
      <c r="E23" s="1891"/>
      <c r="K23" s="894"/>
    </row>
    <row r="24" spans="1:12" ht="15.75" customHeight="1">
      <c r="A24" s="5"/>
      <c r="B24" s="1719" t="s">
        <v>471</v>
      </c>
      <c r="C24" s="1719"/>
      <c r="D24" s="1719"/>
      <c r="E24" s="1719"/>
      <c r="K24" s="873"/>
    </row>
    <row r="25" spans="1:12" ht="15.75" customHeight="1">
      <c r="A25" s="5"/>
      <c r="B25" s="893" t="s">
        <v>373</v>
      </c>
      <c r="C25" s="1903" t="s">
        <v>1171</v>
      </c>
      <c r="D25" s="1904"/>
      <c r="E25" s="1905"/>
      <c r="K25" s="873"/>
    </row>
    <row r="26" spans="1:12">
      <c r="A26" s="5"/>
      <c r="B26" s="1889"/>
      <c r="C26" s="1890"/>
      <c r="D26" s="1890"/>
      <c r="E26" s="1891"/>
      <c r="K26" s="880"/>
    </row>
    <row r="27" spans="1:12">
      <c r="A27" s="5"/>
      <c r="B27" s="1719" t="s">
        <v>466</v>
      </c>
      <c r="C27" s="1719"/>
      <c r="D27" s="1719"/>
      <c r="E27" s="1719"/>
      <c r="K27" s="880"/>
    </row>
    <row r="28" spans="1:12">
      <c r="A28" s="5"/>
      <c r="B28" s="893" t="s">
        <v>1170</v>
      </c>
      <c r="C28" s="1903">
        <v>0.05</v>
      </c>
      <c r="D28" s="1904"/>
      <c r="E28" s="1905"/>
      <c r="K28" s="880"/>
    </row>
    <row r="29" spans="1:12">
      <c r="A29" s="5"/>
      <c r="B29" s="1889"/>
      <c r="C29" s="1890"/>
      <c r="D29" s="1890"/>
      <c r="E29" s="1891"/>
      <c r="K29" s="880"/>
    </row>
    <row r="30" spans="1:12">
      <c r="A30" s="5"/>
      <c r="B30" s="891" t="s">
        <v>463</v>
      </c>
      <c r="C30" s="1892">
        <v>50000</v>
      </c>
      <c r="D30" s="1893"/>
      <c r="E30" s="1894"/>
      <c r="K30" s="880"/>
    </row>
    <row r="31" spans="1:12">
      <c r="A31" s="5"/>
      <c r="K31" s="873"/>
      <c r="L31" s="880"/>
    </row>
    <row r="32" spans="1:12">
      <c r="A32" s="5"/>
      <c r="B32" s="137" t="s">
        <v>1169</v>
      </c>
      <c r="C32" s="137"/>
      <c r="D32" s="137"/>
      <c r="E32" s="877"/>
      <c r="F32" s="877"/>
      <c r="K32" s="888"/>
    </row>
    <row r="33" spans="1:21">
      <c r="A33" s="5"/>
      <c r="B33" s="138"/>
      <c r="C33" s="138"/>
      <c r="D33" s="138"/>
      <c r="E33" s="877"/>
      <c r="F33" s="877"/>
      <c r="K33" s="873"/>
    </row>
    <row r="34" spans="1:21">
      <c r="A34" s="5"/>
      <c r="B34" s="33"/>
      <c r="C34" s="890" t="s">
        <v>96</v>
      </c>
      <c r="D34" s="890" t="s">
        <v>66</v>
      </c>
      <c r="E34" s="877"/>
      <c r="F34" s="877"/>
      <c r="K34" s="873"/>
    </row>
    <row r="35" spans="1:21">
      <c r="A35" s="5"/>
      <c r="B35" s="213" t="s">
        <v>252</v>
      </c>
      <c r="C35" s="33">
        <v>50</v>
      </c>
      <c r="D35" s="33">
        <v>58</v>
      </c>
      <c r="E35" s="160"/>
      <c r="F35" s="160"/>
      <c r="K35" s="873"/>
    </row>
    <row r="36" spans="1:21">
      <c r="A36" s="5"/>
      <c r="B36" s="213" t="s">
        <v>1016</v>
      </c>
      <c r="C36" s="33">
        <v>56000</v>
      </c>
      <c r="D36" s="33">
        <v>94000</v>
      </c>
      <c r="E36" s="160"/>
      <c r="F36" s="160"/>
      <c r="K36" s="873"/>
    </row>
    <row r="37" spans="1:21">
      <c r="A37" s="5"/>
      <c r="B37" s="213" t="s">
        <v>1015</v>
      </c>
      <c r="C37" s="33">
        <v>58000</v>
      </c>
      <c r="D37" s="33">
        <v>97000</v>
      </c>
      <c r="E37" s="160"/>
      <c r="F37" s="160"/>
      <c r="K37" s="873"/>
    </row>
    <row r="38" spans="1:21">
      <c r="A38" s="5"/>
      <c r="B38" s="213" t="s">
        <v>1168</v>
      </c>
      <c r="C38" s="33">
        <v>60000</v>
      </c>
      <c r="D38" s="33">
        <v>100000</v>
      </c>
      <c r="E38" s="160"/>
      <c r="F38" s="160"/>
      <c r="K38" s="873"/>
    </row>
    <row r="39" spans="1:21">
      <c r="A39" s="5"/>
      <c r="B39" s="213" t="s">
        <v>561</v>
      </c>
      <c r="C39" s="33">
        <v>3</v>
      </c>
      <c r="D39" s="33">
        <v>11</v>
      </c>
      <c r="E39" s="160"/>
      <c r="F39" s="160"/>
      <c r="K39" s="1898"/>
      <c r="L39" s="1898"/>
      <c r="M39" s="1898"/>
      <c r="N39" s="1898"/>
      <c r="O39" s="1898"/>
      <c r="P39" s="1898"/>
      <c r="Q39" s="1898"/>
      <c r="R39" s="1898"/>
      <c r="S39" s="1898"/>
      <c r="T39" s="1898"/>
      <c r="U39" s="1898"/>
    </row>
    <row r="40" spans="1:21">
      <c r="A40" s="5"/>
      <c r="B40" s="213" t="s">
        <v>1167</v>
      </c>
      <c r="C40" s="33" t="s">
        <v>1166</v>
      </c>
      <c r="D40" s="33" t="s">
        <v>1166</v>
      </c>
      <c r="E40" s="160"/>
      <c r="F40" s="160"/>
      <c r="K40" s="889"/>
      <c r="L40" s="889"/>
      <c r="M40" s="889"/>
      <c r="N40" s="889"/>
      <c r="O40" s="889"/>
      <c r="P40" s="889"/>
      <c r="Q40" s="889"/>
      <c r="R40" s="889"/>
      <c r="S40" s="889"/>
      <c r="T40" s="889"/>
      <c r="U40" s="889"/>
    </row>
    <row r="41" spans="1:21">
      <c r="A41" s="5"/>
      <c r="E41" s="160"/>
      <c r="F41" s="160"/>
      <c r="K41" s="888"/>
    </row>
    <row r="42" spans="1:21">
      <c r="A42" s="5"/>
      <c r="B42" s="32" t="s">
        <v>1165</v>
      </c>
      <c r="E42" s="160"/>
      <c r="F42" s="160"/>
      <c r="K42" s="888"/>
    </row>
    <row r="43" spans="1:21">
      <c r="A43" s="5"/>
      <c r="B43" s="2" t="s">
        <v>1164</v>
      </c>
      <c r="D43" s="887">
        <v>200000</v>
      </c>
      <c r="E43" s="160"/>
      <c r="F43" s="160"/>
      <c r="K43" s="873"/>
    </row>
    <row r="44" spans="1:21">
      <c r="A44" s="5"/>
      <c r="D44" s="882"/>
      <c r="E44" s="160"/>
      <c r="F44" s="160"/>
      <c r="K44" s="873"/>
    </row>
    <row r="45" spans="1:21">
      <c r="A45" s="5"/>
      <c r="B45" s="2" t="s">
        <v>1163</v>
      </c>
      <c r="D45" s="887">
        <v>66667</v>
      </c>
      <c r="E45" s="160"/>
      <c r="F45" s="160"/>
      <c r="K45" s="873"/>
    </row>
    <row r="46" spans="1:21">
      <c r="A46" s="5"/>
      <c r="D46" s="882"/>
      <c r="E46" s="160"/>
      <c r="F46" s="160"/>
      <c r="K46" s="873"/>
    </row>
    <row r="47" spans="1:21">
      <c r="A47" s="5"/>
      <c r="D47" s="882"/>
      <c r="E47" s="160"/>
      <c r="F47" s="160"/>
      <c r="K47" s="873"/>
    </row>
    <row r="48" spans="1:21">
      <c r="A48" s="5"/>
      <c r="D48" s="882"/>
      <c r="E48" s="160"/>
      <c r="F48" s="160"/>
      <c r="K48" s="873"/>
    </row>
    <row r="49" spans="1:11">
      <c r="A49" s="5"/>
      <c r="B49" s="32" t="s">
        <v>1162</v>
      </c>
      <c r="F49" s="160"/>
      <c r="K49" s="873"/>
    </row>
    <row r="50" spans="1:11">
      <c r="A50" s="5"/>
      <c r="B50" s="886" t="s">
        <v>415</v>
      </c>
      <c r="C50" s="886" t="s">
        <v>1160</v>
      </c>
      <c r="D50" s="886" t="s">
        <v>415</v>
      </c>
      <c r="E50" s="886" t="s">
        <v>1159</v>
      </c>
      <c r="F50" s="160"/>
      <c r="K50" s="873"/>
    </row>
    <row r="51" spans="1:11">
      <c r="A51" s="5"/>
      <c r="B51" s="885">
        <v>0</v>
      </c>
      <c r="C51" s="884">
        <v>16.518161375996996</v>
      </c>
      <c r="D51" s="885">
        <v>0</v>
      </c>
      <c r="E51" s="884">
        <v>14.934536140536231</v>
      </c>
      <c r="F51" s="160"/>
      <c r="K51" s="873"/>
    </row>
    <row r="52" spans="1:11">
      <c r="A52" s="5"/>
      <c r="B52" s="885">
        <v>1</v>
      </c>
      <c r="C52" s="884">
        <v>15.577790298042217</v>
      </c>
      <c r="D52" s="885">
        <v>1</v>
      </c>
      <c r="E52" s="884">
        <v>14.02246093473858</v>
      </c>
      <c r="F52" s="160"/>
      <c r="K52" s="873"/>
    </row>
    <row r="53" spans="1:11">
      <c r="A53" s="5"/>
      <c r="B53" s="885">
        <v>2</v>
      </c>
      <c r="C53" s="884">
        <v>14.683759689339963</v>
      </c>
      <c r="D53" s="885">
        <v>2</v>
      </c>
      <c r="E53" s="884">
        <v>13.156800291694347</v>
      </c>
      <c r="F53" s="160"/>
      <c r="K53" s="873"/>
    </row>
    <row r="54" spans="1:11">
      <c r="A54" s="5"/>
      <c r="B54" s="885">
        <v>3</v>
      </c>
      <c r="C54" s="884">
        <v>13.834030342100629</v>
      </c>
      <c r="D54" s="885">
        <v>3</v>
      </c>
      <c r="E54" s="884">
        <v>12.334511294042565</v>
      </c>
      <c r="F54" s="160"/>
      <c r="K54" s="873"/>
    </row>
    <row r="55" spans="1:11">
      <c r="A55" s="5"/>
      <c r="B55" s="885">
        <v>4</v>
      </c>
      <c r="C55" s="884">
        <v>13.026734560680636</v>
      </c>
      <c r="D55" s="885">
        <v>4</v>
      </c>
      <c r="E55" s="884">
        <v>11.552914092919615</v>
      </c>
      <c r="F55" s="160"/>
      <c r="K55" s="873"/>
    </row>
    <row r="56" spans="1:11">
      <c r="A56" s="5"/>
      <c r="B56" s="885">
        <f t="shared" ref="B56:B66" si="0">B55+1</f>
        <v>5</v>
      </c>
      <c r="C56" s="884">
        <v>12.260249757711588</v>
      </c>
      <c r="D56" s="885">
        <v>5</v>
      </c>
      <c r="E56" s="884">
        <v>10.809642173969257</v>
      </c>
      <c r="F56" s="160"/>
      <c r="K56" s="873"/>
    </row>
    <row r="57" spans="1:11">
      <c r="A57" s="5"/>
      <c r="B57" s="885">
        <f t="shared" si="0"/>
        <v>6</v>
      </c>
      <c r="C57" s="884">
        <v>11.532950455932387</v>
      </c>
      <c r="D57" s="885">
        <v>6</v>
      </c>
      <c r="E57" s="884">
        <v>10.103074868652563</v>
      </c>
      <c r="F57" s="160"/>
      <c r="K57" s="873"/>
    </row>
    <row r="58" spans="1:11">
      <c r="A58" s="5"/>
      <c r="B58" s="885">
        <f t="shared" si="0"/>
        <v>7</v>
      </c>
      <c r="C58" s="884">
        <v>10.84330962866929</v>
      </c>
      <c r="D58" s="885">
        <v>7</v>
      </c>
      <c r="E58" s="884">
        <v>9.4316952999394488</v>
      </c>
      <c r="F58" s="160"/>
      <c r="K58" s="873"/>
    </row>
    <row r="59" spans="1:11">
      <c r="A59" s="5"/>
      <c r="B59" s="885">
        <f t="shared" si="0"/>
        <v>8</v>
      </c>
      <c r="C59" s="884">
        <v>10.189350089722998</v>
      </c>
      <c r="F59" s="160"/>
      <c r="K59" s="873"/>
    </row>
    <row r="60" spans="1:11">
      <c r="A60" s="5"/>
      <c r="B60" s="885">
        <f t="shared" si="0"/>
        <v>9</v>
      </c>
      <c r="C60" s="884">
        <v>9.569033678820217</v>
      </c>
      <c r="F60" s="160"/>
      <c r="K60" s="873"/>
    </row>
    <row r="61" spans="1:11">
      <c r="A61" s="5"/>
      <c r="B61" s="885">
        <f t="shared" si="0"/>
        <v>10</v>
      </c>
      <c r="C61" s="884">
        <v>8.9803018112389292</v>
      </c>
      <c r="F61" s="160"/>
      <c r="K61" s="873"/>
    </row>
    <row r="62" spans="1:11">
      <c r="A62" s="5"/>
      <c r="B62" s="885">
        <f t="shared" si="0"/>
        <v>11</v>
      </c>
      <c r="C62" s="884">
        <v>8.4211142341303873</v>
      </c>
      <c r="F62" s="160"/>
      <c r="K62" s="873"/>
    </row>
    <row r="63" spans="1:11">
      <c r="A63" s="5"/>
      <c r="B63" s="885">
        <f t="shared" si="0"/>
        <v>12</v>
      </c>
      <c r="C63" s="884">
        <v>7.8896525728098235</v>
      </c>
      <c r="F63" s="160"/>
      <c r="K63" s="873"/>
    </row>
    <row r="64" spans="1:11">
      <c r="A64" s="5"/>
      <c r="B64" s="885">
        <f t="shared" si="0"/>
        <v>13</v>
      </c>
      <c r="C64" s="884">
        <v>7.384294947059626</v>
      </c>
      <c r="F64" s="160"/>
      <c r="K64" s="873"/>
    </row>
    <row r="65" spans="1:11">
      <c r="A65" s="5"/>
      <c r="B65" s="885">
        <f t="shared" si="0"/>
        <v>14</v>
      </c>
      <c r="C65" s="884">
        <v>6.9038941858921588</v>
      </c>
      <c r="F65" s="160"/>
      <c r="K65" s="873"/>
    </row>
    <row r="66" spans="1:11">
      <c r="A66" s="5"/>
      <c r="B66" s="885">
        <f t="shared" si="0"/>
        <v>15</v>
      </c>
      <c r="C66" s="884">
        <v>6.447369763503553</v>
      </c>
      <c r="F66" s="160"/>
      <c r="K66" s="873"/>
    </row>
    <row r="67" spans="1:11">
      <c r="A67" s="5"/>
      <c r="F67" s="160"/>
      <c r="K67" s="873"/>
    </row>
    <row r="68" spans="1:11">
      <c r="A68" s="5"/>
      <c r="F68" s="160"/>
      <c r="K68" s="873"/>
    </row>
    <row r="69" spans="1:11">
      <c r="A69" s="5"/>
      <c r="B69" s="32" t="s">
        <v>1161</v>
      </c>
      <c r="F69" s="160"/>
      <c r="K69" s="873"/>
    </row>
    <row r="70" spans="1:11">
      <c r="A70" s="5"/>
      <c r="B70" s="886" t="s">
        <v>415</v>
      </c>
      <c r="C70" s="886" t="s">
        <v>1160</v>
      </c>
      <c r="D70" s="886" t="s">
        <v>415</v>
      </c>
      <c r="E70" s="886" t="s">
        <v>1159</v>
      </c>
      <c r="F70" s="160"/>
      <c r="K70" s="873"/>
    </row>
    <row r="71" spans="1:11">
      <c r="A71" s="5"/>
      <c r="B71" s="885">
        <v>0</v>
      </c>
      <c r="C71" s="884">
        <v>18.271912192528447</v>
      </c>
      <c r="D71" s="885">
        <v>0</v>
      </c>
      <c r="E71" s="884">
        <v>16.355592922072802</v>
      </c>
      <c r="F71" s="160"/>
      <c r="K71" s="873"/>
    </row>
    <row r="72" spans="1:11">
      <c r="A72" s="5"/>
      <c r="B72" s="885">
        <v>1</v>
      </c>
      <c r="C72" s="884">
        <v>17.331493641849775</v>
      </c>
      <c r="D72" s="885">
        <v>1</v>
      </c>
      <c r="E72" s="884">
        <v>15.445846742096187</v>
      </c>
      <c r="F72" s="160"/>
      <c r="K72" s="873"/>
    </row>
    <row r="73" spans="1:11">
      <c r="A73" s="5"/>
      <c r="B73" s="885">
        <v>2</v>
      </c>
      <c r="C73" s="884">
        <v>16.428830974356501</v>
      </c>
      <c r="D73" s="885">
        <v>2</v>
      </c>
      <c r="E73" s="884">
        <v>14.574116928839265</v>
      </c>
      <c r="F73" s="160"/>
      <c r="K73" s="873"/>
    </row>
    <row r="74" spans="1:11">
      <c r="A74" s="5"/>
      <c r="B74" s="885">
        <v>3</v>
      </c>
      <c r="C74" s="884">
        <v>15.562663181226007</v>
      </c>
      <c r="D74" s="885">
        <v>3</v>
      </c>
      <c r="E74" s="884">
        <v>13.738022007240939</v>
      </c>
      <c r="F74" s="160"/>
      <c r="K74" s="873"/>
    </row>
    <row r="75" spans="1:11">
      <c r="A75" s="5"/>
      <c r="B75" s="885">
        <v>4</v>
      </c>
      <c r="C75" s="884">
        <v>14.731862222675201</v>
      </c>
      <c r="D75" s="885">
        <v>4</v>
      </c>
      <c r="E75" s="884">
        <v>12.935508077268373</v>
      </c>
      <c r="F75" s="160"/>
      <c r="K75" s="873"/>
    </row>
    <row r="76" spans="1:11">
      <c r="A76" s="5"/>
      <c r="B76" s="885">
        <f t="shared" ref="B76:B86" si="1">B75+1</f>
        <v>5</v>
      </c>
      <c r="C76" s="884">
        <v>13.93552133986136</v>
      </c>
      <c r="D76" s="885">
        <v>5</v>
      </c>
      <c r="E76" s="884">
        <v>12.164803210615675</v>
      </c>
      <c r="F76" s="160"/>
      <c r="K76" s="873"/>
    </row>
    <row r="77" spans="1:11">
      <c r="A77" s="5"/>
      <c r="B77" s="885">
        <f t="shared" si="1"/>
        <v>6</v>
      </c>
      <c r="C77" s="884">
        <v>13.172678663232045</v>
      </c>
      <c r="D77" s="885">
        <v>6</v>
      </c>
      <c r="E77" s="884">
        <v>11.424914242578584</v>
      </c>
      <c r="F77" s="160"/>
      <c r="K77" s="873"/>
    </row>
    <row r="78" spans="1:11">
      <c r="A78" s="5"/>
      <c r="B78" s="885">
        <f t="shared" si="1"/>
        <v>7</v>
      </c>
      <c r="C78" s="884">
        <v>12.442433728381097</v>
      </c>
      <c r="D78" s="885">
        <v>7</v>
      </c>
      <c r="E78" s="884">
        <v>10.714916297599457</v>
      </c>
      <c r="F78" s="160"/>
      <c r="K78" s="873"/>
    </row>
    <row r="79" spans="1:11">
      <c r="A79" s="5"/>
      <c r="B79" s="885">
        <f t="shared" si="1"/>
        <v>8</v>
      </c>
      <c r="C79" s="884">
        <v>11.743319007496538</v>
      </c>
      <c r="F79" s="160"/>
      <c r="K79" s="873"/>
    </row>
    <row r="80" spans="1:11">
      <c r="A80" s="5"/>
      <c r="B80" s="885">
        <f t="shared" si="1"/>
        <v>9</v>
      </c>
      <c r="C80" s="884">
        <v>11.07374125275137</v>
      </c>
      <c r="F80" s="160"/>
      <c r="K80" s="873"/>
    </row>
    <row r="81" spans="1:27">
      <c r="A81" s="5"/>
      <c r="B81" s="885">
        <f t="shared" si="1"/>
        <v>10</v>
      </c>
      <c r="C81" s="884">
        <v>10.432028867529004</v>
      </c>
      <c r="F81" s="160"/>
      <c r="K81" s="873"/>
    </row>
    <row r="82" spans="1:27">
      <c r="A82" s="5"/>
      <c r="B82" s="885">
        <f t="shared" si="1"/>
        <v>11</v>
      </c>
      <c r="C82" s="884">
        <v>9.8179030437869237</v>
      </c>
      <c r="F82" s="160"/>
      <c r="K82" s="873"/>
    </row>
    <row r="83" spans="1:27">
      <c r="A83" s="5"/>
      <c r="B83" s="885">
        <f t="shared" si="1"/>
        <v>12</v>
      </c>
      <c r="C83" s="884">
        <v>9.2314518611555609</v>
      </c>
      <c r="F83" s="160"/>
      <c r="K83" s="873"/>
    </row>
    <row r="84" spans="1:27">
      <c r="A84" s="5"/>
      <c r="B84" s="885">
        <f t="shared" si="1"/>
        <v>13</v>
      </c>
      <c r="C84" s="884">
        <v>8.6711346790691906</v>
      </c>
      <c r="F84" s="160"/>
      <c r="K84" s="873"/>
    </row>
    <row r="85" spans="1:27">
      <c r="A85" s="5"/>
      <c r="B85" s="885">
        <f t="shared" si="1"/>
        <v>14</v>
      </c>
      <c r="C85" s="884">
        <v>8.1359427571075233</v>
      </c>
      <c r="F85" s="160"/>
      <c r="K85" s="873"/>
    </row>
    <row r="86" spans="1:27">
      <c r="A86" s="5"/>
      <c r="B86" s="885">
        <f t="shared" si="1"/>
        <v>15</v>
      </c>
      <c r="C86" s="884">
        <v>7.6249256593934964</v>
      </c>
      <c r="D86" s="883"/>
      <c r="E86" s="883"/>
      <c r="F86" s="160"/>
      <c r="K86" s="873"/>
    </row>
    <row r="87" spans="1:27">
      <c r="A87" s="5"/>
      <c r="D87" s="882"/>
      <c r="E87" s="160"/>
      <c r="F87" s="160"/>
      <c r="K87" s="873"/>
    </row>
    <row r="88" spans="1:27">
      <c r="A88" s="5"/>
      <c r="C88" s="881"/>
      <c r="E88" s="160"/>
      <c r="F88" s="160"/>
    </row>
    <row r="89" spans="1:27">
      <c r="A89" s="5"/>
      <c r="B89" s="878" t="s">
        <v>1158</v>
      </c>
      <c r="C89" s="878"/>
      <c r="D89" s="878"/>
      <c r="E89" s="878"/>
      <c r="F89" s="878"/>
      <c r="K89" s="873"/>
      <c r="L89" s="880"/>
    </row>
    <row r="90" spans="1:27">
      <c r="A90" s="5"/>
      <c r="B90" s="878"/>
      <c r="C90" s="878"/>
      <c r="D90" s="878"/>
      <c r="E90" s="878"/>
      <c r="F90" s="878"/>
      <c r="K90" s="873"/>
      <c r="L90" s="880"/>
    </row>
    <row r="91" spans="1:27">
      <c r="A91" s="5"/>
      <c r="B91" s="1629" t="s">
        <v>29</v>
      </c>
      <c r="C91" s="1630"/>
      <c r="D91" s="1630"/>
      <c r="E91" s="1630"/>
      <c r="F91" s="1631"/>
      <c r="K91" s="873"/>
    </row>
    <row r="92" spans="1:27">
      <c r="A92" s="5"/>
      <c r="B92" s="1632"/>
      <c r="C92" s="1633"/>
      <c r="D92" s="1633"/>
      <c r="E92" s="1633"/>
      <c r="F92" s="1634"/>
      <c r="J92" s="879"/>
      <c r="K92" s="873"/>
      <c r="L92" s="873"/>
      <c r="M92" s="873"/>
      <c r="N92" s="873"/>
      <c r="O92" s="873"/>
      <c r="P92" s="873"/>
      <c r="Q92" s="873"/>
      <c r="R92" s="873"/>
      <c r="S92" s="873"/>
      <c r="T92" s="873"/>
      <c r="U92" s="873"/>
      <c r="V92" s="873"/>
      <c r="W92" s="873"/>
      <c r="X92" s="873"/>
      <c r="Y92" s="874"/>
      <c r="Z92" s="874"/>
      <c r="AA92" s="874"/>
    </row>
    <row r="93" spans="1:27">
      <c r="A93" s="5"/>
      <c r="B93" s="878"/>
      <c r="C93" s="878"/>
      <c r="D93" s="878"/>
      <c r="E93" s="878"/>
      <c r="F93" s="878"/>
      <c r="G93" s="876"/>
      <c r="H93" s="876"/>
      <c r="J93" s="879"/>
      <c r="K93" s="873"/>
      <c r="L93" s="873"/>
      <c r="M93" s="873"/>
      <c r="N93" s="873"/>
      <c r="O93" s="873"/>
      <c r="P93" s="873"/>
      <c r="Q93" s="873"/>
      <c r="R93" s="873"/>
      <c r="S93" s="873"/>
      <c r="T93" s="873"/>
      <c r="U93" s="873"/>
      <c r="V93" s="873"/>
      <c r="W93" s="873"/>
      <c r="X93" s="873"/>
      <c r="Y93" s="874"/>
      <c r="Z93" s="874"/>
      <c r="AA93" s="874"/>
    </row>
    <row r="94" spans="1:27">
      <c r="A94" s="5"/>
      <c r="B94" s="878" t="s">
        <v>1157</v>
      </c>
      <c r="C94" s="878"/>
      <c r="D94" s="878"/>
      <c r="E94" s="878"/>
      <c r="F94" s="878"/>
      <c r="G94" s="876"/>
      <c r="H94" s="876"/>
      <c r="J94" s="879"/>
      <c r="K94" s="873"/>
      <c r="L94" s="873"/>
      <c r="W94" s="874"/>
      <c r="X94" s="874"/>
      <c r="Y94" s="874"/>
      <c r="Z94" s="874"/>
      <c r="AA94" s="874"/>
    </row>
    <row r="95" spans="1:27">
      <c r="A95" s="5"/>
      <c r="B95" s="878"/>
      <c r="C95" s="878"/>
      <c r="D95" s="878"/>
      <c r="E95" s="878"/>
      <c r="F95" s="878"/>
      <c r="G95" s="876"/>
      <c r="H95" s="876"/>
      <c r="J95" s="879"/>
      <c r="K95" s="873"/>
      <c r="L95" s="873"/>
      <c r="W95" s="874"/>
      <c r="X95" s="874"/>
      <c r="Y95" s="874"/>
      <c r="Z95" s="874"/>
      <c r="AA95" s="874"/>
    </row>
    <row r="96" spans="1:27">
      <c r="A96" s="5"/>
      <c r="B96" s="1899" t="s">
        <v>1156</v>
      </c>
      <c r="C96" s="1900"/>
      <c r="D96" s="1900"/>
      <c r="E96" s="1900"/>
      <c r="F96" s="1901"/>
      <c r="G96" s="72"/>
      <c r="H96" s="875"/>
      <c r="J96" s="879"/>
      <c r="L96" s="873"/>
      <c r="M96" s="873"/>
      <c r="N96" s="873"/>
      <c r="O96" s="873"/>
      <c r="P96" s="873"/>
      <c r="Q96" s="873"/>
      <c r="R96" s="873"/>
      <c r="S96" s="873"/>
      <c r="T96" s="873"/>
      <c r="U96" s="873"/>
      <c r="V96" s="873"/>
      <c r="W96" s="873"/>
      <c r="X96" s="873"/>
      <c r="Y96" s="873"/>
      <c r="Z96" s="873"/>
      <c r="AA96" s="874"/>
    </row>
    <row r="97" spans="1:33">
      <c r="A97" s="5"/>
      <c r="B97" s="878"/>
      <c r="C97" s="878"/>
      <c r="D97" s="878"/>
      <c r="E97" s="878"/>
      <c r="F97" s="878"/>
      <c r="G97" s="72"/>
      <c r="H97" s="875"/>
      <c r="K97" s="873"/>
      <c r="L97" s="873"/>
    </row>
    <row r="98" spans="1:33">
      <c r="A98" s="5"/>
      <c r="B98" s="878"/>
      <c r="C98" s="878"/>
      <c r="D98" s="878"/>
      <c r="E98" s="878"/>
      <c r="F98" s="878"/>
      <c r="G98" s="72"/>
      <c r="H98" s="875"/>
      <c r="K98" s="873"/>
      <c r="L98" s="873"/>
    </row>
    <row r="99" spans="1:33">
      <c r="A99" s="5"/>
      <c r="B99" s="878"/>
      <c r="C99" s="878"/>
      <c r="D99" s="878"/>
      <c r="E99" s="878"/>
      <c r="F99" s="878"/>
      <c r="G99" s="72"/>
      <c r="H99" s="875"/>
      <c r="K99" s="873"/>
      <c r="L99" s="873"/>
    </row>
    <row r="100" spans="1:33">
      <c r="A100" s="5"/>
      <c r="B100" s="1902"/>
      <c r="C100" s="1902"/>
      <c r="D100" s="1902"/>
      <c r="E100" s="1902"/>
      <c r="F100" s="1902"/>
      <c r="G100" s="72"/>
      <c r="H100" s="875"/>
      <c r="K100" s="873"/>
    </row>
    <row r="101" spans="1:33">
      <c r="A101" s="5"/>
      <c r="B101" s="1902"/>
      <c r="C101" s="1902"/>
      <c r="D101" s="1902"/>
      <c r="E101" s="1902"/>
      <c r="F101" s="1902"/>
      <c r="G101" s="72"/>
      <c r="H101" s="875"/>
      <c r="K101" s="873"/>
      <c r="M101" s="873"/>
    </row>
    <row r="102" spans="1:33">
      <c r="A102" s="5"/>
      <c r="B102" s="160"/>
      <c r="E102" s="160"/>
      <c r="F102" s="72"/>
      <c r="G102" s="72"/>
      <c r="H102" s="875"/>
      <c r="M102" s="873"/>
    </row>
    <row r="103" spans="1:33">
      <c r="A103" s="5"/>
      <c r="K103" s="873"/>
      <c r="M103" s="873"/>
    </row>
    <row r="104" spans="1:33">
      <c r="A104" s="5"/>
      <c r="B104" s="32"/>
      <c r="W104"/>
      <c r="X104"/>
      <c r="Y104"/>
    </row>
    <row r="105" spans="1:33">
      <c r="A105" s="5"/>
      <c r="B105" s="877"/>
      <c r="C105" s="876"/>
      <c r="D105" s="876"/>
      <c r="J105" s="874"/>
      <c r="W105"/>
      <c r="X105"/>
      <c r="Y105"/>
      <c r="Z105"/>
      <c r="AA105"/>
      <c r="AB105"/>
      <c r="AC105"/>
      <c r="AD105"/>
      <c r="AE105"/>
      <c r="AF105"/>
      <c r="AG105"/>
    </row>
    <row r="106" spans="1:33">
      <c r="A106" s="5"/>
      <c r="B106" s="877"/>
      <c r="C106" s="876"/>
      <c r="D106" s="876"/>
      <c r="J106" s="874"/>
      <c r="W106"/>
      <c r="X106"/>
      <c r="Y106"/>
      <c r="Z106"/>
      <c r="AA106"/>
      <c r="AB106"/>
      <c r="AC106"/>
      <c r="AD106"/>
      <c r="AE106"/>
      <c r="AF106"/>
      <c r="AG106"/>
    </row>
    <row r="107" spans="1:33">
      <c r="A107" s="5"/>
      <c r="B107" s="160"/>
      <c r="D107" s="875"/>
      <c r="J107" s="874"/>
      <c r="W107"/>
      <c r="X107"/>
      <c r="Y107"/>
      <c r="Z107"/>
      <c r="AA107"/>
      <c r="AB107"/>
      <c r="AC107"/>
      <c r="AD107"/>
      <c r="AE107"/>
      <c r="AF107"/>
      <c r="AG107"/>
    </row>
    <row r="108" spans="1:33">
      <c r="A108" s="5"/>
      <c r="B108" s="160"/>
      <c r="D108" s="875"/>
      <c r="J108" s="874"/>
      <c r="W108" s="874"/>
      <c r="X108" s="874"/>
      <c r="Y108"/>
      <c r="Z108"/>
      <c r="AA108"/>
      <c r="AB108"/>
      <c r="AC108"/>
      <c r="AD108"/>
      <c r="AE108"/>
      <c r="AF108"/>
      <c r="AG108"/>
    </row>
    <row r="109" spans="1:33">
      <c r="A109" s="5"/>
      <c r="J109" s="874"/>
      <c r="W109" s="874"/>
      <c r="X109" s="874"/>
      <c r="Y109"/>
      <c r="Z109"/>
      <c r="AA109"/>
      <c r="AB109"/>
      <c r="AC109"/>
      <c r="AD109"/>
      <c r="AE109"/>
      <c r="AF109"/>
      <c r="AG109"/>
    </row>
    <row r="110" spans="1:33">
      <c r="A110" s="5"/>
      <c r="J110" s="874"/>
      <c r="W110" s="874"/>
      <c r="X110" s="874"/>
      <c r="Y110"/>
      <c r="Z110"/>
      <c r="AA110"/>
      <c r="AB110"/>
      <c r="AC110"/>
      <c r="AD110"/>
      <c r="AE110"/>
      <c r="AF110"/>
      <c r="AG110"/>
    </row>
    <row r="111" spans="1:33">
      <c r="A111" s="5"/>
      <c r="J111" s="874"/>
      <c r="W111" s="874"/>
      <c r="X111" s="874"/>
      <c r="Y111"/>
      <c r="Z111"/>
      <c r="AA111"/>
      <c r="AB111"/>
      <c r="AC111"/>
      <c r="AD111"/>
      <c r="AE111"/>
      <c r="AF111"/>
      <c r="AG111"/>
    </row>
    <row r="112" spans="1:33">
      <c r="A112" s="5"/>
      <c r="C112" s="5"/>
      <c r="D112" s="5"/>
      <c r="E112" s="5"/>
      <c r="F112" s="5"/>
      <c r="G112" s="5"/>
      <c r="H112" s="5"/>
      <c r="J112" s="874"/>
      <c r="W112" s="874"/>
      <c r="X112" s="874"/>
      <c r="Y112"/>
      <c r="Z112"/>
      <c r="AA112"/>
      <c r="AB112"/>
      <c r="AC112"/>
      <c r="AD112"/>
      <c r="AE112"/>
      <c r="AF112"/>
      <c r="AG112"/>
    </row>
    <row r="113" spans="1:24">
      <c r="A113" s="5"/>
      <c r="C113" s="5"/>
      <c r="D113" s="5"/>
      <c r="E113" s="5"/>
      <c r="F113" s="5"/>
      <c r="G113" s="5"/>
      <c r="H113" s="5"/>
      <c r="J113" s="874"/>
      <c r="W113" s="874"/>
      <c r="X113" s="874"/>
    </row>
    <row r="114" spans="1:24">
      <c r="A114" s="5"/>
      <c r="J114" s="874"/>
      <c r="W114" s="874"/>
      <c r="X114" s="874"/>
    </row>
    <row r="115" spans="1:24">
      <c r="A115" s="5"/>
      <c r="J115" s="874"/>
      <c r="W115" s="874"/>
      <c r="X115" s="874"/>
    </row>
    <row r="116" spans="1:24">
      <c r="A116" s="5"/>
      <c r="J116" s="874"/>
      <c r="W116" s="874"/>
      <c r="X116" s="874"/>
    </row>
    <row r="117" spans="1:24">
      <c r="A117" s="5"/>
      <c r="L117" s="873"/>
    </row>
    <row r="118" spans="1:24">
      <c r="A118" s="5"/>
    </row>
    <row r="119" spans="1:24">
      <c r="A119" s="5"/>
    </row>
    <row r="120" spans="1:24">
      <c r="A120" s="5"/>
    </row>
    <row r="121" spans="1:24">
      <c r="A121" s="5"/>
      <c r="C121" s="5"/>
      <c r="D121" s="5"/>
      <c r="E121" s="5"/>
      <c r="F121" s="5"/>
      <c r="G121" s="5"/>
      <c r="H121" s="5"/>
    </row>
    <row r="122" spans="1:24">
      <c r="A122" s="5"/>
    </row>
    <row r="123" spans="1:24">
      <c r="A123" s="5"/>
    </row>
    <row r="124" spans="1:24">
      <c r="A124" s="5"/>
    </row>
    <row r="125" spans="1:24">
      <c r="A125" s="5"/>
    </row>
    <row r="126" spans="1:24">
      <c r="A126" s="5"/>
    </row>
    <row r="127" spans="1:24">
      <c r="A127" s="5"/>
    </row>
    <row r="128" spans="1:24">
      <c r="A128" s="5"/>
    </row>
    <row r="129" spans="1:1">
      <c r="A129" s="5"/>
    </row>
    <row r="130" spans="1:1">
      <c r="A130" s="5"/>
    </row>
    <row r="131" spans="1:1">
      <c r="A131" s="5"/>
    </row>
    <row r="132" spans="1:1">
      <c r="A132" s="5"/>
    </row>
    <row r="133" spans="1:1">
      <c r="A133" s="5"/>
    </row>
    <row r="134" spans="1:1">
      <c r="A134" s="5"/>
    </row>
    <row r="135" spans="1:1">
      <c r="A135" s="5"/>
    </row>
    <row r="136" spans="1:1">
      <c r="A136" s="5"/>
    </row>
    <row r="137" spans="1:1">
      <c r="A137" s="5"/>
    </row>
    <row r="138" spans="1:1">
      <c r="A138" s="5"/>
    </row>
    <row r="139" spans="1:1">
      <c r="A139" s="5"/>
    </row>
    <row r="140" spans="1:1">
      <c r="A140" s="5"/>
    </row>
    <row r="141" spans="1:1">
      <c r="A141" s="5"/>
    </row>
    <row r="142" spans="1:1">
      <c r="A142" s="5"/>
    </row>
    <row r="143" spans="1:1">
      <c r="A143" s="5"/>
    </row>
    <row r="144" spans="1:1">
      <c r="A144" s="5"/>
    </row>
    <row r="145" spans="1:1">
      <c r="A145" s="5"/>
    </row>
    <row r="146" spans="1:1">
      <c r="A146" s="5"/>
    </row>
    <row r="147" spans="1:1">
      <c r="A147" s="5"/>
    </row>
    <row r="148" spans="1:1">
      <c r="A148" s="5"/>
    </row>
    <row r="149" spans="1:1">
      <c r="A149" s="5"/>
    </row>
    <row r="150" spans="1:1">
      <c r="A150" s="5"/>
    </row>
    <row r="151" spans="1:1">
      <c r="A151" s="5"/>
    </row>
    <row r="152" spans="1:1">
      <c r="A152" s="5"/>
    </row>
    <row r="153" spans="1:1">
      <c r="A153" s="5"/>
    </row>
    <row r="154" spans="1:1">
      <c r="A154" s="5"/>
    </row>
    <row r="155" spans="1:1">
      <c r="A155" s="5"/>
    </row>
    <row r="156" spans="1:1">
      <c r="A156" s="5"/>
    </row>
    <row r="157" spans="1:1">
      <c r="A157" s="5"/>
    </row>
    <row r="158" spans="1:1">
      <c r="A158" s="5"/>
    </row>
    <row r="159" spans="1:1">
      <c r="A159" s="5"/>
    </row>
    <row r="160" spans="1:1">
      <c r="A160" s="5"/>
    </row>
    <row r="161" spans="1:1">
      <c r="A161" s="5"/>
    </row>
    <row r="162" spans="1:1">
      <c r="A162" s="5"/>
    </row>
    <row r="163" spans="1:1">
      <c r="A163" s="5"/>
    </row>
    <row r="164" spans="1:1">
      <c r="A164" s="5"/>
    </row>
    <row r="165" spans="1:1">
      <c r="A165" s="5"/>
    </row>
    <row r="166" spans="1:1">
      <c r="A166" s="5"/>
    </row>
    <row r="167" spans="1:1">
      <c r="A167" s="5"/>
    </row>
    <row r="168" spans="1:1">
      <c r="A168" s="5"/>
    </row>
    <row r="169" spans="1:1">
      <c r="A169" s="5"/>
    </row>
    <row r="170" spans="1:1">
      <c r="A170" s="5"/>
    </row>
    <row r="171" spans="1:1">
      <c r="A171" s="5"/>
    </row>
    <row r="172" spans="1:1">
      <c r="A172" s="5"/>
    </row>
    <row r="173" spans="1:1">
      <c r="A173" s="5"/>
    </row>
    <row r="174" spans="1:1">
      <c r="A174" s="5"/>
    </row>
    <row r="175" spans="1:1">
      <c r="A175" s="5"/>
    </row>
    <row r="176" spans="1:1">
      <c r="A176" s="5"/>
    </row>
    <row r="177" spans="1:1">
      <c r="A177" s="5"/>
    </row>
    <row r="178" spans="1:1">
      <c r="A178" s="5"/>
    </row>
    <row r="179" spans="1:1">
      <c r="A179" s="5"/>
    </row>
    <row r="180" spans="1:1">
      <c r="A180" s="5"/>
    </row>
    <row r="181" spans="1:1">
      <c r="A181" s="5"/>
    </row>
    <row r="182" spans="1:1">
      <c r="A182" s="5"/>
    </row>
    <row r="183" spans="1:1">
      <c r="A183" s="5"/>
    </row>
    <row r="184" spans="1:1">
      <c r="A184" s="5"/>
    </row>
    <row r="185" spans="1:1">
      <c r="A185" s="5"/>
    </row>
    <row r="186" spans="1:1">
      <c r="A186" s="5"/>
    </row>
    <row r="187" spans="1:1">
      <c r="A187" s="5"/>
    </row>
    <row r="188" spans="1:1">
      <c r="A188" s="5"/>
    </row>
    <row r="189" spans="1:1">
      <c r="A189" s="5"/>
    </row>
    <row r="190" spans="1:1">
      <c r="A190" s="5"/>
    </row>
    <row r="191" spans="1:1">
      <c r="A191" s="5"/>
    </row>
    <row r="192" spans="1:1">
      <c r="A192" s="5"/>
    </row>
    <row r="193" spans="1:1">
      <c r="A193" s="5"/>
    </row>
    <row r="194" spans="1:1">
      <c r="A194" s="5"/>
    </row>
    <row r="195" spans="1:1">
      <c r="A195" s="5"/>
    </row>
    <row r="196" spans="1:1">
      <c r="A196" s="5"/>
    </row>
    <row r="197" spans="1:1">
      <c r="A197" s="5"/>
    </row>
    <row r="198" spans="1:1">
      <c r="A198" s="5"/>
    </row>
    <row r="199" spans="1:1">
      <c r="A199" s="5"/>
    </row>
    <row r="200" spans="1:1">
      <c r="A200" s="5"/>
    </row>
    <row r="201" spans="1:1">
      <c r="A201" s="5"/>
    </row>
    <row r="202" spans="1:1">
      <c r="A202" s="5"/>
    </row>
    <row r="203" spans="1:1">
      <c r="A203" s="5"/>
    </row>
    <row r="204" spans="1:1">
      <c r="A204" s="5"/>
    </row>
    <row r="205" spans="1:1">
      <c r="A205" s="5"/>
    </row>
    <row r="206" spans="1:1">
      <c r="A206" s="5"/>
    </row>
    <row r="207" spans="1:1">
      <c r="A207" s="5"/>
    </row>
    <row r="208" spans="1:1">
      <c r="A208" s="5"/>
    </row>
    <row r="209" spans="1:1">
      <c r="A209" s="5"/>
    </row>
    <row r="210" spans="1:1">
      <c r="A210" s="5"/>
    </row>
    <row r="211" spans="1:1">
      <c r="A211" s="5"/>
    </row>
    <row r="212" spans="1:1">
      <c r="A212" s="5"/>
    </row>
    <row r="213" spans="1:1">
      <c r="A213" s="5"/>
    </row>
    <row r="214" spans="1:1">
      <c r="A214" s="5"/>
    </row>
    <row r="215" spans="1:1">
      <c r="A215" s="5"/>
    </row>
    <row r="216" spans="1:1">
      <c r="A216" s="5"/>
    </row>
    <row r="217" spans="1:1">
      <c r="A217" s="5"/>
    </row>
    <row r="218" spans="1:1">
      <c r="A218" s="5"/>
    </row>
    <row r="219" spans="1:1">
      <c r="A219" s="5"/>
    </row>
    <row r="220" spans="1:1">
      <c r="A220" s="5"/>
    </row>
    <row r="221" spans="1:1">
      <c r="A221" s="5"/>
    </row>
    <row r="222" spans="1:1">
      <c r="A222" s="5"/>
    </row>
    <row r="223" spans="1:1">
      <c r="A223" s="5"/>
    </row>
    <row r="224" spans="1:1">
      <c r="A224" s="5"/>
    </row>
    <row r="225" spans="1:1">
      <c r="A225" s="5"/>
    </row>
    <row r="226" spans="1:1">
      <c r="A226" s="5"/>
    </row>
    <row r="227" spans="1:1">
      <c r="A227" s="5"/>
    </row>
    <row r="228" spans="1:1">
      <c r="A228" s="5"/>
    </row>
    <row r="229" spans="1:1">
      <c r="A229" s="5"/>
    </row>
    <row r="230" spans="1:1">
      <c r="A230" s="5"/>
    </row>
    <row r="231" spans="1:1">
      <c r="A231" s="5"/>
    </row>
    <row r="232" spans="1:1">
      <c r="A232" s="5"/>
    </row>
    <row r="233" spans="1:1">
      <c r="A233" s="5"/>
    </row>
    <row r="234" spans="1:1">
      <c r="A234" s="5"/>
    </row>
    <row r="235" spans="1:1">
      <c r="A235" s="5"/>
    </row>
    <row r="236" spans="1:1">
      <c r="A236" s="5"/>
    </row>
    <row r="237" spans="1:1">
      <c r="A237" s="5"/>
    </row>
    <row r="238" spans="1:1">
      <c r="A238" s="5"/>
    </row>
    <row r="239" spans="1:1">
      <c r="A239" s="5"/>
    </row>
    <row r="240" spans="1:1">
      <c r="A240" s="5"/>
    </row>
    <row r="241" spans="1:1">
      <c r="A241" s="5"/>
    </row>
    <row r="242" spans="1:1">
      <c r="A242" s="5"/>
    </row>
    <row r="243" spans="1:1">
      <c r="A243" s="5"/>
    </row>
    <row r="244" spans="1:1">
      <c r="A244" s="5"/>
    </row>
    <row r="245" spans="1:1">
      <c r="A245" s="5"/>
    </row>
    <row r="246" spans="1:1">
      <c r="A246" s="5"/>
    </row>
    <row r="247" spans="1:1">
      <c r="A247" s="5"/>
    </row>
    <row r="248" spans="1:1">
      <c r="A248" s="5"/>
    </row>
    <row r="249" spans="1:1">
      <c r="A249" s="5"/>
    </row>
    <row r="250" spans="1:1">
      <c r="A250" s="5"/>
    </row>
    <row r="251" spans="1:1">
      <c r="A251" s="5"/>
    </row>
    <row r="252" spans="1:1">
      <c r="A252" s="5"/>
    </row>
    <row r="253" spans="1:1">
      <c r="A253" s="5"/>
    </row>
    <row r="254" spans="1:1">
      <c r="A254" s="5"/>
    </row>
    <row r="255" spans="1:1">
      <c r="A255" s="5"/>
    </row>
    <row r="256" spans="1:1">
      <c r="A256" s="5"/>
    </row>
    <row r="257" spans="1:1">
      <c r="A257" s="5"/>
    </row>
    <row r="258" spans="1:1">
      <c r="A258" s="5"/>
    </row>
    <row r="259" spans="1:1">
      <c r="A259" s="5"/>
    </row>
    <row r="260" spans="1:1">
      <c r="A260" s="5"/>
    </row>
    <row r="261" spans="1:1">
      <c r="A261" s="5"/>
    </row>
    <row r="262" spans="1:1">
      <c r="A262" s="5"/>
    </row>
    <row r="263" spans="1:1">
      <c r="A263" s="5"/>
    </row>
    <row r="264" spans="1:1">
      <c r="A264" s="5"/>
    </row>
    <row r="265" spans="1:1">
      <c r="A265" s="5"/>
    </row>
    <row r="266" spans="1:1">
      <c r="A266" s="5"/>
    </row>
    <row r="267" spans="1:1">
      <c r="A267" s="5"/>
    </row>
    <row r="268" spans="1:1">
      <c r="A268" s="5"/>
    </row>
    <row r="269" spans="1:1">
      <c r="A269" s="5"/>
    </row>
    <row r="270" spans="1:1">
      <c r="A270" s="5"/>
    </row>
    <row r="271" spans="1:1">
      <c r="A271" s="5"/>
    </row>
    <row r="272" spans="1:1">
      <c r="A272" s="5"/>
    </row>
    <row r="273" spans="1:1">
      <c r="A273" s="5"/>
    </row>
    <row r="274" spans="1:1">
      <c r="A274" s="5"/>
    </row>
    <row r="275" spans="1:1">
      <c r="A275" s="5"/>
    </row>
    <row r="276" spans="1:1">
      <c r="A276" s="5"/>
    </row>
    <row r="277" spans="1:1">
      <c r="A277" s="5"/>
    </row>
    <row r="278" spans="1:1">
      <c r="A278" s="5"/>
    </row>
    <row r="279" spans="1:1">
      <c r="A279" s="5"/>
    </row>
    <row r="280" spans="1:1">
      <c r="A280" s="5"/>
    </row>
    <row r="281" spans="1:1">
      <c r="A281" s="5"/>
    </row>
    <row r="282" spans="1:1">
      <c r="A282" s="5"/>
    </row>
    <row r="283" spans="1:1">
      <c r="A283" s="5"/>
    </row>
    <row r="284" spans="1:1">
      <c r="A284" s="5"/>
    </row>
    <row r="285" spans="1:1">
      <c r="A285" s="5"/>
    </row>
    <row r="286" spans="1:1">
      <c r="A286" s="5"/>
    </row>
    <row r="287" spans="1:1">
      <c r="A287" s="5"/>
    </row>
    <row r="288" spans="1:1">
      <c r="A288" s="5"/>
    </row>
    <row r="289" spans="1:1">
      <c r="A289" s="5"/>
    </row>
    <row r="290" spans="1:1">
      <c r="A290" s="5"/>
    </row>
    <row r="291" spans="1:1">
      <c r="A291" s="5"/>
    </row>
    <row r="292" spans="1:1">
      <c r="A292" s="5"/>
    </row>
    <row r="293" spans="1:1">
      <c r="A293" s="5"/>
    </row>
    <row r="294" spans="1:1">
      <c r="A294" s="5"/>
    </row>
    <row r="295" spans="1:1">
      <c r="A295" s="5"/>
    </row>
    <row r="296" spans="1:1">
      <c r="A296" s="5"/>
    </row>
    <row r="297" spans="1:1">
      <c r="A297" s="5"/>
    </row>
    <row r="298" spans="1:1">
      <c r="A298" s="5"/>
    </row>
    <row r="299" spans="1:1">
      <c r="A299" s="5"/>
    </row>
    <row r="300" spans="1:1">
      <c r="A300" s="5"/>
    </row>
    <row r="301" spans="1:1">
      <c r="A301" s="5"/>
    </row>
    <row r="302" spans="1:1">
      <c r="A302" s="5"/>
    </row>
    <row r="303" spans="1:1">
      <c r="A303" s="5"/>
    </row>
    <row r="304" spans="1:1">
      <c r="A304" s="5"/>
    </row>
    <row r="305" spans="1:1">
      <c r="A305" s="5"/>
    </row>
    <row r="306" spans="1:1">
      <c r="A306" s="5"/>
    </row>
    <row r="307" spans="1:1">
      <c r="A307" s="5"/>
    </row>
    <row r="308" spans="1:1">
      <c r="A308" s="5"/>
    </row>
    <row r="309" spans="1:1">
      <c r="A309" s="5"/>
    </row>
    <row r="310" spans="1:1">
      <c r="A310" s="5"/>
    </row>
    <row r="311" spans="1:1">
      <c r="A311" s="5"/>
    </row>
    <row r="312" spans="1:1">
      <c r="A312" s="5"/>
    </row>
    <row r="313" spans="1:1">
      <c r="A313" s="5"/>
    </row>
    <row r="314" spans="1:1">
      <c r="A314" s="5"/>
    </row>
    <row r="315" spans="1:1">
      <c r="A315" s="5"/>
    </row>
    <row r="316" spans="1:1">
      <c r="A316" s="5"/>
    </row>
    <row r="317" spans="1:1">
      <c r="A317" s="5"/>
    </row>
    <row r="318" spans="1:1">
      <c r="A318" s="5"/>
    </row>
    <row r="319" spans="1:1">
      <c r="A319" s="5"/>
    </row>
    <row r="320" spans="1:1">
      <c r="A320" s="5"/>
    </row>
    <row r="321" spans="1:1">
      <c r="A321" s="5"/>
    </row>
    <row r="322" spans="1:1">
      <c r="A322" s="5"/>
    </row>
    <row r="323" spans="1:1">
      <c r="A323" s="5"/>
    </row>
    <row r="324" spans="1:1">
      <c r="A324" s="5"/>
    </row>
    <row r="325" spans="1:1">
      <c r="A325" s="5"/>
    </row>
    <row r="326" spans="1:1">
      <c r="A326" s="5"/>
    </row>
    <row r="327" spans="1:1">
      <c r="A327" s="5"/>
    </row>
    <row r="328" spans="1:1">
      <c r="A328" s="5"/>
    </row>
    <row r="329" spans="1:1">
      <c r="A329" s="5"/>
    </row>
    <row r="330" spans="1:1">
      <c r="A330" s="5"/>
    </row>
    <row r="331" spans="1:1">
      <c r="A331" s="5"/>
    </row>
    <row r="332" spans="1:1">
      <c r="A332" s="5"/>
    </row>
    <row r="333" spans="1:1">
      <c r="A333" s="5"/>
    </row>
    <row r="334" spans="1:1">
      <c r="A334" s="5"/>
    </row>
    <row r="335" spans="1:1">
      <c r="A335" s="5"/>
    </row>
    <row r="336" spans="1:1">
      <c r="A336" s="5"/>
    </row>
    <row r="337" spans="1:1">
      <c r="A337" s="5"/>
    </row>
    <row r="338" spans="1:1">
      <c r="A338" s="5"/>
    </row>
    <row r="339" spans="1:1">
      <c r="A339" s="5"/>
    </row>
    <row r="340" spans="1:1">
      <c r="A340" s="5"/>
    </row>
    <row r="341" spans="1:1">
      <c r="A341" s="5"/>
    </row>
    <row r="342" spans="1:1">
      <c r="A342" s="5"/>
    </row>
    <row r="343" spans="1:1">
      <c r="A343" s="5"/>
    </row>
    <row r="344" spans="1:1">
      <c r="A344" s="5"/>
    </row>
    <row r="345" spans="1:1">
      <c r="A345" s="5"/>
    </row>
    <row r="346" spans="1:1">
      <c r="A346" s="5"/>
    </row>
    <row r="347" spans="1:1">
      <c r="A347" s="5"/>
    </row>
    <row r="348" spans="1:1">
      <c r="A348" s="5"/>
    </row>
    <row r="349" spans="1:1">
      <c r="A349" s="5"/>
    </row>
    <row r="350" spans="1:1">
      <c r="A350" s="5"/>
    </row>
    <row r="351" spans="1:1">
      <c r="A351" s="5"/>
    </row>
    <row r="352" spans="1:1">
      <c r="A352" s="5"/>
    </row>
    <row r="353" spans="1:1">
      <c r="A353" s="5"/>
    </row>
    <row r="354" spans="1:1">
      <c r="A354" s="5"/>
    </row>
    <row r="355" spans="1:1">
      <c r="A355" s="5"/>
    </row>
    <row r="356" spans="1:1">
      <c r="A356" s="5"/>
    </row>
    <row r="357" spans="1:1">
      <c r="A357" s="5"/>
    </row>
    <row r="358" spans="1:1">
      <c r="A358" s="5"/>
    </row>
    <row r="359" spans="1:1">
      <c r="A359" s="5"/>
    </row>
    <row r="360" spans="1:1">
      <c r="A360" s="5"/>
    </row>
    <row r="361" spans="1:1">
      <c r="A361" s="5"/>
    </row>
    <row r="362" spans="1:1">
      <c r="A362" s="5"/>
    </row>
    <row r="363" spans="1:1">
      <c r="A363" s="5"/>
    </row>
    <row r="364" spans="1:1">
      <c r="A364" s="5"/>
    </row>
    <row r="365" spans="1:1">
      <c r="A365" s="5"/>
    </row>
    <row r="366" spans="1:1">
      <c r="A366" s="5"/>
    </row>
    <row r="367" spans="1:1">
      <c r="A367" s="5"/>
    </row>
    <row r="368" spans="1:1">
      <c r="A368" s="5"/>
    </row>
    <row r="369" spans="1:1">
      <c r="A369" s="5"/>
    </row>
    <row r="370" spans="1:1">
      <c r="A370" s="5"/>
    </row>
    <row r="371" spans="1:1">
      <c r="A371" s="5"/>
    </row>
    <row r="372" spans="1:1">
      <c r="A372" s="5"/>
    </row>
    <row r="373" spans="1:1">
      <c r="A373" s="5"/>
    </row>
    <row r="374" spans="1:1">
      <c r="A374" s="5"/>
    </row>
    <row r="375" spans="1:1">
      <c r="A375" s="5"/>
    </row>
    <row r="376" spans="1:1">
      <c r="A376" s="5"/>
    </row>
    <row r="377" spans="1:1">
      <c r="A377" s="5"/>
    </row>
    <row r="378" spans="1:1">
      <c r="A378" s="5"/>
    </row>
    <row r="379" spans="1:1">
      <c r="A379" s="5"/>
    </row>
    <row r="380" spans="1:1">
      <c r="A380" s="5"/>
    </row>
    <row r="381" spans="1:1">
      <c r="A381" s="5"/>
    </row>
    <row r="382" spans="1:1">
      <c r="A382" s="5"/>
    </row>
    <row r="383" spans="1:1">
      <c r="A383" s="5"/>
    </row>
    <row r="384" spans="1:1">
      <c r="A384" s="5"/>
    </row>
    <row r="385" spans="1:1">
      <c r="A385" s="5"/>
    </row>
    <row r="386" spans="1:1">
      <c r="A386" s="5"/>
    </row>
    <row r="387" spans="1:1">
      <c r="A387" s="5"/>
    </row>
    <row r="388" spans="1:1">
      <c r="A388" s="5"/>
    </row>
    <row r="389" spans="1:1">
      <c r="A389" s="5"/>
    </row>
    <row r="390" spans="1:1">
      <c r="A390" s="5"/>
    </row>
    <row r="391" spans="1:1">
      <c r="A391" s="5"/>
    </row>
    <row r="392" spans="1:1">
      <c r="A392" s="5"/>
    </row>
    <row r="393" spans="1:1">
      <c r="A393" s="5"/>
    </row>
    <row r="394" spans="1:1">
      <c r="A394" s="5"/>
    </row>
    <row r="395" spans="1:1">
      <c r="A395" s="5"/>
    </row>
    <row r="396" spans="1:1">
      <c r="A396" s="5"/>
    </row>
    <row r="397" spans="1:1">
      <c r="A397" s="5"/>
    </row>
    <row r="398" spans="1:1">
      <c r="A398" s="5"/>
    </row>
    <row r="399" spans="1:1">
      <c r="A399" s="5"/>
    </row>
    <row r="400" spans="1:1">
      <c r="A400" s="5"/>
    </row>
    <row r="401" spans="1:1">
      <c r="A401" s="5"/>
    </row>
    <row r="402" spans="1:1">
      <c r="A402" s="5"/>
    </row>
    <row r="403" spans="1:1">
      <c r="A403" s="5"/>
    </row>
    <row r="404" spans="1:1">
      <c r="A404" s="5"/>
    </row>
    <row r="405" spans="1:1">
      <c r="A405" s="5"/>
    </row>
    <row r="406" spans="1:1">
      <c r="A406" s="5"/>
    </row>
    <row r="407" spans="1:1">
      <c r="A407" s="5"/>
    </row>
    <row r="408" spans="1:1">
      <c r="A408" s="5"/>
    </row>
    <row r="409" spans="1:1">
      <c r="A409" s="5"/>
    </row>
    <row r="410" spans="1:1">
      <c r="A410" s="5"/>
    </row>
    <row r="411" spans="1:1">
      <c r="A411" s="5"/>
    </row>
    <row r="412" spans="1:1">
      <c r="A412" s="5"/>
    </row>
    <row r="413" spans="1:1">
      <c r="A413" s="5"/>
    </row>
    <row r="414" spans="1:1">
      <c r="A414" s="5"/>
    </row>
    <row r="415" spans="1:1">
      <c r="A415" s="5"/>
    </row>
    <row r="416" spans="1:1">
      <c r="A416" s="5"/>
    </row>
    <row r="417" spans="1:1">
      <c r="A417" s="5"/>
    </row>
    <row r="418" spans="1:1">
      <c r="A418" s="5"/>
    </row>
    <row r="419" spans="1:1">
      <c r="A419" s="5"/>
    </row>
    <row r="420" spans="1:1">
      <c r="A420" s="5"/>
    </row>
    <row r="421" spans="1:1">
      <c r="A421" s="5"/>
    </row>
    <row r="422" spans="1:1">
      <c r="A422" s="5"/>
    </row>
    <row r="423" spans="1:1">
      <c r="A423" s="5"/>
    </row>
    <row r="424" spans="1:1">
      <c r="A424" s="5"/>
    </row>
    <row r="425" spans="1:1">
      <c r="A425" s="5"/>
    </row>
    <row r="426" spans="1:1">
      <c r="A426" s="5"/>
    </row>
    <row r="427" spans="1:1">
      <c r="A427" s="5"/>
    </row>
    <row r="428" spans="1:1">
      <c r="A428" s="5"/>
    </row>
    <row r="429" spans="1:1">
      <c r="A429" s="5"/>
    </row>
    <row r="430" spans="1:1">
      <c r="A430" s="5"/>
    </row>
    <row r="431" spans="1:1">
      <c r="A431" s="5"/>
    </row>
    <row r="432" spans="1:1">
      <c r="A432" s="5"/>
    </row>
    <row r="433" spans="1:1">
      <c r="A433" s="5"/>
    </row>
    <row r="434" spans="1:1">
      <c r="A434" s="5"/>
    </row>
    <row r="435" spans="1:1">
      <c r="A435" s="5"/>
    </row>
    <row r="436" spans="1:1">
      <c r="A436" s="5"/>
    </row>
    <row r="437" spans="1:1">
      <c r="A437" s="5"/>
    </row>
    <row r="438" spans="1:1">
      <c r="A438" s="5"/>
    </row>
    <row r="439" spans="1:1">
      <c r="A439" s="5"/>
    </row>
    <row r="440" spans="1:1">
      <c r="A440" s="5"/>
    </row>
    <row r="441" spans="1:1">
      <c r="A441" s="5"/>
    </row>
    <row r="442" spans="1:1">
      <c r="A442" s="5"/>
    </row>
    <row r="443" spans="1:1">
      <c r="A443" s="5"/>
    </row>
    <row r="444" spans="1:1">
      <c r="A444" s="5"/>
    </row>
    <row r="445" spans="1:1">
      <c r="A445" s="5"/>
    </row>
    <row r="446" spans="1:1">
      <c r="A446" s="5"/>
    </row>
    <row r="447" spans="1:1">
      <c r="A447" s="5"/>
    </row>
    <row r="448" spans="1:1">
      <c r="A448" s="5"/>
    </row>
    <row r="449" spans="1:1">
      <c r="A449" s="5"/>
    </row>
    <row r="450" spans="1:1">
      <c r="A450" s="5"/>
    </row>
    <row r="451" spans="1:1">
      <c r="A451" s="5"/>
    </row>
    <row r="452" spans="1:1">
      <c r="A452" s="5"/>
    </row>
    <row r="453" spans="1:1">
      <c r="A453" s="5"/>
    </row>
    <row r="454" spans="1:1">
      <c r="A454" s="5"/>
    </row>
    <row r="455" spans="1:1">
      <c r="A455" s="5"/>
    </row>
    <row r="456" spans="1:1">
      <c r="A456" s="5"/>
    </row>
    <row r="457" spans="1:1">
      <c r="A457" s="5"/>
    </row>
    <row r="458" spans="1:1">
      <c r="A458" s="5"/>
    </row>
    <row r="459" spans="1:1">
      <c r="A459" s="5"/>
    </row>
    <row r="460" spans="1:1">
      <c r="A460" s="5"/>
    </row>
    <row r="461" spans="1:1">
      <c r="A461" s="5"/>
    </row>
    <row r="462" spans="1:1">
      <c r="A462" s="5"/>
    </row>
    <row r="463" spans="1:1">
      <c r="A463" s="5"/>
    </row>
    <row r="464" spans="1:1">
      <c r="A464" s="5"/>
    </row>
    <row r="465" spans="1:1">
      <c r="A465" s="5"/>
    </row>
    <row r="466" spans="1:1">
      <c r="A466" s="5"/>
    </row>
    <row r="467" spans="1:1">
      <c r="A467" s="5"/>
    </row>
    <row r="468" spans="1:1">
      <c r="A468" s="5"/>
    </row>
    <row r="469" spans="1:1">
      <c r="A469" s="5"/>
    </row>
    <row r="470" spans="1:1">
      <c r="A470" s="5"/>
    </row>
    <row r="471" spans="1:1">
      <c r="A471" s="5"/>
    </row>
    <row r="472" spans="1:1">
      <c r="A472" s="5"/>
    </row>
    <row r="473" spans="1:1">
      <c r="A473" s="5"/>
    </row>
    <row r="474" spans="1:1">
      <c r="A474" s="5"/>
    </row>
    <row r="475" spans="1:1">
      <c r="A475" s="5"/>
    </row>
    <row r="476" spans="1:1">
      <c r="A476" s="5"/>
    </row>
    <row r="477" spans="1:1">
      <c r="A477" s="5"/>
    </row>
    <row r="478" spans="1:1">
      <c r="A478" s="5"/>
    </row>
    <row r="479" spans="1:1">
      <c r="A479" s="5"/>
    </row>
    <row r="480" spans="1:1">
      <c r="A480" s="5"/>
    </row>
    <row r="481" spans="1:1">
      <c r="A481" s="5"/>
    </row>
    <row r="482" spans="1:1">
      <c r="A482" s="5"/>
    </row>
    <row r="483" spans="1:1">
      <c r="A483" s="5"/>
    </row>
    <row r="484" spans="1:1">
      <c r="A484" s="5"/>
    </row>
    <row r="485" spans="1:1">
      <c r="A485" s="5"/>
    </row>
    <row r="486" spans="1:1">
      <c r="A486" s="5"/>
    </row>
    <row r="487" spans="1:1">
      <c r="A487" s="5"/>
    </row>
    <row r="488" spans="1:1">
      <c r="A488" s="5"/>
    </row>
    <row r="489" spans="1:1">
      <c r="A489" s="5"/>
    </row>
    <row r="490" spans="1:1">
      <c r="A490" s="5"/>
    </row>
    <row r="491" spans="1:1">
      <c r="A491" s="5"/>
    </row>
    <row r="492" spans="1:1">
      <c r="A492" s="5"/>
    </row>
    <row r="493" spans="1:1">
      <c r="A493" s="5"/>
    </row>
    <row r="494" spans="1:1">
      <c r="A494" s="5"/>
    </row>
    <row r="495" spans="1:1">
      <c r="A495" s="5"/>
    </row>
    <row r="496" spans="1:1">
      <c r="A496" s="5"/>
    </row>
    <row r="497" spans="1:1">
      <c r="A497" s="5"/>
    </row>
    <row r="498" spans="1:1">
      <c r="A498" s="5"/>
    </row>
    <row r="499" spans="1:1">
      <c r="A499" s="5"/>
    </row>
    <row r="500" spans="1:1">
      <c r="A500" s="5"/>
    </row>
    <row r="501" spans="1:1">
      <c r="A501" s="5"/>
    </row>
    <row r="502" spans="1:1">
      <c r="A502" s="5"/>
    </row>
    <row r="503" spans="1:1">
      <c r="A503" s="5"/>
    </row>
    <row r="504" spans="1:1">
      <c r="A504" s="5"/>
    </row>
    <row r="505" spans="1:1">
      <c r="A505" s="5"/>
    </row>
    <row r="506" spans="1:1">
      <c r="A506" s="5"/>
    </row>
    <row r="507" spans="1:1">
      <c r="A507" s="5"/>
    </row>
    <row r="508" spans="1:1">
      <c r="A508" s="5"/>
    </row>
    <row r="509" spans="1:1">
      <c r="A509" s="5"/>
    </row>
    <row r="510" spans="1:1">
      <c r="A510" s="5"/>
    </row>
    <row r="511" spans="1:1">
      <c r="A511" s="5"/>
    </row>
    <row r="512" spans="1:1">
      <c r="A512" s="5"/>
    </row>
    <row r="513" spans="1:1">
      <c r="A513" s="5"/>
    </row>
    <row r="514" spans="1:1">
      <c r="A514" s="5"/>
    </row>
    <row r="515" spans="1:1">
      <c r="A515" s="5"/>
    </row>
    <row r="516" spans="1:1">
      <c r="A516" s="5"/>
    </row>
    <row r="517" spans="1:1">
      <c r="A517" s="5"/>
    </row>
    <row r="518" spans="1:1">
      <c r="A518" s="5"/>
    </row>
    <row r="519" spans="1:1">
      <c r="A519" s="5"/>
    </row>
    <row r="520" spans="1:1">
      <c r="A520" s="5"/>
    </row>
    <row r="521" spans="1:1">
      <c r="A521" s="5"/>
    </row>
    <row r="522" spans="1:1">
      <c r="A522" s="5"/>
    </row>
    <row r="523" spans="1:1">
      <c r="A523" s="5"/>
    </row>
    <row r="524" spans="1:1">
      <c r="A524" s="5"/>
    </row>
    <row r="525" spans="1:1">
      <c r="A525" s="5"/>
    </row>
    <row r="526" spans="1:1">
      <c r="A526" s="5"/>
    </row>
    <row r="527" spans="1:1">
      <c r="A527" s="5"/>
    </row>
    <row r="528" spans="1:1">
      <c r="A528" s="5"/>
    </row>
    <row r="529" spans="1:1">
      <c r="A529" s="5"/>
    </row>
    <row r="530" spans="1:1">
      <c r="A530" s="5"/>
    </row>
    <row r="531" spans="1:1">
      <c r="A531" s="5"/>
    </row>
    <row r="532" spans="1:1">
      <c r="A532" s="5"/>
    </row>
    <row r="533" spans="1:1">
      <c r="A533" s="5"/>
    </row>
    <row r="534" spans="1:1">
      <c r="A534" s="5"/>
    </row>
    <row r="535" spans="1:1">
      <c r="A535" s="5"/>
    </row>
    <row r="536" spans="1:1">
      <c r="A536" s="5"/>
    </row>
    <row r="537" spans="1:1">
      <c r="A537" s="5"/>
    </row>
    <row r="538" spans="1:1">
      <c r="A538" s="5"/>
    </row>
    <row r="539" spans="1:1">
      <c r="A539" s="5"/>
    </row>
    <row r="540" spans="1:1">
      <c r="A540" s="5"/>
    </row>
    <row r="541" spans="1:1">
      <c r="A541" s="5"/>
    </row>
    <row r="542" spans="1:1">
      <c r="A542" s="5"/>
    </row>
    <row r="543" spans="1:1">
      <c r="A543" s="5"/>
    </row>
    <row r="544" spans="1:1">
      <c r="A544" s="5"/>
    </row>
    <row r="545" spans="1:1">
      <c r="A545" s="5"/>
    </row>
    <row r="546" spans="1:1">
      <c r="A546" s="5"/>
    </row>
    <row r="547" spans="1:1">
      <c r="A547" s="5"/>
    </row>
    <row r="548" spans="1:1">
      <c r="A548" s="5"/>
    </row>
    <row r="549" spans="1:1">
      <c r="A549" s="5"/>
    </row>
    <row r="550" spans="1:1">
      <c r="A550" s="5"/>
    </row>
    <row r="551" spans="1:1">
      <c r="A551" s="5"/>
    </row>
    <row r="552" spans="1:1">
      <c r="A552" s="5"/>
    </row>
    <row r="553" spans="1:1">
      <c r="A553" s="5"/>
    </row>
    <row r="554" spans="1:1">
      <c r="A554" s="5"/>
    </row>
    <row r="555" spans="1:1">
      <c r="A555" s="5"/>
    </row>
    <row r="556" spans="1:1">
      <c r="A556" s="5"/>
    </row>
    <row r="557" spans="1:1">
      <c r="A557" s="5"/>
    </row>
    <row r="558" spans="1:1">
      <c r="A558" s="5"/>
    </row>
    <row r="559" spans="1:1">
      <c r="A559" s="5"/>
    </row>
    <row r="560" spans="1:1">
      <c r="A560" s="5"/>
    </row>
    <row r="561" spans="1:1">
      <c r="A561" s="5"/>
    </row>
    <row r="562" spans="1:1">
      <c r="A562" s="5"/>
    </row>
    <row r="563" spans="1:1">
      <c r="A563" s="5"/>
    </row>
    <row r="564" spans="1:1">
      <c r="A564" s="5"/>
    </row>
    <row r="565" spans="1:1">
      <c r="A565" s="5"/>
    </row>
    <row r="566" spans="1:1">
      <c r="A566" s="5"/>
    </row>
    <row r="567" spans="1:1">
      <c r="A567" s="5"/>
    </row>
    <row r="568" spans="1:1">
      <c r="A568" s="5"/>
    </row>
    <row r="569" spans="1:1">
      <c r="A569" s="5"/>
    </row>
    <row r="570" spans="1:1">
      <c r="A570" s="5"/>
    </row>
    <row r="571" spans="1:1">
      <c r="A571" s="5"/>
    </row>
    <row r="572" spans="1:1">
      <c r="A572" s="5"/>
    </row>
    <row r="573" spans="1:1">
      <c r="A573" s="5"/>
    </row>
    <row r="574" spans="1:1">
      <c r="A574" s="5"/>
    </row>
    <row r="575" spans="1:1">
      <c r="A575" s="5"/>
    </row>
    <row r="576" spans="1:1">
      <c r="A576" s="5"/>
    </row>
    <row r="577" spans="1:1">
      <c r="A577" s="5"/>
    </row>
    <row r="578" spans="1:1">
      <c r="A578" s="5"/>
    </row>
    <row r="579" spans="1:1">
      <c r="A579" s="5"/>
    </row>
    <row r="580" spans="1:1">
      <c r="A580" s="5"/>
    </row>
    <row r="581" spans="1:1">
      <c r="A581" s="5"/>
    </row>
    <row r="582" spans="1:1">
      <c r="A582" s="5"/>
    </row>
    <row r="583" spans="1:1">
      <c r="A583" s="5"/>
    </row>
    <row r="584" spans="1:1">
      <c r="A584" s="5"/>
    </row>
    <row r="585" spans="1:1">
      <c r="A585" s="5"/>
    </row>
    <row r="586" spans="1:1">
      <c r="A586" s="5"/>
    </row>
    <row r="587" spans="1:1">
      <c r="A587" s="5"/>
    </row>
    <row r="588" spans="1:1">
      <c r="A588" s="5"/>
    </row>
    <row r="589" spans="1:1">
      <c r="A589" s="5"/>
    </row>
    <row r="590" spans="1:1">
      <c r="A590" s="5"/>
    </row>
    <row r="591" spans="1:1">
      <c r="A591" s="5"/>
    </row>
    <row r="592" spans="1:1">
      <c r="A592" s="5"/>
    </row>
    <row r="593" spans="1:1">
      <c r="A593" s="5"/>
    </row>
    <row r="594" spans="1:1">
      <c r="A594" s="5"/>
    </row>
    <row r="595" spans="1:1">
      <c r="A595" s="5"/>
    </row>
    <row r="596" spans="1:1">
      <c r="A596" s="5"/>
    </row>
    <row r="597" spans="1:1">
      <c r="A597" s="5"/>
    </row>
    <row r="598" spans="1:1">
      <c r="A598" s="5"/>
    </row>
    <row r="599" spans="1:1">
      <c r="A599" s="5"/>
    </row>
    <row r="600" spans="1:1">
      <c r="A600" s="5"/>
    </row>
    <row r="601" spans="1:1">
      <c r="A601" s="5"/>
    </row>
    <row r="602" spans="1:1">
      <c r="A602" s="5"/>
    </row>
    <row r="603" spans="1:1">
      <c r="A603" s="5"/>
    </row>
    <row r="604" spans="1:1">
      <c r="A604" s="5"/>
    </row>
    <row r="605" spans="1:1">
      <c r="A605" s="5"/>
    </row>
    <row r="606" spans="1:1">
      <c r="A606" s="5"/>
    </row>
    <row r="607" spans="1:1">
      <c r="A607" s="5"/>
    </row>
    <row r="608" spans="1:1">
      <c r="A608" s="5"/>
    </row>
    <row r="609" spans="1:1">
      <c r="A609" s="5"/>
    </row>
    <row r="610" spans="1:1">
      <c r="A610" s="5"/>
    </row>
    <row r="611" spans="1:1">
      <c r="A611" s="5"/>
    </row>
    <row r="612" spans="1:1">
      <c r="A612" s="5"/>
    </row>
    <row r="613" spans="1:1">
      <c r="A613" s="5"/>
    </row>
    <row r="614" spans="1:1">
      <c r="A614" s="5"/>
    </row>
    <row r="615" spans="1:1">
      <c r="A615" s="5"/>
    </row>
    <row r="616" spans="1:1">
      <c r="A616" s="5"/>
    </row>
    <row r="617" spans="1:1">
      <c r="A617" s="5"/>
    </row>
    <row r="618" spans="1:1">
      <c r="A618" s="5"/>
    </row>
    <row r="619" spans="1:1">
      <c r="A619" s="5"/>
    </row>
    <row r="620" spans="1:1">
      <c r="A620" s="5"/>
    </row>
    <row r="621" spans="1:1">
      <c r="A621" s="5"/>
    </row>
    <row r="622" spans="1:1">
      <c r="A622" s="5"/>
    </row>
    <row r="623" spans="1:1">
      <c r="A623" s="5"/>
    </row>
    <row r="624" spans="1:1">
      <c r="A624" s="5"/>
    </row>
    <row r="625" spans="1:1">
      <c r="A625" s="5"/>
    </row>
    <row r="626" spans="1:1">
      <c r="A626" s="5"/>
    </row>
    <row r="627" spans="1:1">
      <c r="A627" s="5"/>
    </row>
    <row r="628" spans="1:1">
      <c r="A628" s="5"/>
    </row>
    <row r="629" spans="1:1">
      <c r="A629" s="5"/>
    </row>
    <row r="630" spans="1:1">
      <c r="A630" s="5"/>
    </row>
    <row r="631" spans="1:1">
      <c r="A631" s="5"/>
    </row>
    <row r="632" spans="1:1">
      <c r="A632" s="5"/>
    </row>
    <row r="633" spans="1:1">
      <c r="A633" s="5"/>
    </row>
    <row r="634" spans="1:1">
      <c r="A634" s="5"/>
    </row>
    <row r="635" spans="1:1">
      <c r="A635" s="5"/>
    </row>
    <row r="636" spans="1:1">
      <c r="A636" s="5"/>
    </row>
    <row r="637" spans="1:1">
      <c r="A637" s="5"/>
    </row>
    <row r="638" spans="1:1">
      <c r="A638" s="5"/>
    </row>
    <row r="639" spans="1:1">
      <c r="A639" s="5"/>
    </row>
    <row r="640" spans="1:1">
      <c r="A640" s="5"/>
    </row>
    <row r="641" spans="1:1">
      <c r="A641" s="5"/>
    </row>
    <row r="642" spans="1:1">
      <c r="A642" s="5"/>
    </row>
    <row r="643" spans="1:1">
      <c r="A643" s="5"/>
    </row>
    <row r="644" spans="1:1">
      <c r="A644" s="5"/>
    </row>
    <row r="645" spans="1:1">
      <c r="A645" s="5"/>
    </row>
    <row r="646" spans="1:1">
      <c r="A646" s="5"/>
    </row>
    <row r="647" spans="1:1">
      <c r="A647" s="5"/>
    </row>
    <row r="648" spans="1:1">
      <c r="A648" s="5"/>
    </row>
    <row r="649" spans="1:1">
      <c r="A649" s="5"/>
    </row>
    <row r="650" spans="1:1">
      <c r="A650" s="5"/>
    </row>
    <row r="651" spans="1:1">
      <c r="A651" s="5"/>
    </row>
    <row r="652" spans="1:1">
      <c r="A652" s="5"/>
    </row>
    <row r="653" spans="1:1">
      <c r="A653" s="5"/>
    </row>
    <row r="654" spans="1:1">
      <c r="A654" s="5"/>
    </row>
    <row r="655" spans="1:1">
      <c r="A655" s="5"/>
    </row>
    <row r="656" spans="1:1">
      <c r="A656" s="5"/>
    </row>
    <row r="657" spans="1:1">
      <c r="A657" s="5"/>
    </row>
    <row r="658" spans="1:1">
      <c r="A658" s="5"/>
    </row>
    <row r="659" spans="1:1">
      <c r="A659" s="5"/>
    </row>
    <row r="660" spans="1:1">
      <c r="A660" s="5"/>
    </row>
    <row r="661" spans="1:1">
      <c r="A661" s="5"/>
    </row>
    <row r="662" spans="1:1">
      <c r="A662" s="5"/>
    </row>
    <row r="663" spans="1:1">
      <c r="A663" s="5"/>
    </row>
    <row r="664" spans="1:1">
      <c r="A664" s="5"/>
    </row>
    <row r="665" spans="1:1">
      <c r="A665" s="5"/>
    </row>
    <row r="666" spans="1:1">
      <c r="A666" s="5"/>
    </row>
    <row r="667" spans="1:1">
      <c r="A667" s="5"/>
    </row>
    <row r="668" spans="1:1">
      <c r="A668" s="5"/>
    </row>
    <row r="669" spans="1:1">
      <c r="A669" s="5"/>
    </row>
    <row r="670" spans="1:1">
      <c r="A670" s="5"/>
    </row>
    <row r="671" spans="1:1">
      <c r="A671" s="5"/>
    </row>
    <row r="672" spans="1:1">
      <c r="A672" s="5"/>
    </row>
    <row r="673" spans="1:1">
      <c r="A673" s="5"/>
    </row>
    <row r="674" spans="1:1">
      <c r="A674" s="5"/>
    </row>
    <row r="675" spans="1:1">
      <c r="A675" s="5"/>
    </row>
    <row r="676" spans="1:1">
      <c r="A676" s="5"/>
    </row>
    <row r="677" spans="1:1">
      <c r="A677" s="5"/>
    </row>
    <row r="678" spans="1:1">
      <c r="A678" s="5"/>
    </row>
    <row r="679" spans="1:1">
      <c r="A679" s="5"/>
    </row>
    <row r="680" spans="1:1">
      <c r="A680" s="5"/>
    </row>
    <row r="681" spans="1:1">
      <c r="A681" s="5"/>
    </row>
    <row r="682" spans="1:1">
      <c r="A682" s="5"/>
    </row>
    <row r="683" spans="1:1">
      <c r="A683" s="5"/>
    </row>
    <row r="684" spans="1:1">
      <c r="A684" s="5"/>
    </row>
    <row r="685" spans="1:1">
      <c r="A685" s="5"/>
    </row>
    <row r="686" spans="1:1">
      <c r="A686" s="5"/>
    </row>
    <row r="687" spans="1:1">
      <c r="A687" s="5"/>
    </row>
    <row r="688" spans="1:1">
      <c r="A688" s="5"/>
    </row>
    <row r="689" spans="1:1">
      <c r="A689" s="5"/>
    </row>
    <row r="690" spans="1:1">
      <c r="A690" s="5"/>
    </row>
    <row r="691" spans="1:1">
      <c r="A691" s="5"/>
    </row>
    <row r="692" spans="1:1">
      <c r="A692" s="5"/>
    </row>
    <row r="693" spans="1:1">
      <c r="A693" s="5"/>
    </row>
    <row r="694" spans="1:1">
      <c r="A694" s="5"/>
    </row>
    <row r="695" spans="1:1">
      <c r="A695" s="5"/>
    </row>
    <row r="696" spans="1:1">
      <c r="A696" s="5"/>
    </row>
    <row r="697" spans="1:1">
      <c r="A697" s="5"/>
    </row>
    <row r="698" spans="1:1">
      <c r="A698" s="5"/>
    </row>
    <row r="699" spans="1:1">
      <c r="A699" s="5"/>
    </row>
    <row r="700" spans="1:1">
      <c r="A700" s="5"/>
    </row>
    <row r="701" spans="1:1">
      <c r="A701" s="5"/>
    </row>
    <row r="702" spans="1:1">
      <c r="A702" s="5"/>
    </row>
    <row r="703" spans="1:1">
      <c r="A703" s="5"/>
    </row>
    <row r="704" spans="1:1">
      <c r="A704" s="5"/>
    </row>
    <row r="705" spans="1:1">
      <c r="A705" s="5"/>
    </row>
    <row r="706" spans="1:1">
      <c r="A706" s="5"/>
    </row>
    <row r="707" spans="1:1">
      <c r="A707" s="5"/>
    </row>
    <row r="708" spans="1:1">
      <c r="A708" s="5"/>
    </row>
    <row r="709" spans="1:1">
      <c r="A709" s="5"/>
    </row>
    <row r="710" spans="1:1">
      <c r="A710" s="5"/>
    </row>
    <row r="711" spans="1:1">
      <c r="A711" s="5"/>
    </row>
    <row r="712" spans="1:1">
      <c r="A712" s="5"/>
    </row>
    <row r="713" spans="1:1">
      <c r="A713" s="5"/>
    </row>
    <row r="714" spans="1:1">
      <c r="A714" s="5"/>
    </row>
    <row r="715" spans="1:1">
      <c r="A715" s="5"/>
    </row>
    <row r="716" spans="1:1">
      <c r="A716" s="5"/>
    </row>
    <row r="717" spans="1:1">
      <c r="A717" s="5"/>
    </row>
    <row r="718" spans="1:1">
      <c r="A718" s="5"/>
    </row>
    <row r="719" spans="1:1">
      <c r="A719" s="5"/>
    </row>
    <row r="720" spans="1:1">
      <c r="A720" s="5"/>
    </row>
    <row r="721" spans="1:1">
      <c r="A721" s="5"/>
    </row>
    <row r="722" spans="1:1">
      <c r="A722" s="5"/>
    </row>
    <row r="723" spans="1:1">
      <c r="A723" s="5"/>
    </row>
    <row r="724" spans="1:1">
      <c r="A724" s="5"/>
    </row>
    <row r="725" spans="1:1">
      <c r="A725" s="5"/>
    </row>
    <row r="726" spans="1:1">
      <c r="A726" s="5"/>
    </row>
    <row r="727" spans="1:1">
      <c r="A727" s="5"/>
    </row>
    <row r="728" spans="1:1">
      <c r="A728" s="5"/>
    </row>
    <row r="729" spans="1:1">
      <c r="A729" s="5"/>
    </row>
    <row r="730" spans="1:1">
      <c r="A730" s="5"/>
    </row>
    <row r="731" spans="1:1">
      <c r="A731" s="5"/>
    </row>
    <row r="732" spans="1:1">
      <c r="A732" s="5"/>
    </row>
    <row r="733" spans="1:1">
      <c r="A733" s="5"/>
    </row>
    <row r="734" spans="1:1">
      <c r="A734" s="5"/>
    </row>
    <row r="735" spans="1:1">
      <c r="A735" s="5"/>
    </row>
    <row r="736" spans="1:1">
      <c r="A736" s="5"/>
    </row>
    <row r="737" spans="1:1">
      <c r="A737" s="5"/>
    </row>
    <row r="738" spans="1:1">
      <c r="A738" s="5"/>
    </row>
    <row r="739" spans="1:1">
      <c r="A739" s="5"/>
    </row>
    <row r="740" spans="1:1">
      <c r="A740" s="5"/>
    </row>
    <row r="741" spans="1:1">
      <c r="A741" s="5"/>
    </row>
    <row r="742" spans="1:1">
      <c r="A742" s="5"/>
    </row>
    <row r="743" spans="1:1">
      <c r="A743" s="5"/>
    </row>
    <row r="744" spans="1:1">
      <c r="A744" s="5"/>
    </row>
    <row r="745" spans="1:1">
      <c r="A745" s="5"/>
    </row>
    <row r="746" spans="1:1">
      <c r="A746" s="5"/>
    </row>
    <row r="747" spans="1:1">
      <c r="A747" s="5"/>
    </row>
    <row r="748" spans="1:1">
      <c r="A748" s="5"/>
    </row>
    <row r="749" spans="1:1">
      <c r="A749" s="5"/>
    </row>
    <row r="750" spans="1:1">
      <c r="A750" s="5"/>
    </row>
    <row r="751" spans="1:1">
      <c r="A751" s="5"/>
    </row>
    <row r="752" spans="1:1">
      <c r="A752" s="5"/>
    </row>
    <row r="753" spans="1:1">
      <c r="A753" s="5"/>
    </row>
    <row r="754" spans="1:1">
      <c r="A754" s="5"/>
    </row>
    <row r="755" spans="1:1">
      <c r="A755" s="5"/>
    </row>
    <row r="756" spans="1:1">
      <c r="A756" s="5"/>
    </row>
    <row r="757" spans="1:1">
      <c r="A757" s="5"/>
    </row>
    <row r="758" spans="1:1">
      <c r="A758" s="5"/>
    </row>
    <row r="759" spans="1:1">
      <c r="A759" s="5"/>
    </row>
    <row r="760" spans="1:1">
      <c r="A760" s="5"/>
    </row>
    <row r="761" spans="1:1">
      <c r="A761" s="5"/>
    </row>
    <row r="762" spans="1:1">
      <c r="A762" s="5"/>
    </row>
    <row r="763" spans="1:1">
      <c r="A763" s="5"/>
    </row>
    <row r="764" spans="1:1">
      <c r="A764" s="5"/>
    </row>
    <row r="765" spans="1:1">
      <c r="A765" s="5"/>
    </row>
    <row r="766" spans="1:1">
      <c r="A766" s="5"/>
    </row>
    <row r="767" spans="1:1">
      <c r="A767" s="5"/>
    </row>
    <row r="768" spans="1:1">
      <c r="A768" s="5"/>
    </row>
    <row r="769" spans="1:1">
      <c r="A769" s="5"/>
    </row>
    <row r="770" spans="1:1">
      <c r="A770" s="5"/>
    </row>
    <row r="771" spans="1:1">
      <c r="A771" s="5"/>
    </row>
    <row r="772" spans="1:1">
      <c r="A772" s="5"/>
    </row>
    <row r="773" spans="1:1">
      <c r="A773" s="5"/>
    </row>
    <row r="774" spans="1:1">
      <c r="A774" s="5"/>
    </row>
    <row r="775" spans="1:1">
      <c r="A775" s="5"/>
    </row>
    <row r="776" spans="1:1">
      <c r="A776" s="5"/>
    </row>
    <row r="777" spans="1:1">
      <c r="A777" s="5"/>
    </row>
    <row r="778" spans="1:1">
      <c r="A778" s="5"/>
    </row>
    <row r="779" spans="1:1">
      <c r="A779" s="5"/>
    </row>
    <row r="780" spans="1:1">
      <c r="A780" s="5"/>
    </row>
    <row r="781" spans="1:1">
      <c r="A781" s="5"/>
    </row>
    <row r="782" spans="1:1">
      <c r="A782" s="5"/>
    </row>
    <row r="783" spans="1:1">
      <c r="A783" s="5"/>
    </row>
    <row r="784" spans="1:1">
      <c r="A784" s="5"/>
    </row>
    <row r="785" spans="1:1">
      <c r="A785" s="5"/>
    </row>
    <row r="786" spans="1:1">
      <c r="A786" s="5"/>
    </row>
    <row r="787" spans="1:1">
      <c r="A787" s="5"/>
    </row>
    <row r="788" spans="1:1">
      <c r="A788" s="5"/>
    </row>
    <row r="789" spans="1:1">
      <c r="A789" s="5"/>
    </row>
    <row r="790" spans="1:1">
      <c r="A790" s="5"/>
    </row>
    <row r="791" spans="1:1">
      <c r="A791" s="5"/>
    </row>
    <row r="792" spans="1:1">
      <c r="A792" s="5"/>
    </row>
    <row r="793" spans="1:1">
      <c r="A793" s="5"/>
    </row>
    <row r="794" spans="1:1">
      <c r="A794" s="5"/>
    </row>
    <row r="795" spans="1:1">
      <c r="A795" s="5"/>
    </row>
    <row r="796" spans="1:1">
      <c r="A796" s="5"/>
    </row>
    <row r="797" spans="1:1">
      <c r="A797" s="5"/>
    </row>
    <row r="798" spans="1:1">
      <c r="A798" s="5"/>
    </row>
    <row r="799" spans="1:1">
      <c r="A799" s="5"/>
    </row>
    <row r="800" spans="1:1">
      <c r="A800" s="5"/>
    </row>
    <row r="801" spans="1:1">
      <c r="A801" s="5"/>
    </row>
    <row r="802" spans="1:1">
      <c r="A802" s="5"/>
    </row>
    <row r="803" spans="1:1">
      <c r="A803" s="5"/>
    </row>
    <row r="804" spans="1:1">
      <c r="A804" s="5"/>
    </row>
    <row r="805" spans="1:1">
      <c r="A805" s="5"/>
    </row>
    <row r="806" spans="1:1">
      <c r="A806" s="5"/>
    </row>
    <row r="807" spans="1:1">
      <c r="A807" s="5"/>
    </row>
    <row r="808" spans="1:1">
      <c r="A808" s="5"/>
    </row>
    <row r="809" spans="1:1">
      <c r="A809" s="5"/>
    </row>
    <row r="810" spans="1:1">
      <c r="A810" s="5"/>
    </row>
    <row r="811" spans="1:1">
      <c r="A811" s="5"/>
    </row>
    <row r="812" spans="1:1">
      <c r="A812" s="5"/>
    </row>
    <row r="813" spans="1:1">
      <c r="A813" s="5"/>
    </row>
    <row r="814" spans="1:1">
      <c r="A814" s="5"/>
    </row>
    <row r="815" spans="1:1">
      <c r="A815" s="5"/>
    </row>
    <row r="816" spans="1:1">
      <c r="A816" s="5"/>
    </row>
    <row r="817" spans="1:1">
      <c r="A817" s="5"/>
    </row>
    <row r="818" spans="1:1">
      <c r="A818" s="5"/>
    </row>
    <row r="819" spans="1:1">
      <c r="A819" s="5"/>
    </row>
    <row r="820" spans="1:1">
      <c r="A820" s="5"/>
    </row>
    <row r="821" spans="1:1">
      <c r="A821" s="5"/>
    </row>
    <row r="822" spans="1:1">
      <c r="A822" s="5"/>
    </row>
    <row r="823" spans="1:1">
      <c r="A823" s="5"/>
    </row>
    <row r="824" spans="1:1">
      <c r="A824" s="5"/>
    </row>
    <row r="825" spans="1:1">
      <c r="A825" s="5"/>
    </row>
    <row r="826" spans="1:1">
      <c r="A826" s="5"/>
    </row>
    <row r="827" spans="1:1">
      <c r="A827" s="5"/>
    </row>
    <row r="828" spans="1:1">
      <c r="A828" s="5"/>
    </row>
    <row r="829" spans="1:1">
      <c r="A829" s="5"/>
    </row>
    <row r="830" spans="1:1">
      <c r="A830" s="5"/>
    </row>
    <row r="831" spans="1:1">
      <c r="A831" s="5"/>
    </row>
    <row r="832" spans="1:1">
      <c r="A832" s="5"/>
    </row>
    <row r="833" spans="1:1">
      <c r="A833" s="5"/>
    </row>
    <row r="834" spans="1:1">
      <c r="A834" s="5"/>
    </row>
    <row r="835" spans="1:1">
      <c r="A835" s="5"/>
    </row>
    <row r="836" spans="1:1">
      <c r="A836" s="5"/>
    </row>
    <row r="837" spans="1:1">
      <c r="A837" s="5"/>
    </row>
    <row r="838" spans="1:1">
      <c r="A838" s="5"/>
    </row>
    <row r="839" spans="1:1">
      <c r="A839" s="5"/>
    </row>
    <row r="840" spans="1:1">
      <c r="A840" s="5"/>
    </row>
    <row r="841" spans="1:1">
      <c r="A841" s="5"/>
    </row>
    <row r="842" spans="1:1">
      <c r="A842" s="5"/>
    </row>
    <row r="843" spans="1:1">
      <c r="A843" s="5"/>
    </row>
    <row r="844" spans="1:1">
      <c r="A844" s="5"/>
    </row>
    <row r="845" spans="1:1">
      <c r="A845" s="5"/>
    </row>
    <row r="846" spans="1:1">
      <c r="A846" s="5"/>
    </row>
    <row r="847" spans="1:1">
      <c r="A847" s="5"/>
    </row>
    <row r="848" spans="1:1">
      <c r="A848" s="5"/>
    </row>
    <row r="849" spans="1:1">
      <c r="A849" s="5"/>
    </row>
    <row r="850" spans="1:1">
      <c r="A850" s="5"/>
    </row>
    <row r="851" spans="1:1">
      <c r="A851" s="5"/>
    </row>
    <row r="852" spans="1:1">
      <c r="A852" s="5"/>
    </row>
    <row r="853" spans="1:1">
      <c r="A853" s="5"/>
    </row>
    <row r="854" spans="1:1">
      <c r="A854" s="5"/>
    </row>
    <row r="855" spans="1:1">
      <c r="A855" s="5"/>
    </row>
    <row r="856" spans="1:1">
      <c r="A856" s="5"/>
    </row>
    <row r="857" spans="1:1">
      <c r="A857" s="5"/>
    </row>
    <row r="858" spans="1:1">
      <c r="A858" s="5"/>
    </row>
    <row r="859" spans="1:1">
      <c r="A859" s="5"/>
    </row>
    <row r="860" spans="1:1">
      <c r="A860" s="5"/>
    </row>
    <row r="861" spans="1:1">
      <c r="A861" s="5"/>
    </row>
    <row r="862" spans="1:1">
      <c r="A862" s="5"/>
    </row>
    <row r="863" spans="1:1">
      <c r="A863" s="5"/>
    </row>
    <row r="864" spans="1:1">
      <c r="A864" s="5"/>
    </row>
    <row r="865" spans="1:1">
      <c r="A865" s="5"/>
    </row>
    <row r="866" spans="1:1">
      <c r="A866" s="5"/>
    </row>
    <row r="867" spans="1:1">
      <c r="A867" s="5"/>
    </row>
    <row r="868" spans="1:1">
      <c r="A868" s="5"/>
    </row>
    <row r="869" spans="1:1">
      <c r="A869" s="5"/>
    </row>
    <row r="870" spans="1:1">
      <c r="A870" s="5"/>
    </row>
    <row r="871" spans="1:1">
      <c r="A871" s="5"/>
    </row>
    <row r="872" spans="1:1">
      <c r="A872" s="5"/>
    </row>
    <row r="873" spans="1:1">
      <c r="A873" s="5"/>
    </row>
    <row r="874" spans="1:1">
      <c r="A874" s="5"/>
    </row>
    <row r="875" spans="1:1">
      <c r="A875" s="5"/>
    </row>
    <row r="876" spans="1:1">
      <c r="A876" s="5"/>
    </row>
    <row r="877" spans="1:1">
      <c r="A877" s="5"/>
    </row>
    <row r="878" spans="1:1">
      <c r="A878" s="5"/>
    </row>
    <row r="879" spans="1:1">
      <c r="A879" s="5"/>
    </row>
    <row r="880" spans="1:1">
      <c r="A880" s="5"/>
    </row>
    <row r="881" spans="1:1">
      <c r="A881" s="5"/>
    </row>
    <row r="882" spans="1:1">
      <c r="A882" s="5"/>
    </row>
    <row r="883" spans="1:1">
      <c r="A883" s="5"/>
    </row>
    <row r="884" spans="1:1">
      <c r="A884" s="5"/>
    </row>
    <row r="885" spans="1:1">
      <c r="A885" s="5"/>
    </row>
    <row r="886" spans="1:1">
      <c r="A886" s="5"/>
    </row>
    <row r="887" spans="1:1">
      <c r="A887" s="5"/>
    </row>
    <row r="888" spans="1:1">
      <c r="A888" s="5"/>
    </row>
    <row r="889" spans="1:1">
      <c r="A889" s="5"/>
    </row>
    <row r="890" spans="1:1">
      <c r="A890" s="5"/>
    </row>
    <row r="891" spans="1:1">
      <c r="A891" s="5"/>
    </row>
    <row r="892" spans="1:1">
      <c r="A892" s="5"/>
    </row>
    <row r="893" spans="1:1">
      <c r="A893" s="5"/>
    </row>
    <row r="894" spans="1:1">
      <c r="A894" s="5"/>
    </row>
    <row r="895" spans="1:1">
      <c r="A895" s="5"/>
    </row>
    <row r="896" spans="1:1">
      <c r="A896" s="5"/>
    </row>
    <row r="897" spans="1:1">
      <c r="A897" s="5"/>
    </row>
    <row r="898" spans="1:1">
      <c r="A898" s="5"/>
    </row>
    <row r="899" spans="1:1">
      <c r="A899" s="5"/>
    </row>
    <row r="900" spans="1:1">
      <c r="A900" s="5"/>
    </row>
    <row r="901" spans="1:1">
      <c r="A901" s="5"/>
    </row>
    <row r="902" spans="1:1">
      <c r="A902" s="5"/>
    </row>
    <row r="903" spans="1:1">
      <c r="A903" s="5"/>
    </row>
    <row r="904" spans="1:1">
      <c r="A904" s="5"/>
    </row>
    <row r="905" spans="1:1">
      <c r="A905" s="5"/>
    </row>
    <row r="906" spans="1:1">
      <c r="A906" s="5"/>
    </row>
    <row r="907" spans="1:1">
      <c r="A907" s="5"/>
    </row>
    <row r="908" spans="1:1">
      <c r="A908" s="5"/>
    </row>
    <row r="909" spans="1:1">
      <c r="A909" s="5"/>
    </row>
    <row r="910" spans="1:1">
      <c r="A910" s="5"/>
    </row>
    <row r="911" spans="1:1">
      <c r="A911" s="5"/>
    </row>
    <row r="912" spans="1:1">
      <c r="A912" s="5"/>
    </row>
    <row r="913" spans="1:1">
      <c r="A913" s="5"/>
    </row>
    <row r="914" spans="1:1">
      <c r="A914" s="5"/>
    </row>
    <row r="915" spans="1:1">
      <c r="A915" s="5"/>
    </row>
    <row r="916" spans="1:1">
      <c r="A916" s="5"/>
    </row>
    <row r="917" spans="1:1">
      <c r="A917" s="5"/>
    </row>
    <row r="918" spans="1:1">
      <c r="A918" s="5"/>
    </row>
    <row r="919" spans="1:1">
      <c r="A919" s="5"/>
    </row>
    <row r="920" spans="1:1">
      <c r="A920" s="5"/>
    </row>
    <row r="921" spans="1:1">
      <c r="A921" s="5"/>
    </row>
    <row r="922" spans="1:1">
      <c r="A922" s="5"/>
    </row>
    <row r="923" spans="1:1">
      <c r="A923" s="5"/>
    </row>
    <row r="924" spans="1:1">
      <c r="A924" s="5"/>
    </row>
    <row r="925" spans="1:1">
      <c r="A925" s="5"/>
    </row>
    <row r="926" spans="1:1">
      <c r="A926" s="5"/>
    </row>
    <row r="927" spans="1:1">
      <c r="A927" s="5"/>
    </row>
    <row r="928" spans="1:1">
      <c r="A928" s="5"/>
    </row>
    <row r="929" spans="1:1">
      <c r="A929" s="5"/>
    </row>
    <row r="930" spans="1:1">
      <c r="A930" s="5"/>
    </row>
    <row r="931" spans="1:1">
      <c r="A931" s="5"/>
    </row>
    <row r="932" spans="1:1">
      <c r="A932" s="5"/>
    </row>
    <row r="933" spans="1:1">
      <c r="A933" s="5"/>
    </row>
    <row r="934" spans="1:1">
      <c r="A934" s="5"/>
    </row>
    <row r="935" spans="1:1">
      <c r="A935" s="5"/>
    </row>
    <row r="936" spans="1:1">
      <c r="A936" s="5"/>
    </row>
    <row r="937" spans="1:1">
      <c r="A937" s="5"/>
    </row>
    <row r="938" spans="1:1">
      <c r="A938" s="5"/>
    </row>
    <row r="939" spans="1:1">
      <c r="A939" s="5"/>
    </row>
    <row r="940" spans="1:1">
      <c r="A940" s="5"/>
    </row>
    <row r="941" spans="1:1">
      <c r="A941" s="5"/>
    </row>
    <row r="942" spans="1:1">
      <c r="A942" s="5"/>
    </row>
    <row r="943" spans="1:1">
      <c r="A943" s="5"/>
    </row>
    <row r="944" spans="1:1">
      <c r="A944" s="5"/>
    </row>
    <row r="945" spans="1:1">
      <c r="A945" s="5"/>
    </row>
    <row r="946" spans="1:1">
      <c r="A946" s="5"/>
    </row>
    <row r="947" spans="1:1">
      <c r="A947" s="5"/>
    </row>
    <row r="948" spans="1:1">
      <c r="A948" s="5"/>
    </row>
    <row r="949" spans="1:1">
      <c r="A949" s="5"/>
    </row>
    <row r="950" spans="1:1">
      <c r="A950" s="5"/>
    </row>
    <row r="951" spans="1:1">
      <c r="A951" s="5"/>
    </row>
    <row r="952" spans="1:1">
      <c r="A952" s="5"/>
    </row>
    <row r="953" spans="1:1">
      <c r="A953" s="5"/>
    </row>
    <row r="954" spans="1:1">
      <c r="A954" s="5"/>
    </row>
    <row r="955" spans="1:1">
      <c r="A955" s="5"/>
    </row>
    <row r="956" spans="1:1">
      <c r="A956" s="5"/>
    </row>
    <row r="957" spans="1:1">
      <c r="A957" s="5"/>
    </row>
    <row r="958" spans="1:1">
      <c r="A958" s="5"/>
    </row>
    <row r="959" spans="1:1">
      <c r="A959" s="5"/>
    </row>
    <row r="960" spans="1:1">
      <c r="A960" s="5"/>
    </row>
    <row r="961" spans="1:1">
      <c r="A961" s="5"/>
    </row>
    <row r="962" spans="1:1">
      <c r="A962" s="5"/>
    </row>
    <row r="963" spans="1:1">
      <c r="A963" s="5"/>
    </row>
    <row r="964" spans="1:1">
      <c r="A964" s="5"/>
    </row>
    <row r="965" spans="1:1">
      <c r="A965" s="5"/>
    </row>
    <row r="966" spans="1:1">
      <c r="A966" s="5"/>
    </row>
    <row r="967" spans="1:1">
      <c r="A967" s="5"/>
    </row>
    <row r="968" spans="1:1">
      <c r="A968" s="5"/>
    </row>
    <row r="969" spans="1:1">
      <c r="A969" s="5"/>
    </row>
    <row r="970" spans="1:1">
      <c r="A970" s="5"/>
    </row>
    <row r="971" spans="1:1">
      <c r="A971" s="5"/>
    </row>
    <row r="972" spans="1:1">
      <c r="A972" s="5"/>
    </row>
    <row r="973" spans="1:1">
      <c r="A973" s="5"/>
    </row>
    <row r="974" spans="1:1">
      <c r="A974" s="5"/>
    </row>
    <row r="975" spans="1:1">
      <c r="A975" s="5"/>
    </row>
    <row r="976" spans="1:1">
      <c r="A976" s="5"/>
    </row>
    <row r="977" spans="1:1">
      <c r="A977" s="5"/>
    </row>
    <row r="978" spans="1:1">
      <c r="A978" s="5"/>
    </row>
    <row r="979" spans="1:1">
      <c r="A979" s="5"/>
    </row>
    <row r="980" spans="1:1">
      <c r="A980" s="5"/>
    </row>
    <row r="981" spans="1:1">
      <c r="A981" s="5"/>
    </row>
    <row r="982" spans="1:1">
      <c r="A982" s="5"/>
    </row>
    <row r="983" spans="1:1">
      <c r="A983" s="5"/>
    </row>
    <row r="984" spans="1:1">
      <c r="A984" s="5"/>
    </row>
    <row r="985" spans="1:1">
      <c r="A985" s="5"/>
    </row>
    <row r="986" spans="1:1">
      <c r="A986" s="5"/>
    </row>
    <row r="987" spans="1:1">
      <c r="A987" s="5"/>
    </row>
    <row r="988" spans="1:1">
      <c r="A988" s="5"/>
    </row>
    <row r="989" spans="1:1">
      <c r="A989" s="5"/>
    </row>
    <row r="990" spans="1:1">
      <c r="A990" s="5"/>
    </row>
    <row r="991" spans="1:1">
      <c r="A991" s="5"/>
    </row>
    <row r="992" spans="1:1">
      <c r="A992" s="5"/>
    </row>
    <row r="993" spans="1:1">
      <c r="A993" s="5"/>
    </row>
    <row r="994" spans="1:1">
      <c r="A994" s="5"/>
    </row>
    <row r="995" spans="1:1">
      <c r="A995" s="5"/>
    </row>
    <row r="996" spans="1:1">
      <c r="A996" s="5"/>
    </row>
    <row r="997" spans="1:1">
      <c r="A997" s="5"/>
    </row>
    <row r="998" spans="1:1">
      <c r="A998" s="5"/>
    </row>
    <row r="999" spans="1:1">
      <c r="A999" s="5"/>
    </row>
    <row r="1000" spans="1:1">
      <c r="A1000" s="5"/>
    </row>
    <row r="1001" spans="1:1">
      <c r="A1001" s="5"/>
    </row>
    <row r="1002" spans="1:1">
      <c r="A1002" s="5"/>
    </row>
    <row r="1003" spans="1:1">
      <c r="A1003" s="5"/>
    </row>
    <row r="1004" spans="1:1">
      <c r="A1004" s="5"/>
    </row>
    <row r="1005" spans="1:1">
      <c r="A1005" s="5"/>
    </row>
    <row r="1006" spans="1:1">
      <c r="A1006" s="5"/>
    </row>
    <row r="1007" spans="1:1">
      <c r="A1007" s="5"/>
    </row>
    <row r="1008" spans="1:1">
      <c r="A1008" s="5"/>
    </row>
    <row r="1009" spans="1:1">
      <c r="A1009" s="5"/>
    </row>
    <row r="1010" spans="1:1">
      <c r="A1010" s="5"/>
    </row>
    <row r="1011" spans="1:1">
      <c r="A1011" s="5"/>
    </row>
    <row r="1012" spans="1:1">
      <c r="A1012" s="5"/>
    </row>
    <row r="1013" spans="1:1">
      <c r="A1013" s="5"/>
    </row>
    <row r="1014" spans="1:1">
      <c r="A1014" s="5"/>
    </row>
    <row r="1015" spans="1:1">
      <c r="A1015" s="5"/>
    </row>
    <row r="1016" spans="1:1">
      <c r="A1016" s="5"/>
    </row>
    <row r="1017" spans="1:1">
      <c r="A1017" s="5"/>
    </row>
    <row r="1018" spans="1:1">
      <c r="A1018" s="5"/>
    </row>
    <row r="1019" spans="1:1">
      <c r="A1019" s="5"/>
    </row>
    <row r="1020" spans="1:1">
      <c r="A1020" s="5"/>
    </row>
    <row r="1021" spans="1:1">
      <c r="A1021" s="5"/>
    </row>
    <row r="1022" spans="1:1">
      <c r="A1022" s="5"/>
    </row>
    <row r="1023" spans="1:1">
      <c r="A1023" s="5"/>
    </row>
    <row r="1024" spans="1:1">
      <c r="A1024" s="5"/>
    </row>
    <row r="1025" spans="1:1">
      <c r="A1025" s="5"/>
    </row>
    <row r="1026" spans="1:1">
      <c r="A1026" s="5"/>
    </row>
    <row r="1027" spans="1:1">
      <c r="A1027" s="5"/>
    </row>
    <row r="1028" spans="1:1">
      <c r="A1028" s="5"/>
    </row>
    <row r="1029" spans="1:1">
      <c r="A1029" s="5"/>
    </row>
    <row r="1030" spans="1:1">
      <c r="A1030" s="5"/>
    </row>
    <row r="1031" spans="1:1">
      <c r="A1031" s="5"/>
    </row>
    <row r="1032" spans="1:1">
      <c r="A1032" s="5"/>
    </row>
    <row r="1033" spans="1:1">
      <c r="A1033" s="5"/>
    </row>
    <row r="1034" spans="1:1">
      <c r="A1034" s="5"/>
    </row>
    <row r="1035" spans="1:1">
      <c r="A1035" s="5"/>
    </row>
    <row r="1036" spans="1:1">
      <c r="A1036" s="5"/>
    </row>
    <row r="1037" spans="1:1">
      <c r="A1037" s="5"/>
    </row>
    <row r="1038" spans="1:1">
      <c r="A1038" s="5"/>
    </row>
    <row r="1039" spans="1:1">
      <c r="A1039" s="5"/>
    </row>
    <row r="1040" spans="1:1">
      <c r="A1040" s="5"/>
    </row>
    <row r="1041" spans="1:1">
      <c r="A1041" s="5"/>
    </row>
    <row r="1042" spans="1:1">
      <c r="A1042" s="5"/>
    </row>
    <row r="1043" spans="1:1">
      <c r="A1043" s="5"/>
    </row>
    <row r="1044" spans="1:1">
      <c r="A1044" s="5"/>
    </row>
    <row r="1045" spans="1:1">
      <c r="A1045" s="5"/>
    </row>
    <row r="1046" spans="1:1">
      <c r="A1046" s="5"/>
    </row>
    <row r="1047" spans="1:1">
      <c r="A1047" s="5"/>
    </row>
    <row r="1048" spans="1:1">
      <c r="A1048" s="5"/>
    </row>
    <row r="1049" spans="1:1">
      <c r="A1049" s="5"/>
    </row>
    <row r="1050" spans="1:1">
      <c r="A1050" s="5"/>
    </row>
    <row r="1051" spans="1:1">
      <c r="A1051" s="5"/>
    </row>
    <row r="1052" spans="1:1">
      <c r="A1052" s="5"/>
    </row>
    <row r="1053" spans="1:1">
      <c r="A1053" s="5"/>
    </row>
    <row r="1054" spans="1:1">
      <c r="A1054" s="5"/>
    </row>
    <row r="1055" spans="1:1">
      <c r="A1055" s="5"/>
    </row>
    <row r="1056" spans="1:1">
      <c r="A1056" s="5"/>
    </row>
    <row r="1057" spans="1:1">
      <c r="A1057" s="5"/>
    </row>
    <row r="1058" spans="1:1">
      <c r="A1058" s="5"/>
    </row>
    <row r="1059" spans="1:1">
      <c r="A1059" s="5"/>
    </row>
    <row r="1060" spans="1:1">
      <c r="A1060" s="5"/>
    </row>
    <row r="1061" spans="1:1">
      <c r="A1061" s="5"/>
    </row>
    <row r="1062" spans="1:1">
      <c r="A1062" s="5"/>
    </row>
    <row r="1063" spans="1:1">
      <c r="A1063" s="5"/>
    </row>
    <row r="1064" spans="1:1">
      <c r="A1064" s="5"/>
    </row>
    <row r="1065" spans="1:1">
      <c r="A1065" s="5"/>
    </row>
    <row r="1066" spans="1:1">
      <c r="A1066" s="5"/>
    </row>
    <row r="1067" spans="1:1">
      <c r="A1067" s="5"/>
    </row>
    <row r="1068" spans="1:1">
      <c r="A1068" s="5"/>
    </row>
    <row r="1069" spans="1:1">
      <c r="A1069" s="5"/>
    </row>
    <row r="1070" spans="1:1">
      <c r="A1070" s="5"/>
    </row>
    <row r="1071" spans="1:1">
      <c r="A1071" s="5"/>
    </row>
    <row r="1072" spans="1:1">
      <c r="A1072" s="5"/>
    </row>
    <row r="1073" spans="1:1">
      <c r="A1073" s="5"/>
    </row>
    <row r="1074" spans="1:1">
      <c r="A1074" s="5"/>
    </row>
    <row r="1075" spans="1:1">
      <c r="A1075" s="5"/>
    </row>
    <row r="1076" spans="1:1">
      <c r="A1076" s="5"/>
    </row>
    <row r="1077" spans="1:1">
      <c r="A1077" s="5"/>
    </row>
    <row r="1078" spans="1:1">
      <c r="A1078" s="5"/>
    </row>
    <row r="1079" spans="1:1">
      <c r="A1079" s="5"/>
    </row>
    <row r="1080" spans="1:1">
      <c r="A1080" s="5"/>
    </row>
    <row r="1081" spans="1:1">
      <c r="A1081" s="5"/>
    </row>
    <row r="1082" spans="1:1">
      <c r="A1082" s="5"/>
    </row>
    <row r="1083" spans="1:1">
      <c r="A1083" s="5"/>
    </row>
    <row r="1084" spans="1:1">
      <c r="A1084" s="5"/>
    </row>
    <row r="1085" spans="1:1">
      <c r="A1085" s="5"/>
    </row>
    <row r="1086" spans="1:1">
      <c r="A1086" s="5"/>
    </row>
    <row r="1087" spans="1:1">
      <c r="A1087" s="5"/>
    </row>
    <row r="1088" spans="1:1">
      <c r="A1088" s="5"/>
    </row>
    <row r="1089" spans="1:1">
      <c r="A1089" s="5"/>
    </row>
    <row r="1090" spans="1:1">
      <c r="A1090" s="5"/>
    </row>
    <row r="1091" spans="1:1">
      <c r="A1091" s="5"/>
    </row>
    <row r="1092" spans="1:1">
      <c r="A1092" s="5"/>
    </row>
    <row r="1093" spans="1:1">
      <c r="A1093" s="5"/>
    </row>
    <row r="1094" spans="1:1">
      <c r="A1094" s="5"/>
    </row>
    <row r="1095" spans="1:1">
      <c r="A1095" s="5"/>
    </row>
    <row r="1096" spans="1:1">
      <c r="A1096" s="5"/>
    </row>
    <row r="1097" spans="1:1">
      <c r="A1097" s="5"/>
    </row>
    <row r="1098" spans="1:1">
      <c r="A1098" s="5"/>
    </row>
    <row r="1099" spans="1:1">
      <c r="A1099" s="5"/>
    </row>
    <row r="1100" spans="1:1">
      <c r="A1100" s="5"/>
    </row>
    <row r="1101" spans="1:1">
      <c r="A1101" s="5"/>
    </row>
    <row r="1102" spans="1:1">
      <c r="A1102" s="5"/>
    </row>
    <row r="1103" spans="1:1">
      <c r="A1103" s="5"/>
    </row>
    <row r="1104" spans="1:1">
      <c r="A1104" s="5"/>
    </row>
    <row r="1105" spans="1:1">
      <c r="A1105" s="5"/>
    </row>
    <row r="1106" spans="1:1">
      <c r="A1106" s="5"/>
    </row>
    <row r="1107" spans="1:1">
      <c r="A1107" s="5"/>
    </row>
    <row r="1108" spans="1:1">
      <c r="A1108" s="5"/>
    </row>
    <row r="1109" spans="1:1">
      <c r="A1109" s="5"/>
    </row>
    <row r="1110" spans="1:1">
      <c r="A1110" s="5"/>
    </row>
    <row r="1111" spans="1:1">
      <c r="A1111" s="5"/>
    </row>
    <row r="1112" spans="1:1">
      <c r="A1112" s="5"/>
    </row>
    <row r="1113" spans="1:1">
      <c r="A1113" s="5"/>
    </row>
    <row r="1114" spans="1:1">
      <c r="A1114" s="5"/>
    </row>
    <row r="1115" spans="1:1">
      <c r="A1115" s="5"/>
    </row>
    <row r="1116" spans="1:1">
      <c r="A1116" s="5"/>
    </row>
    <row r="1117" spans="1:1">
      <c r="A1117" s="5"/>
    </row>
    <row r="1118" spans="1:1">
      <c r="A1118" s="5"/>
    </row>
    <row r="1119" spans="1:1">
      <c r="A1119" s="5"/>
    </row>
    <row r="1120" spans="1:1">
      <c r="A1120" s="5"/>
    </row>
    <row r="1121" spans="1:1">
      <c r="A1121" s="5"/>
    </row>
    <row r="1122" spans="1:1">
      <c r="A1122" s="5"/>
    </row>
    <row r="1123" spans="1:1">
      <c r="A1123" s="5"/>
    </row>
    <row r="1124" spans="1:1">
      <c r="A1124" s="5"/>
    </row>
    <row r="1125" spans="1:1">
      <c r="A1125" s="5"/>
    </row>
    <row r="1126" spans="1:1">
      <c r="A1126" s="5"/>
    </row>
    <row r="1127" spans="1:1">
      <c r="A1127" s="5"/>
    </row>
    <row r="1128" spans="1:1">
      <c r="A1128" s="5"/>
    </row>
    <row r="1129" spans="1:1">
      <c r="A1129" s="5"/>
    </row>
    <row r="1130" spans="1:1">
      <c r="A1130" s="5"/>
    </row>
    <row r="1131" spans="1:1">
      <c r="A1131" s="5"/>
    </row>
    <row r="1132" spans="1:1">
      <c r="A1132" s="5"/>
    </row>
    <row r="1133" spans="1:1">
      <c r="A1133" s="5"/>
    </row>
    <row r="1134" spans="1:1">
      <c r="A1134" s="5"/>
    </row>
    <row r="1135" spans="1:1">
      <c r="A1135" s="5"/>
    </row>
    <row r="1136" spans="1:1">
      <c r="A1136" s="5"/>
    </row>
    <row r="1137" spans="1:1">
      <c r="A1137" s="5"/>
    </row>
    <row r="1138" spans="1:1">
      <c r="A1138" s="5"/>
    </row>
    <row r="1139" spans="1:1">
      <c r="A1139" s="5"/>
    </row>
    <row r="1140" spans="1:1">
      <c r="A1140" s="5"/>
    </row>
    <row r="1141" spans="1:1">
      <c r="A1141" s="5"/>
    </row>
    <row r="1142" spans="1:1">
      <c r="A1142" s="5"/>
    </row>
    <row r="1143" spans="1:1">
      <c r="A1143" s="5"/>
    </row>
    <row r="1144" spans="1:1">
      <c r="A1144" s="5"/>
    </row>
    <row r="1145" spans="1:1">
      <c r="A1145" s="5"/>
    </row>
    <row r="1146" spans="1:1">
      <c r="A1146" s="5"/>
    </row>
    <row r="1147" spans="1:1">
      <c r="A1147" s="5"/>
    </row>
    <row r="1148" spans="1:1">
      <c r="A1148" s="5"/>
    </row>
    <row r="1149" spans="1:1">
      <c r="A1149" s="5"/>
    </row>
    <row r="1150" spans="1:1">
      <c r="A1150" s="5"/>
    </row>
    <row r="1151" spans="1:1">
      <c r="A1151" s="5"/>
    </row>
    <row r="1152" spans="1:1">
      <c r="A1152" s="5"/>
    </row>
    <row r="1153" spans="1:1">
      <c r="A1153" s="5"/>
    </row>
    <row r="1154" spans="1:1">
      <c r="A1154" s="5"/>
    </row>
    <row r="1155" spans="1:1">
      <c r="A1155" s="5"/>
    </row>
    <row r="1156" spans="1:1">
      <c r="A1156" s="5"/>
    </row>
    <row r="1157" spans="1:1">
      <c r="A1157" s="5"/>
    </row>
    <row r="1158" spans="1:1">
      <c r="A1158" s="5"/>
    </row>
    <row r="1159" spans="1:1">
      <c r="A1159" s="5"/>
    </row>
    <row r="1160" spans="1:1">
      <c r="A1160" s="5"/>
    </row>
    <row r="1161" spans="1:1">
      <c r="A1161" s="5"/>
    </row>
    <row r="1162" spans="1:1">
      <c r="A1162" s="5"/>
    </row>
    <row r="1163" spans="1:1">
      <c r="A1163" s="5"/>
    </row>
    <row r="1164" spans="1:1">
      <c r="A1164" s="5"/>
    </row>
    <row r="1165" spans="1:1">
      <c r="A1165" s="5"/>
    </row>
    <row r="1166" spans="1:1">
      <c r="A1166" s="5"/>
    </row>
    <row r="1167" spans="1:1">
      <c r="A1167" s="5"/>
    </row>
    <row r="1168" spans="1:1">
      <c r="A1168" s="5"/>
    </row>
    <row r="1169" spans="1:1">
      <c r="A1169" s="5"/>
    </row>
    <row r="1170" spans="1:1">
      <c r="A1170" s="5"/>
    </row>
    <row r="1171" spans="1:1">
      <c r="A1171" s="5"/>
    </row>
    <row r="1172" spans="1:1">
      <c r="A1172" s="5"/>
    </row>
    <row r="1173" spans="1:1">
      <c r="A1173" s="5"/>
    </row>
    <row r="1174" spans="1:1">
      <c r="A1174" s="5"/>
    </row>
    <row r="1175" spans="1:1">
      <c r="A1175" s="5"/>
    </row>
    <row r="1176" spans="1:1">
      <c r="A1176" s="5"/>
    </row>
    <row r="1177" spans="1:1">
      <c r="A1177" s="5"/>
    </row>
    <row r="1178" spans="1:1">
      <c r="A1178" s="5"/>
    </row>
    <row r="1179" spans="1:1">
      <c r="A1179" s="5"/>
    </row>
    <row r="1180" spans="1:1">
      <c r="A1180" s="5"/>
    </row>
    <row r="1181" spans="1:1">
      <c r="A1181" s="5"/>
    </row>
    <row r="1182" spans="1:1">
      <c r="A1182" s="5"/>
    </row>
    <row r="1183" spans="1:1">
      <c r="A1183" s="5"/>
    </row>
    <row r="1184" spans="1:1">
      <c r="A1184" s="5"/>
    </row>
    <row r="1185" spans="1:1">
      <c r="A1185" s="5"/>
    </row>
    <row r="1186" spans="1:1">
      <c r="A1186" s="5"/>
    </row>
    <row r="1187" spans="1:1">
      <c r="A1187" s="5"/>
    </row>
    <row r="1188" spans="1:1">
      <c r="A1188" s="5"/>
    </row>
    <row r="1189" spans="1:1">
      <c r="A1189" s="5"/>
    </row>
    <row r="1190" spans="1:1">
      <c r="A1190" s="5"/>
    </row>
    <row r="1191" spans="1:1">
      <c r="A1191" s="5"/>
    </row>
    <row r="1192" spans="1:1">
      <c r="A1192" s="5"/>
    </row>
    <row r="1193" spans="1:1">
      <c r="A1193" s="5"/>
    </row>
    <row r="1194" spans="1:1">
      <c r="A1194" s="5"/>
    </row>
    <row r="1195" spans="1:1">
      <c r="A1195" s="5"/>
    </row>
    <row r="1196" spans="1:1">
      <c r="A1196" s="5"/>
    </row>
    <row r="1197" spans="1:1">
      <c r="A1197" s="5"/>
    </row>
    <row r="1198" spans="1:1">
      <c r="A1198" s="5"/>
    </row>
    <row r="1199" spans="1:1">
      <c r="A1199" s="5"/>
    </row>
    <row r="1200" spans="1:1">
      <c r="A1200" s="5"/>
    </row>
    <row r="1201" spans="1:1">
      <c r="A1201" s="5"/>
    </row>
    <row r="1202" spans="1:1">
      <c r="A1202" s="5"/>
    </row>
    <row r="1203" spans="1:1">
      <c r="A1203" s="5"/>
    </row>
    <row r="1204" spans="1:1">
      <c r="A1204" s="5"/>
    </row>
    <row r="1205" spans="1:1">
      <c r="A1205" s="5"/>
    </row>
    <row r="1206" spans="1:1">
      <c r="A1206" s="5"/>
    </row>
    <row r="1207" spans="1:1">
      <c r="A1207" s="5"/>
    </row>
    <row r="1208" spans="1:1">
      <c r="A1208" s="5"/>
    </row>
    <row r="1209" spans="1:1">
      <c r="A1209" s="5"/>
    </row>
    <row r="1210" spans="1:1">
      <c r="A1210" s="5"/>
    </row>
    <row r="1211" spans="1:1">
      <c r="A1211" s="5"/>
    </row>
    <row r="1212" spans="1:1">
      <c r="A1212" s="5"/>
    </row>
    <row r="1213" spans="1:1">
      <c r="A1213" s="5"/>
    </row>
    <row r="1214" spans="1:1">
      <c r="A1214" s="5"/>
    </row>
    <row r="1215" spans="1:1">
      <c r="A1215" s="5"/>
    </row>
    <row r="1216" spans="1:1">
      <c r="A1216" s="5"/>
    </row>
    <row r="1217" spans="1:1">
      <c r="A1217" s="5"/>
    </row>
    <row r="1218" spans="1:1">
      <c r="A1218" s="5"/>
    </row>
    <row r="1219" spans="1:1">
      <c r="A1219" s="5"/>
    </row>
    <row r="1220" spans="1:1">
      <c r="A1220" s="5"/>
    </row>
    <row r="1221" spans="1:1">
      <c r="A1221" s="5"/>
    </row>
    <row r="1222" spans="1:1">
      <c r="A1222" s="5"/>
    </row>
    <row r="1223" spans="1:1">
      <c r="A1223" s="5"/>
    </row>
    <row r="1224" spans="1:1">
      <c r="A1224" s="5"/>
    </row>
    <row r="1225" spans="1:1">
      <c r="A1225" s="5"/>
    </row>
    <row r="1226" spans="1:1">
      <c r="A1226" s="5"/>
    </row>
    <row r="1227" spans="1:1">
      <c r="A1227" s="5"/>
    </row>
    <row r="1228" spans="1:1">
      <c r="A1228" s="5"/>
    </row>
    <row r="1229" spans="1:1">
      <c r="A1229" s="5"/>
    </row>
    <row r="1230" spans="1:1">
      <c r="A1230" s="5"/>
    </row>
    <row r="1231" spans="1:1">
      <c r="A1231" s="5"/>
    </row>
    <row r="1232" spans="1:1">
      <c r="A1232" s="5"/>
    </row>
    <row r="1233" spans="1:1">
      <c r="A1233" s="5"/>
    </row>
    <row r="1234" spans="1:1">
      <c r="A1234" s="5"/>
    </row>
    <row r="1235" spans="1:1">
      <c r="A1235" s="5"/>
    </row>
    <row r="1236" spans="1:1">
      <c r="A1236" s="5"/>
    </row>
    <row r="1237" spans="1:1">
      <c r="A1237" s="5"/>
    </row>
    <row r="1238" spans="1:1">
      <c r="A1238" s="5"/>
    </row>
    <row r="1239" spans="1:1">
      <c r="A1239" s="5"/>
    </row>
    <row r="1240" spans="1:1">
      <c r="A1240" s="5"/>
    </row>
    <row r="1241" spans="1:1">
      <c r="A1241" s="5"/>
    </row>
    <row r="1242" spans="1:1">
      <c r="A1242" s="5"/>
    </row>
    <row r="1243" spans="1:1">
      <c r="A1243" s="5"/>
    </row>
    <row r="1244" spans="1:1">
      <c r="A1244" s="5"/>
    </row>
    <row r="1245" spans="1:1">
      <c r="A1245" s="5"/>
    </row>
    <row r="1246" spans="1:1">
      <c r="A1246" s="5"/>
    </row>
    <row r="1247" spans="1:1">
      <c r="A1247" s="5"/>
    </row>
    <row r="1248" spans="1:1">
      <c r="A1248" s="5"/>
    </row>
    <row r="1249" spans="1:1">
      <c r="A1249" s="5"/>
    </row>
    <row r="1250" spans="1:1">
      <c r="A1250" s="5"/>
    </row>
    <row r="1251" spans="1:1">
      <c r="A1251" s="5"/>
    </row>
    <row r="1252" spans="1:1">
      <c r="A1252" s="5"/>
    </row>
    <row r="1253" spans="1:1">
      <c r="A1253" s="5"/>
    </row>
    <row r="1254" spans="1:1">
      <c r="A1254" s="5"/>
    </row>
    <row r="1255" spans="1:1">
      <c r="A1255" s="5"/>
    </row>
    <row r="1256" spans="1:1">
      <c r="A1256" s="5"/>
    </row>
    <row r="1257" spans="1:1">
      <c r="A1257" s="5"/>
    </row>
    <row r="1258" spans="1:1">
      <c r="A1258" s="5"/>
    </row>
    <row r="1259" spans="1:1">
      <c r="A1259" s="5"/>
    </row>
    <row r="1260" spans="1:1">
      <c r="A1260" s="5"/>
    </row>
    <row r="1261" spans="1:1">
      <c r="A1261" s="5"/>
    </row>
    <row r="1262" spans="1:1">
      <c r="A1262" s="5"/>
    </row>
    <row r="1263" spans="1:1">
      <c r="A1263" s="5"/>
    </row>
    <row r="1264" spans="1:1">
      <c r="A1264" s="5"/>
    </row>
    <row r="1265" spans="1:1">
      <c r="A1265" s="5"/>
    </row>
    <row r="1266" spans="1:1">
      <c r="A1266" s="5"/>
    </row>
    <row r="1267" spans="1:1">
      <c r="A1267" s="5"/>
    </row>
    <row r="1268" spans="1:1">
      <c r="A1268" s="5"/>
    </row>
    <row r="1269" spans="1:1">
      <c r="A1269" s="5"/>
    </row>
    <row r="1270" spans="1:1">
      <c r="A1270" s="5"/>
    </row>
    <row r="1271" spans="1:1">
      <c r="A1271" s="5"/>
    </row>
    <row r="1272" spans="1:1">
      <c r="A1272" s="5"/>
    </row>
    <row r="1273" spans="1:1">
      <c r="A1273" s="5"/>
    </row>
    <row r="1274" spans="1:1">
      <c r="A1274" s="5"/>
    </row>
    <row r="1275" spans="1:1">
      <c r="A1275" s="5"/>
    </row>
    <row r="1276" spans="1:1">
      <c r="A1276" s="5"/>
    </row>
    <row r="1277" spans="1:1">
      <c r="A1277" s="5"/>
    </row>
    <row r="1278" spans="1:1">
      <c r="A1278" s="5"/>
    </row>
    <row r="1279" spans="1:1">
      <c r="A1279" s="5"/>
    </row>
    <row r="1280" spans="1:1">
      <c r="A1280" s="5"/>
    </row>
    <row r="1281" spans="1:1">
      <c r="A1281" s="5"/>
    </row>
    <row r="1282" spans="1:1">
      <c r="A1282" s="5"/>
    </row>
    <row r="1283" spans="1:1">
      <c r="A1283" s="5"/>
    </row>
    <row r="1284" spans="1:1">
      <c r="A1284" s="5"/>
    </row>
    <row r="1285" spans="1:1">
      <c r="A1285" s="5"/>
    </row>
    <row r="1286" spans="1:1">
      <c r="A1286" s="5"/>
    </row>
    <row r="1287" spans="1:1">
      <c r="A1287" s="5"/>
    </row>
    <row r="1288" spans="1:1">
      <c r="A1288" s="5"/>
    </row>
    <row r="1289" spans="1:1">
      <c r="A1289" s="5"/>
    </row>
    <row r="1290" spans="1:1">
      <c r="A1290" s="5"/>
    </row>
    <row r="1291" spans="1:1">
      <c r="A1291" s="5"/>
    </row>
    <row r="1292" spans="1:1">
      <c r="A1292" s="5"/>
    </row>
    <row r="1293" spans="1:1">
      <c r="A1293" s="5"/>
    </row>
    <row r="1294" spans="1:1">
      <c r="A1294" s="5"/>
    </row>
    <row r="1295" spans="1:1">
      <c r="A1295" s="5"/>
    </row>
    <row r="1296" spans="1:1">
      <c r="A1296" s="5"/>
    </row>
    <row r="1297" spans="1:1">
      <c r="A1297" s="5"/>
    </row>
    <row r="1298" spans="1:1">
      <c r="A1298" s="5"/>
    </row>
    <row r="1299" spans="1:1">
      <c r="A1299" s="5"/>
    </row>
    <row r="1300" spans="1:1">
      <c r="A1300" s="5"/>
    </row>
    <row r="1301" spans="1:1">
      <c r="A1301" s="5"/>
    </row>
    <row r="1302" spans="1:1">
      <c r="A1302" s="5"/>
    </row>
    <row r="1303" spans="1:1">
      <c r="A1303" s="5"/>
    </row>
    <row r="1304" spans="1:1">
      <c r="A1304" s="5"/>
    </row>
    <row r="1305" spans="1:1">
      <c r="A1305" s="5"/>
    </row>
    <row r="1306" spans="1:1">
      <c r="A1306" s="5"/>
    </row>
    <row r="1307" spans="1:1">
      <c r="A1307" s="5"/>
    </row>
    <row r="1308" spans="1:1">
      <c r="A1308" s="5"/>
    </row>
    <row r="1309" spans="1:1">
      <c r="A1309" s="5"/>
    </row>
    <row r="1310" spans="1:1">
      <c r="A1310" s="5"/>
    </row>
    <row r="1311" spans="1:1">
      <c r="A1311" s="5"/>
    </row>
    <row r="1312" spans="1:1">
      <c r="A1312" s="5"/>
    </row>
    <row r="1313" spans="1:1">
      <c r="A1313" s="5"/>
    </row>
    <row r="1314" spans="1:1">
      <c r="A1314" s="5"/>
    </row>
    <row r="1315" spans="1:1">
      <c r="A1315" s="5"/>
    </row>
    <row r="1316" spans="1:1">
      <c r="A1316" s="5"/>
    </row>
    <row r="1317" spans="1:1">
      <c r="A1317" s="5"/>
    </row>
    <row r="1318" spans="1:1">
      <c r="A1318" s="5"/>
    </row>
    <row r="1319" spans="1:1">
      <c r="A1319" s="5"/>
    </row>
    <row r="1320" spans="1:1">
      <c r="A1320" s="5"/>
    </row>
    <row r="1321" spans="1:1">
      <c r="A1321" s="5"/>
    </row>
    <row r="1322" spans="1:1">
      <c r="A1322" s="5"/>
    </row>
    <row r="1323" spans="1:1">
      <c r="A1323" s="5"/>
    </row>
    <row r="1324" spans="1:1">
      <c r="A1324" s="5"/>
    </row>
    <row r="1325" spans="1:1">
      <c r="A1325" s="5"/>
    </row>
    <row r="1326" spans="1:1">
      <c r="A1326" s="5"/>
    </row>
    <row r="1327" spans="1:1">
      <c r="A1327" s="5"/>
    </row>
    <row r="1328" spans="1:1">
      <c r="A1328" s="5"/>
    </row>
    <row r="1329" spans="1:1">
      <c r="A1329" s="5"/>
    </row>
    <row r="1330" spans="1:1">
      <c r="A1330" s="5"/>
    </row>
    <row r="1331" spans="1:1">
      <c r="A1331" s="5"/>
    </row>
    <row r="1332" spans="1:1">
      <c r="A1332" s="5"/>
    </row>
    <row r="1333" spans="1:1">
      <c r="A1333" s="5"/>
    </row>
    <row r="1334" spans="1:1">
      <c r="A1334" s="5"/>
    </row>
    <row r="1335" spans="1:1">
      <c r="A1335" s="5"/>
    </row>
    <row r="1336" spans="1:1">
      <c r="A1336" s="5"/>
    </row>
    <row r="1337" spans="1:1">
      <c r="A1337" s="5"/>
    </row>
    <row r="1338" spans="1:1">
      <c r="A1338" s="5"/>
    </row>
    <row r="1339" spans="1:1">
      <c r="A1339" s="5"/>
    </row>
    <row r="1340" spans="1:1">
      <c r="A1340" s="5"/>
    </row>
    <row r="1341" spans="1:1">
      <c r="A1341" s="5"/>
    </row>
    <row r="1342" spans="1:1">
      <c r="A1342" s="5"/>
    </row>
    <row r="1343" spans="1:1">
      <c r="A1343" s="5"/>
    </row>
    <row r="1344" spans="1:1">
      <c r="A1344" s="5"/>
    </row>
    <row r="1345" spans="1:1">
      <c r="A1345" s="5"/>
    </row>
    <row r="1346" spans="1:1">
      <c r="A1346" s="5"/>
    </row>
    <row r="1347" spans="1:1">
      <c r="A1347" s="5"/>
    </row>
    <row r="1348" spans="1:1">
      <c r="A1348" s="5"/>
    </row>
    <row r="1349" spans="1:1">
      <c r="A1349" s="5"/>
    </row>
    <row r="1350" spans="1:1">
      <c r="A1350" s="5"/>
    </row>
    <row r="1351" spans="1:1">
      <c r="A1351" s="5"/>
    </row>
    <row r="1352" spans="1:1">
      <c r="A1352" s="5"/>
    </row>
    <row r="1353" spans="1:1">
      <c r="A1353" s="5"/>
    </row>
    <row r="1354" spans="1:1">
      <c r="A1354" s="5"/>
    </row>
    <row r="1355" spans="1:1">
      <c r="A1355" s="5"/>
    </row>
    <row r="1356" spans="1:1">
      <c r="A1356" s="5"/>
    </row>
    <row r="1357" spans="1:1">
      <c r="A1357" s="5"/>
    </row>
    <row r="1358" spans="1:1">
      <c r="A1358" s="5"/>
    </row>
    <row r="1359" spans="1:1">
      <c r="A1359" s="5"/>
    </row>
    <row r="1360" spans="1:1">
      <c r="A1360" s="5"/>
    </row>
    <row r="1361" spans="1:1">
      <c r="A1361" s="5"/>
    </row>
    <row r="1362" spans="1:1">
      <c r="A1362" s="5"/>
    </row>
    <row r="1363" spans="1:1">
      <c r="A1363" s="5"/>
    </row>
    <row r="1364" spans="1:1">
      <c r="A1364" s="5"/>
    </row>
    <row r="1365" spans="1:1">
      <c r="A1365" s="5"/>
    </row>
    <row r="1366" spans="1:1">
      <c r="A1366" s="5"/>
    </row>
    <row r="1367" spans="1:1">
      <c r="A1367" s="5"/>
    </row>
    <row r="1368" spans="1:1">
      <c r="A1368" s="5"/>
    </row>
    <row r="1369" spans="1:1">
      <c r="A1369" s="5"/>
    </row>
    <row r="1370" spans="1:1">
      <c r="A1370" s="5"/>
    </row>
    <row r="1371" spans="1:1">
      <c r="A1371" s="5"/>
    </row>
    <row r="1372" spans="1:1">
      <c r="A1372" s="5"/>
    </row>
    <row r="1373" spans="1:1">
      <c r="A1373" s="5"/>
    </row>
    <row r="1374" spans="1:1">
      <c r="A1374" s="5"/>
    </row>
    <row r="1375" spans="1:1">
      <c r="A1375" s="5"/>
    </row>
    <row r="1376" spans="1:1">
      <c r="A1376" s="5"/>
    </row>
    <row r="1377" spans="1:1">
      <c r="A1377" s="5"/>
    </row>
    <row r="1378" spans="1:1">
      <c r="A1378" s="5"/>
    </row>
    <row r="1379" spans="1:1">
      <c r="A1379" s="5"/>
    </row>
    <row r="1380" spans="1:1">
      <c r="A1380" s="5"/>
    </row>
    <row r="1381" spans="1:1">
      <c r="A1381" s="5"/>
    </row>
    <row r="1382" spans="1:1">
      <c r="A1382" s="5"/>
    </row>
    <row r="1383" spans="1:1">
      <c r="A1383" s="5"/>
    </row>
    <row r="1384" spans="1:1">
      <c r="A1384" s="5"/>
    </row>
    <row r="1385" spans="1:1">
      <c r="A1385" s="5"/>
    </row>
    <row r="1386" spans="1:1">
      <c r="A1386" s="5"/>
    </row>
    <row r="1387" spans="1:1">
      <c r="A1387" s="5"/>
    </row>
    <row r="1388" spans="1:1">
      <c r="A1388" s="5"/>
    </row>
    <row r="1389" spans="1:1">
      <c r="A1389" s="5"/>
    </row>
    <row r="1390" spans="1:1">
      <c r="A1390" s="5"/>
    </row>
    <row r="1391" spans="1:1">
      <c r="A1391" s="5"/>
    </row>
    <row r="1392" spans="1:1">
      <c r="A1392" s="5"/>
    </row>
    <row r="1393" spans="1:1">
      <c r="A1393" s="5"/>
    </row>
    <row r="1394" spans="1:1">
      <c r="A1394" s="5"/>
    </row>
    <row r="1395" spans="1:1">
      <c r="A1395" s="5"/>
    </row>
    <row r="1396" spans="1:1">
      <c r="A1396" s="5"/>
    </row>
    <row r="1397" spans="1:1">
      <c r="A1397" s="5"/>
    </row>
    <row r="1398" spans="1:1">
      <c r="A1398" s="5"/>
    </row>
    <row r="1399" spans="1:1">
      <c r="A1399" s="5"/>
    </row>
    <row r="1400" spans="1:1">
      <c r="A1400" s="5"/>
    </row>
    <row r="1401" spans="1:1">
      <c r="A1401" s="5"/>
    </row>
    <row r="1402" spans="1:1">
      <c r="A1402" s="5"/>
    </row>
    <row r="1403" spans="1:1">
      <c r="A1403" s="5"/>
    </row>
    <row r="1404" spans="1:1">
      <c r="A1404" s="5"/>
    </row>
    <row r="1405" spans="1:1">
      <c r="A1405" s="5"/>
    </row>
    <row r="1406" spans="1:1">
      <c r="A1406" s="5"/>
    </row>
    <row r="1407" spans="1:1">
      <c r="A1407" s="5"/>
    </row>
    <row r="1408" spans="1:1">
      <c r="A1408" s="5"/>
    </row>
    <row r="1409" spans="1:1">
      <c r="A1409" s="5"/>
    </row>
    <row r="1410" spans="1:1">
      <c r="A1410" s="5"/>
    </row>
    <row r="1411" spans="1:1">
      <c r="A1411" s="5"/>
    </row>
    <row r="1412" spans="1:1">
      <c r="A1412" s="5"/>
    </row>
    <row r="1413" spans="1:1">
      <c r="A1413" s="5"/>
    </row>
    <row r="1414" spans="1:1">
      <c r="A1414" s="5"/>
    </row>
    <row r="1415" spans="1:1">
      <c r="A1415" s="5"/>
    </row>
    <row r="1416" spans="1:1">
      <c r="A1416" s="5"/>
    </row>
    <row r="1417" spans="1:1">
      <c r="A1417" s="5"/>
    </row>
    <row r="1418" spans="1:1">
      <c r="A1418" s="5"/>
    </row>
    <row r="1419" spans="1:1">
      <c r="A1419" s="5"/>
    </row>
    <row r="1420" spans="1:1">
      <c r="A1420" s="5"/>
    </row>
    <row r="1421" spans="1:1">
      <c r="A1421" s="5"/>
    </row>
    <row r="1422" spans="1:1">
      <c r="A1422" s="5"/>
    </row>
    <row r="1423" spans="1:1">
      <c r="A1423" s="5"/>
    </row>
    <row r="1424" spans="1:1">
      <c r="A1424" s="5"/>
    </row>
    <row r="1425" spans="1:1">
      <c r="A1425" s="5"/>
    </row>
    <row r="1426" spans="1:1">
      <c r="A1426" s="5"/>
    </row>
    <row r="1427" spans="1:1">
      <c r="A1427" s="5"/>
    </row>
    <row r="1428" spans="1:1">
      <c r="A1428" s="5"/>
    </row>
    <row r="1429" spans="1:1">
      <c r="A1429" s="5"/>
    </row>
    <row r="1430" spans="1:1">
      <c r="A1430" s="5"/>
    </row>
    <row r="1431" spans="1:1">
      <c r="A1431" s="5"/>
    </row>
    <row r="1432" spans="1:1">
      <c r="A1432" s="5"/>
    </row>
    <row r="1433" spans="1:1">
      <c r="A1433" s="5"/>
    </row>
    <row r="1434" spans="1:1">
      <c r="A1434" s="5"/>
    </row>
    <row r="1435" spans="1:1">
      <c r="A1435" s="5"/>
    </row>
    <row r="1436" spans="1:1">
      <c r="A1436" s="5"/>
    </row>
    <row r="1437" spans="1:1">
      <c r="A1437" s="5"/>
    </row>
    <row r="1438" spans="1:1">
      <c r="A1438" s="5"/>
    </row>
    <row r="1439" spans="1:1">
      <c r="A1439" s="5"/>
    </row>
    <row r="1440" spans="1:1">
      <c r="A1440" s="5"/>
    </row>
    <row r="1441" spans="1:1">
      <c r="A1441" s="5"/>
    </row>
    <row r="1442" spans="1:1">
      <c r="A1442" s="5"/>
    </row>
    <row r="1443" spans="1:1">
      <c r="A1443" s="5"/>
    </row>
    <row r="1444" spans="1:1">
      <c r="A1444" s="5"/>
    </row>
    <row r="1445" spans="1:1">
      <c r="A1445" s="5"/>
    </row>
    <row r="1446" spans="1:1">
      <c r="A1446" s="5"/>
    </row>
    <row r="1447" spans="1:1">
      <c r="A1447" s="5"/>
    </row>
    <row r="1448" spans="1:1">
      <c r="A1448" s="5"/>
    </row>
    <row r="1449" spans="1:1">
      <c r="A1449" s="5"/>
    </row>
    <row r="1450" spans="1:1">
      <c r="A1450" s="5"/>
    </row>
    <row r="1451" spans="1:1">
      <c r="A1451" s="5"/>
    </row>
    <row r="1452" spans="1:1">
      <c r="A1452" s="5"/>
    </row>
    <row r="1453" spans="1:1">
      <c r="A1453" s="5"/>
    </row>
    <row r="1454" spans="1:1">
      <c r="A1454" s="5"/>
    </row>
    <row r="1455" spans="1:1">
      <c r="A1455" s="5"/>
    </row>
    <row r="1456" spans="1:1">
      <c r="A1456" s="5"/>
    </row>
    <row r="1457" spans="1:1">
      <c r="A1457" s="5"/>
    </row>
    <row r="1458" spans="1:1">
      <c r="A1458" s="5"/>
    </row>
    <row r="1459" spans="1:1">
      <c r="A1459" s="5"/>
    </row>
    <row r="1460" spans="1:1">
      <c r="A1460" s="5"/>
    </row>
    <row r="1461" spans="1:1">
      <c r="A1461" s="5"/>
    </row>
    <row r="1462" spans="1:1">
      <c r="A1462" s="5"/>
    </row>
    <row r="1463" spans="1:1">
      <c r="A1463" s="5"/>
    </row>
    <row r="1464" spans="1:1">
      <c r="A1464" s="5"/>
    </row>
    <row r="1465" spans="1:1">
      <c r="A1465" s="5"/>
    </row>
    <row r="1466" spans="1:1">
      <c r="A1466" s="5"/>
    </row>
    <row r="1467" spans="1:1">
      <c r="A1467" s="5"/>
    </row>
    <row r="1468" spans="1:1">
      <c r="A1468" s="5"/>
    </row>
    <row r="1469" spans="1:1">
      <c r="A1469" s="5"/>
    </row>
    <row r="1470" spans="1:1">
      <c r="A1470" s="5"/>
    </row>
    <row r="1471" spans="1:1">
      <c r="A1471" s="5"/>
    </row>
    <row r="1472" spans="1:1">
      <c r="A1472" s="5"/>
    </row>
    <row r="1473" spans="1:1">
      <c r="A1473" s="5"/>
    </row>
    <row r="1474" spans="1:1">
      <c r="A1474" s="5"/>
    </row>
    <row r="1475" spans="1:1">
      <c r="A1475" s="5"/>
    </row>
    <row r="1476" spans="1:1">
      <c r="A1476" s="5"/>
    </row>
    <row r="1477" spans="1:1">
      <c r="A1477" s="5"/>
    </row>
    <row r="1478" spans="1:1">
      <c r="A1478" s="5"/>
    </row>
    <row r="1479" spans="1:1">
      <c r="A1479" s="5"/>
    </row>
    <row r="1480" spans="1:1">
      <c r="A1480" s="5"/>
    </row>
    <row r="1481" spans="1:1">
      <c r="A1481" s="5"/>
    </row>
    <row r="1482" spans="1:1">
      <c r="A1482" s="5"/>
    </row>
    <row r="1483" spans="1:1">
      <c r="A1483" s="5"/>
    </row>
    <row r="1484" spans="1:1">
      <c r="A1484" s="5"/>
    </row>
    <row r="1485" spans="1:1">
      <c r="A1485" s="5"/>
    </row>
    <row r="1486" spans="1:1">
      <c r="A1486" s="5"/>
    </row>
    <row r="1487" spans="1:1">
      <c r="A1487" s="5"/>
    </row>
    <row r="1488" spans="1:1">
      <c r="A1488" s="5"/>
    </row>
    <row r="1489" spans="1:1">
      <c r="A1489" s="5"/>
    </row>
    <row r="1490" spans="1:1">
      <c r="A1490" s="5"/>
    </row>
    <row r="1491" spans="1:1">
      <c r="A1491" s="5"/>
    </row>
    <row r="1492" spans="1:1">
      <c r="A1492" s="5"/>
    </row>
    <row r="1493" spans="1:1">
      <c r="A1493" s="5"/>
    </row>
    <row r="1494" spans="1:1">
      <c r="A1494" s="5"/>
    </row>
    <row r="1495" spans="1:1">
      <c r="A1495" s="5"/>
    </row>
    <row r="1496" spans="1:1">
      <c r="A1496" s="5"/>
    </row>
    <row r="1497" spans="1:1">
      <c r="A1497" s="5"/>
    </row>
    <row r="1498" spans="1:1">
      <c r="A1498" s="5"/>
    </row>
    <row r="1499" spans="1:1">
      <c r="A1499" s="5"/>
    </row>
    <row r="1500" spans="1:1">
      <c r="A1500" s="5"/>
    </row>
    <row r="1501" spans="1:1">
      <c r="A1501" s="5"/>
    </row>
    <row r="1502" spans="1:1">
      <c r="A1502" s="5"/>
    </row>
    <row r="1503" spans="1:1">
      <c r="A1503" s="5"/>
    </row>
    <row r="1504" spans="1:1">
      <c r="A1504" s="5"/>
    </row>
    <row r="1505" spans="1:1">
      <c r="A1505" s="5"/>
    </row>
    <row r="1506" spans="1:1">
      <c r="A1506" s="5"/>
    </row>
    <row r="1507" spans="1:1">
      <c r="A1507" s="5"/>
    </row>
    <row r="1508" spans="1:1">
      <c r="A1508" s="5"/>
    </row>
    <row r="1509" spans="1:1">
      <c r="A1509" s="5"/>
    </row>
    <row r="1510" spans="1:1">
      <c r="A1510" s="5"/>
    </row>
    <row r="1511" spans="1:1">
      <c r="A1511" s="5"/>
    </row>
    <row r="1512" spans="1:1">
      <c r="A1512" s="5"/>
    </row>
    <row r="1513" spans="1:1">
      <c r="A1513" s="5"/>
    </row>
    <row r="1514" spans="1:1">
      <c r="A1514" s="5"/>
    </row>
    <row r="1515" spans="1:1">
      <c r="A1515" s="5"/>
    </row>
    <row r="1516" spans="1:1">
      <c r="A1516" s="5"/>
    </row>
    <row r="1517" spans="1:1">
      <c r="A1517" s="5"/>
    </row>
    <row r="1518" spans="1:1">
      <c r="A1518" s="5"/>
    </row>
    <row r="1519" spans="1:1">
      <c r="A1519" s="5"/>
    </row>
    <row r="1520" spans="1:1">
      <c r="A1520" s="5"/>
    </row>
    <row r="1521" spans="1:1">
      <c r="A1521" s="5"/>
    </row>
    <row r="1522" spans="1:1">
      <c r="A1522" s="5"/>
    </row>
    <row r="1523" spans="1:1">
      <c r="A1523" s="5"/>
    </row>
    <row r="1524" spans="1:1">
      <c r="A1524" s="5"/>
    </row>
    <row r="1525" spans="1:1">
      <c r="A1525" s="5"/>
    </row>
    <row r="1526" spans="1:1">
      <c r="A1526" s="5"/>
    </row>
    <row r="1527" spans="1:1">
      <c r="A1527" s="5"/>
    </row>
    <row r="1528" spans="1:1">
      <c r="A1528" s="5"/>
    </row>
    <row r="1529" spans="1:1">
      <c r="A1529" s="5"/>
    </row>
    <row r="1530" spans="1:1">
      <c r="A1530" s="5"/>
    </row>
    <row r="1531" spans="1:1">
      <c r="A1531" s="5"/>
    </row>
    <row r="1532" spans="1:1">
      <c r="A1532" s="5"/>
    </row>
    <row r="1533" spans="1:1">
      <c r="A1533" s="5"/>
    </row>
    <row r="1534" spans="1:1">
      <c r="A1534" s="5"/>
    </row>
    <row r="1535" spans="1:1">
      <c r="A1535" s="5"/>
    </row>
    <row r="1536" spans="1:1">
      <c r="A1536" s="5"/>
    </row>
    <row r="1537" spans="1:1">
      <c r="A1537" s="5"/>
    </row>
    <row r="1538" spans="1:1">
      <c r="A1538" s="5"/>
    </row>
    <row r="1539" spans="1:1">
      <c r="A1539" s="5"/>
    </row>
    <row r="1540" spans="1:1">
      <c r="A1540" s="5"/>
    </row>
    <row r="1541" spans="1:1">
      <c r="A1541" s="5"/>
    </row>
    <row r="1542" spans="1:1">
      <c r="A1542" s="5"/>
    </row>
    <row r="1543" spans="1:1">
      <c r="A1543" s="5"/>
    </row>
    <row r="1544" spans="1:1">
      <c r="A1544" s="5"/>
    </row>
    <row r="1545" spans="1:1">
      <c r="A1545" s="5"/>
    </row>
    <row r="1546" spans="1:1">
      <c r="A1546" s="5"/>
    </row>
    <row r="1547" spans="1:1">
      <c r="A1547" s="5"/>
    </row>
    <row r="1548" spans="1:1">
      <c r="A1548" s="5"/>
    </row>
    <row r="1549" spans="1:1">
      <c r="A1549" s="5"/>
    </row>
    <row r="1550" spans="1:1">
      <c r="A1550" s="5"/>
    </row>
    <row r="1551" spans="1:1">
      <c r="A1551" s="5"/>
    </row>
    <row r="1552" spans="1:1">
      <c r="A1552" s="5"/>
    </row>
    <row r="1553" spans="1:1">
      <c r="A1553" s="5"/>
    </row>
    <row r="1554" spans="1:1">
      <c r="A1554" s="5"/>
    </row>
    <row r="1555" spans="1:1">
      <c r="A1555" s="5"/>
    </row>
    <row r="1556" spans="1:1">
      <c r="A1556" s="5"/>
    </row>
    <row r="1557" spans="1:1">
      <c r="A1557" s="5"/>
    </row>
    <row r="1558" spans="1:1">
      <c r="A1558" s="5"/>
    </row>
    <row r="1559" spans="1:1">
      <c r="A1559" s="5"/>
    </row>
    <row r="1560" spans="1:1">
      <c r="A1560" s="5"/>
    </row>
    <row r="1561" spans="1:1">
      <c r="A1561" s="5"/>
    </row>
    <row r="1562" spans="1:1">
      <c r="A1562" s="5"/>
    </row>
    <row r="1563" spans="1:1">
      <c r="A1563" s="5"/>
    </row>
    <row r="1564" spans="1:1">
      <c r="A1564" s="5"/>
    </row>
    <row r="1565" spans="1:1">
      <c r="A1565" s="5"/>
    </row>
    <row r="1566" spans="1:1">
      <c r="A1566" s="5"/>
    </row>
    <row r="1567" spans="1:1">
      <c r="A1567" s="5"/>
    </row>
    <row r="1568" spans="1:1">
      <c r="A1568" s="5"/>
    </row>
    <row r="1569" spans="1:1">
      <c r="A1569" s="5"/>
    </row>
    <row r="1570" spans="1:1">
      <c r="A1570" s="5"/>
    </row>
    <row r="1571" spans="1:1">
      <c r="A1571" s="5"/>
    </row>
    <row r="1572" spans="1:1">
      <c r="A1572" s="5"/>
    </row>
    <row r="1573" spans="1:1">
      <c r="A1573" s="5"/>
    </row>
    <row r="1574" spans="1:1">
      <c r="A1574" s="5"/>
    </row>
    <row r="1575" spans="1:1">
      <c r="A1575" s="5"/>
    </row>
    <row r="1576" spans="1:1">
      <c r="A1576" s="5"/>
    </row>
    <row r="1577" spans="1:1">
      <c r="A1577" s="5"/>
    </row>
    <row r="1578" spans="1:1">
      <c r="A1578" s="5"/>
    </row>
    <row r="1579" spans="1:1">
      <c r="A1579" s="5"/>
    </row>
    <row r="1580" spans="1:1">
      <c r="A1580" s="5"/>
    </row>
    <row r="1581" spans="1:1">
      <c r="A1581" s="5"/>
    </row>
    <row r="1582" spans="1:1">
      <c r="A1582" s="5"/>
    </row>
    <row r="1583" spans="1:1">
      <c r="A1583" s="5"/>
    </row>
    <row r="1584" spans="1:1">
      <c r="A1584" s="5"/>
    </row>
    <row r="1585" spans="1:1">
      <c r="A1585" s="5"/>
    </row>
    <row r="1586" spans="1:1">
      <c r="A1586" s="5"/>
    </row>
    <row r="1587" spans="1:1">
      <c r="A1587" s="5"/>
    </row>
    <row r="1588" spans="1:1">
      <c r="A1588" s="5"/>
    </row>
    <row r="1589" spans="1:1">
      <c r="A1589" s="5"/>
    </row>
    <row r="1590" spans="1:1">
      <c r="A1590" s="5"/>
    </row>
    <row r="1591" spans="1:1">
      <c r="A1591" s="5"/>
    </row>
    <row r="1592" spans="1:1">
      <c r="A1592" s="5"/>
    </row>
    <row r="1593" spans="1:1">
      <c r="A1593" s="5"/>
    </row>
    <row r="1594" spans="1:1">
      <c r="A1594" s="5"/>
    </row>
    <row r="1595" spans="1:1">
      <c r="A1595" s="5"/>
    </row>
    <row r="1596" spans="1:1">
      <c r="A1596" s="5"/>
    </row>
    <row r="1597" spans="1:1">
      <c r="A1597" s="5"/>
    </row>
    <row r="1598" spans="1:1">
      <c r="A1598" s="5"/>
    </row>
    <row r="1599" spans="1:1">
      <c r="A1599" s="5"/>
    </row>
    <row r="1600" spans="1:1">
      <c r="A1600" s="5"/>
    </row>
    <row r="1601" spans="1:1">
      <c r="A1601" s="5"/>
    </row>
    <row r="1602" spans="1:1">
      <c r="A1602" s="5"/>
    </row>
    <row r="1603" spans="1:1">
      <c r="A1603" s="5"/>
    </row>
    <row r="1604" spans="1:1">
      <c r="A1604" s="5"/>
    </row>
    <row r="1605" spans="1:1">
      <c r="A1605" s="5"/>
    </row>
    <row r="1606" spans="1:1">
      <c r="A1606" s="5"/>
    </row>
    <row r="1607" spans="1:1">
      <c r="A1607" s="5"/>
    </row>
    <row r="1608" spans="1:1">
      <c r="A1608" s="5"/>
    </row>
    <row r="1609" spans="1:1">
      <c r="A1609" s="5"/>
    </row>
    <row r="1610" spans="1:1">
      <c r="A1610" s="5"/>
    </row>
    <row r="1611" spans="1:1">
      <c r="A1611" s="5"/>
    </row>
    <row r="1612" spans="1:1">
      <c r="A1612" s="5"/>
    </row>
    <row r="1613" spans="1:1">
      <c r="A1613" s="5"/>
    </row>
    <row r="1614" spans="1:1">
      <c r="A1614" s="5"/>
    </row>
    <row r="1615" spans="1:1">
      <c r="A1615" s="5"/>
    </row>
    <row r="1616" spans="1:1">
      <c r="A1616" s="5"/>
    </row>
    <row r="1617" spans="1:1">
      <c r="A1617" s="5"/>
    </row>
    <row r="1618" spans="1:1">
      <c r="A1618" s="5"/>
    </row>
    <row r="1619" spans="1:1">
      <c r="A1619" s="5"/>
    </row>
    <row r="1620" spans="1:1">
      <c r="A1620" s="5"/>
    </row>
    <row r="1621" spans="1:1">
      <c r="A1621" s="5"/>
    </row>
    <row r="1622" spans="1:1">
      <c r="A1622" s="5"/>
    </row>
    <row r="1623" spans="1:1">
      <c r="A1623" s="5"/>
    </row>
    <row r="1624" spans="1:1">
      <c r="A1624" s="5"/>
    </row>
    <row r="1625" spans="1:1">
      <c r="A1625" s="5"/>
    </row>
    <row r="1626" spans="1:1">
      <c r="A1626" s="5"/>
    </row>
    <row r="1627" spans="1:1">
      <c r="A1627" s="5"/>
    </row>
    <row r="1628" spans="1:1">
      <c r="A1628" s="5"/>
    </row>
    <row r="1629" spans="1:1">
      <c r="A1629" s="5"/>
    </row>
    <row r="1630" spans="1:1">
      <c r="A1630" s="5"/>
    </row>
    <row r="1631" spans="1:1">
      <c r="A1631" s="5"/>
    </row>
    <row r="1632" spans="1:1">
      <c r="A1632" s="5"/>
    </row>
    <row r="1633" spans="1:1">
      <c r="A1633" s="5"/>
    </row>
    <row r="1634" spans="1:1">
      <c r="A1634" s="5"/>
    </row>
    <row r="1635" spans="1:1">
      <c r="A1635" s="5"/>
    </row>
    <row r="1636" spans="1:1">
      <c r="A1636" s="5"/>
    </row>
    <row r="1637" spans="1:1">
      <c r="A1637" s="5"/>
    </row>
    <row r="1638" spans="1:1">
      <c r="A1638" s="5"/>
    </row>
    <row r="1639" spans="1:1">
      <c r="A1639" s="5"/>
    </row>
    <row r="1640" spans="1:1">
      <c r="A1640" s="5"/>
    </row>
    <row r="1641" spans="1:1">
      <c r="A1641" s="5"/>
    </row>
    <row r="1642" spans="1:1">
      <c r="A1642" s="5"/>
    </row>
    <row r="1643" spans="1:1">
      <c r="A1643" s="5"/>
    </row>
    <row r="1644" spans="1:1">
      <c r="A1644" s="5"/>
    </row>
    <row r="1645" spans="1:1">
      <c r="A1645" s="5"/>
    </row>
    <row r="1646" spans="1:1">
      <c r="A1646" s="5"/>
    </row>
    <row r="1647" spans="1:1">
      <c r="A1647" s="5"/>
    </row>
    <row r="1648" spans="1:1">
      <c r="A1648" s="5"/>
    </row>
    <row r="1649" spans="1:1">
      <c r="A1649" s="5"/>
    </row>
    <row r="1650" spans="1:1">
      <c r="A1650" s="5"/>
    </row>
    <row r="1651" spans="1:1">
      <c r="A1651" s="5"/>
    </row>
    <row r="1652" spans="1:1">
      <c r="A1652" s="5"/>
    </row>
    <row r="1653" spans="1:1">
      <c r="A1653" s="5"/>
    </row>
    <row r="1654" spans="1:1">
      <c r="A1654" s="5"/>
    </row>
    <row r="1655" spans="1:1">
      <c r="A1655" s="5"/>
    </row>
    <row r="1656" spans="1:1">
      <c r="A1656" s="5"/>
    </row>
    <row r="1657" spans="1:1">
      <c r="A1657" s="5"/>
    </row>
    <row r="1658" spans="1:1">
      <c r="A1658" s="5"/>
    </row>
    <row r="1659" spans="1:1">
      <c r="A1659" s="5"/>
    </row>
    <row r="1660" spans="1:1">
      <c r="A1660" s="5"/>
    </row>
    <row r="1661" spans="1:1">
      <c r="A1661" s="5"/>
    </row>
    <row r="1662" spans="1:1">
      <c r="A1662" s="5"/>
    </row>
    <row r="1663" spans="1:1">
      <c r="A1663" s="5"/>
    </row>
    <row r="1664" spans="1:1">
      <c r="A1664" s="5"/>
    </row>
    <row r="1665" spans="1:1">
      <c r="A1665" s="5"/>
    </row>
    <row r="1666" spans="1:1">
      <c r="A1666" s="5"/>
    </row>
    <row r="1667" spans="1:1">
      <c r="A1667" s="5"/>
    </row>
    <row r="1668" spans="1:1">
      <c r="A1668" s="5"/>
    </row>
    <row r="1669" spans="1:1">
      <c r="A1669" s="5"/>
    </row>
    <row r="1670" spans="1:1">
      <c r="A1670" s="5"/>
    </row>
    <row r="1671" spans="1:1">
      <c r="A1671" s="5"/>
    </row>
    <row r="1672" spans="1:1">
      <c r="A1672" s="5"/>
    </row>
    <row r="1673" spans="1:1">
      <c r="A1673" s="5"/>
    </row>
    <row r="1674" spans="1:1">
      <c r="A1674" s="5"/>
    </row>
    <row r="1675" spans="1:1">
      <c r="A1675" s="5"/>
    </row>
    <row r="1676" spans="1:1">
      <c r="A1676" s="5"/>
    </row>
    <row r="1677" spans="1:1">
      <c r="A1677" s="5"/>
    </row>
    <row r="1678" spans="1:1">
      <c r="A1678" s="5"/>
    </row>
    <row r="1679" spans="1:1">
      <c r="A1679" s="5"/>
    </row>
    <row r="1680" spans="1:1">
      <c r="A1680" s="5"/>
    </row>
    <row r="1681" spans="1:1">
      <c r="A1681" s="5"/>
    </row>
    <row r="1682" spans="1:1">
      <c r="A1682" s="5"/>
    </row>
    <row r="1683" spans="1:1">
      <c r="A1683" s="5"/>
    </row>
    <row r="1684" spans="1:1">
      <c r="A1684" s="5"/>
    </row>
    <row r="1685" spans="1:1">
      <c r="A1685" s="5"/>
    </row>
    <row r="1686" spans="1:1">
      <c r="A1686" s="5"/>
    </row>
    <row r="1687" spans="1:1">
      <c r="A1687" s="5"/>
    </row>
    <row r="1688" spans="1:1">
      <c r="A1688" s="5"/>
    </row>
    <row r="1689" spans="1:1">
      <c r="A1689" s="5"/>
    </row>
    <row r="1690" spans="1:1">
      <c r="A1690" s="5"/>
    </row>
    <row r="1691" spans="1:1">
      <c r="A1691" s="5"/>
    </row>
    <row r="1692" spans="1:1">
      <c r="A1692" s="5"/>
    </row>
    <row r="1693" spans="1:1">
      <c r="A1693" s="5"/>
    </row>
    <row r="1694" spans="1:1">
      <c r="A1694" s="5"/>
    </row>
    <row r="1695" spans="1:1">
      <c r="A1695" s="5"/>
    </row>
    <row r="1696" spans="1:1">
      <c r="A1696" s="5"/>
    </row>
    <row r="1697" spans="1:1">
      <c r="A1697" s="5"/>
    </row>
    <row r="1698" spans="1:1">
      <c r="A1698" s="5"/>
    </row>
    <row r="1699" spans="1:1">
      <c r="A1699" s="5"/>
    </row>
    <row r="1700" spans="1:1">
      <c r="A1700" s="5"/>
    </row>
    <row r="1701" spans="1:1">
      <c r="A1701" s="5"/>
    </row>
    <row r="1702" spans="1:1">
      <c r="A1702" s="5"/>
    </row>
    <row r="1703" spans="1:1">
      <c r="A1703" s="5"/>
    </row>
    <row r="1704" spans="1:1">
      <c r="A1704" s="5"/>
    </row>
    <row r="1705" spans="1:1">
      <c r="A1705" s="5"/>
    </row>
    <row r="1706" spans="1:1">
      <c r="A1706" s="5"/>
    </row>
    <row r="1707" spans="1:1">
      <c r="A1707" s="5"/>
    </row>
    <row r="1708" spans="1:1">
      <c r="A1708" s="5"/>
    </row>
    <row r="1709" spans="1:1">
      <c r="A1709" s="5"/>
    </row>
    <row r="1710" spans="1:1">
      <c r="A1710" s="5"/>
    </row>
    <row r="1711" spans="1:1">
      <c r="A1711" s="5"/>
    </row>
    <row r="1712" spans="1:1">
      <c r="A1712" s="5"/>
    </row>
    <row r="1713" spans="1:1">
      <c r="A1713" s="5"/>
    </row>
    <row r="1714" spans="1:1">
      <c r="A1714" s="5"/>
    </row>
    <row r="1715" spans="1:1">
      <c r="A1715" s="5"/>
    </row>
    <row r="1716" spans="1:1">
      <c r="A1716" s="5"/>
    </row>
    <row r="1717" spans="1:1">
      <c r="A1717" s="5"/>
    </row>
    <row r="1718" spans="1:1">
      <c r="A1718" s="5"/>
    </row>
    <row r="1719" spans="1:1">
      <c r="A1719" s="5"/>
    </row>
    <row r="1720" spans="1:1">
      <c r="A1720" s="5"/>
    </row>
    <row r="1721" spans="1:1">
      <c r="A1721" s="5"/>
    </row>
    <row r="1722" spans="1:1">
      <c r="A1722" s="5"/>
    </row>
    <row r="1723" spans="1:1">
      <c r="A1723" s="5"/>
    </row>
    <row r="1724" spans="1:1">
      <c r="A1724" s="5"/>
    </row>
    <row r="1725" spans="1:1">
      <c r="A1725" s="5"/>
    </row>
    <row r="1726" spans="1:1">
      <c r="A1726" s="5"/>
    </row>
    <row r="1727" spans="1:1">
      <c r="A1727" s="5"/>
    </row>
    <row r="1728" spans="1:1">
      <c r="A1728" s="5"/>
    </row>
    <row r="1729" spans="1:1">
      <c r="A1729" s="5"/>
    </row>
    <row r="1730" spans="1:1">
      <c r="A1730" s="5"/>
    </row>
    <row r="1731" spans="1:1">
      <c r="A1731" s="5"/>
    </row>
    <row r="1732" spans="1:1">
      <c r="A1732" s="5"/>
    </row>
    <row r="1733" spans="1:1">
      <c r="A1733" s="5"/>
    </row>
    <row r="1734" spans="1:1">
      <c r="A1734" s="5"/>
    </row>
    <row r="1735" spans="1:1">
      <c r="A1735" s="5"/>
    </row>
    <row r="1736" spans="1:1">
      <c r="A1736" s="5"/>
    </row>
    <row r="1737" spans="1:1">
      <c r="A1737" s="5"/>
    </row>
    <row r="1738" spans="1:1">
      <c r="A1738" s="5"/>
    </row>
    <row r="1739" spans="1:1">
      <c r="A1739" s="5"/>
    </row>
    <row r="1740" spans="1:1">
      <c r="A1740" s="5"/>
    </row>
    <row r="1741" spans="1:1">
      <c r="A1741" s="5"/>
    </row>
    <row r="1742" spans="1:1">
      <c r="A1742" s="5"/>
    </row>
    <row r="1743" spans="1:1">
      <c r="A1743" s="5"/>
    </row>
    <row r="1744" spans="1:1">
      <c r="A1744" s="5"/>
    </row>
    <row r="1745" spans="1:1">
      <c r="A1745" s="5"/>
    </row>
    <row r="1746" spans="1:1">
      <c r="A1746" s="5"/>
    </row>
    <row r="1747" spans="1:1">
      <c r="A1747" s="5"/>
    </row>
    <row r="1748" spans="1:1">
      <c r="A1748" s="5"/>
    </row>
    <row r="1749" spans="1:1">
      <c r="A1749" s="5"/>
    </row>
    <row r="1750" spans="1:1">
      <c r="A1750" s="5"/>
    </row>
    <row r="1751" spans="1:1">
      <c r="A1751" s="5"/>
    </row>
    <row r="1752" spans="1:1">
      <c r="A1752" s="5"/>
    </row>
    <row r="1753" spans="1:1">
      <c r="A1753" s="5"/>
    </row>
    <row r="1754" spans="1:1">
      <c r="A1754" s="5"/>
    </row>
    <row r="1755" spans="1:1">
      <c r="A1755" s="5"/>
    </row>
    <row r="1756" spans="1:1">
      <c r="A1756" s="5"/>
    </row>
    <row r="1757" spans="1:1">
      <c r="A1757" s="5"/>
    </row>
    <row r="1758" spans="1:1">
      <c r="A1758" s="5"/>
    </row>
    <row r="1759" spans="1:1">
      <c r="A1759" s="5"/>
    </row>
    <row r="1760" spans="1:1">
      <c r="A1760" s="5"/>
    </row>
    <row r="1761" spans="1:1">
      <c r="A1761" s="5"/>
    </row>
    <row r="1762" spans="1:1">
      <c r="A1762" s="5"/>
    </row>
    <row r="1763" spans="1:1">
      <c r="A1763" s="5"/>
    </row>
    <row r="1764" spans="1:1">
      <c r="A1764" s="5"/>
    </row>
    <row r="1765" spans="1:1">
      <c r="A1765" s="5"/>
    </row>
    <row r="1766" spans="1:1">
      <c r="A1766" s="5"/>
    </row>
    <row r="1767" spans="1:1">
      <c r="A1767" s="5"/>
    </row>
    <row r="1768" spans="1:1">
      <c r="A1768" s="5"/>
    </row>
    <row r="1769" spans="1:1">
      <c r="A1769" s="5"/>
    </row>
    <row r="1770" spans="1:1">
      <c r="A1770" s="5"/>
    </row>
    <row r="1771" spans="1:1">
      <c r="A1771" s="5"/>
    </row>
    <row r="1772" spans="1:1">
      <c r="A1772" s="5"/>
    </row>
    <row r="1773" spans="1:1">
      <c r="A1773" s="5"/>
    </row>
    <row r="1774" spans="1:1">
      <c r="A1774" s="5"/>
    </row>
    <row r="1775" spans="1:1">
      <c r="A1775" s="5"/>
    </row>
    <row r="1776" spans="1:1">
      <c r="A1776" s="5"/>
    </row>
    <row r="1777" spans="1:1">
      <c r="A1777" s="5"/>
    </row>
    <row r="1778" spans="1:1">
      <c r="A1778" s="5"/>
    </row>
    <row r="1779" spans="1:1">
      <c r="A1779" s="5"/>
    </row>
    <row r="1780" spans="1:1">
      <c r="A1780" s="5"/>
    </row>
    <row r="1781" spans="1:1">
      <c r="A1781" s="5"/>
    </row>
    <row r="1782" spans="1:1">
      <c r="A1782" s="5"/>
    </row>
    <row r="1783" spans="1:1">
      <c r="A1783" s="5"/>
    </row>
    <row r="1784" spans="1:1">
      <c r="A1784" s="5"/>
    </row>
    <row r="1785" spans="1:1">
      <c r="A1785" s="5"/>
    </row>
    <row r="1786" spans="1:1">
      <c r="A1786" s="5"/>
    </row>
    <row r="1787" spans="1:1">
      <c r="A1787" s="5"/>
    </row>
    <row r="1788" spans="1:1">
      <c r="A1788" s="5"/>
    </row>
    <row r="1789" spans="1:1">
      <c r="A1789" s="5"/>
    </row>
    <row r="1790" spans="1:1">
      <c r="A1790" s="5"/>
    </row>
    <row r="1791" spans="1:1">
      <c r="A1791" s="5"/>
    </row>
    <row r="1792" spans="1:1">
      <c r="A1792" s="5"/>
    </row>
    <row r="1793" spans="1:1">
      <c r="A1793" s="5"/>
    </row>
    <row r="1794" spans="1:1">
      <c r="A1794" s="5"/>
    </row>
    <row r="1795" spans="1:1">
      <c r="A1795" s="5"/>
    </row>
    <row r="1796" spans="1:1">
      <c r="A1796" s="5"/>
    </row>
    <row r="1797" spans="1:1">
      <c r="A1797" s="5"/>
    </row>
    <row r="1798" spans="1:1">
      <c r="A1798" s="5"/>
    </row>
    <row r="1799" spans="1:1">
      <c r="A1799" s="5"/>
    </row>
    <row r="1800" spans="1:1">
      <c r="A1800" s="5"/>
    </row>
    <row r="1801" spans="1:1">
      <c r="A1801" s="5"/>
    </row>
    <row r="1802" spans="1:1">
      <c r="A1802" s="5"/>
    </row>
    <row r="1803" spans="1:1">
      <c r="A1803" s="5"/>
    </row>
    <row r="1804" spans="1:1">
      <c r="A1804" s="5"/>
    </row>
    <row r="1805" spans="1:1">
      <c r="A1805" s="5"/>
    </row>
    <row r="1806" spans="1:1">
      <c r="A1806" s="5"/>
    </row>
    <row r="1807" spans="1:1">
      <c r="A1807" s="5"/>
    </row>
    <row r="1808" spans="1:1">
      <c r="A1808" s="5"/>
    </row>
    <row r="1809" spans="1:1">
      <c r="A1809" s="5"/>
    </row>
    <row r="1810" spans="1:1">
      <c r="A1810" s="5"/>
    </row>
    <row r="1811" spans="1:1">
      <c r="A1811" s="5"/>
    </row>
    <row r="1812" spans="1:1">
      <c r="A1812" s="5"/>
    </row>
    <row r="1813" spans="1:1">
      <c r="A1813" s="5"/>
    </row>
    <row r="1814" spans="1:1">
      <c r="A1814" s="5"/>
    </row>
    <row r="1815" spans="1:1">
      <c r="A1815" s="5"/>
    </row>
    <row r="1816" spans="1:1">
      <c r="A1816" s="5"/>
    </row>
    <row r="1817" spans="1:1">
      <c r="A1817" s="5"/>
    </row>
    <row r="1818" spans="1:1">
      <c r="A1818" s="5"/>
    </row>
    <row r="1819" spans="1:1">
      <c r="A1819" s="5"/>
    </row>
    <row r="1820" spans="1:1">
      <c r="A1820" s="5"/>
    </row>
    <row r="1821" spans="1:1">
      <c r="A1821" s="5"/>
    </row>
    <row r="1822" spans="1:1">
      <c r="A1822" s="5"/>
    </row>
    <row r="1823" spans="1:1">
      <c r="A1823" s="5"/>
    </row>
    <row r="1824" spans="1:1">
      <c r="A1824" s="5"/>
    </row>
    <row r="1825" spans="1:1">
      <c r="A1825" s="5"/>
    </row>
    <row r="1826" spans="1:1">
      <c r="A1826" s="5"/>
    </row>
    <row r="1827" spans="1:1">
      <c r="A1827" s="5"/>
    </row>
    <row r="1828" spans="1:1">
      <c r="A1828" s="5"/>
    </row>
    <row r="1829" spans="1:1">
      <c r="A1829" s="5"/>
    </row>
    <row r="1830" spans="1:1">
      <c r="A1830" s="5"/>
    </row>
    <row r="1831" spans="1:1">
      <c r="A1831" s="5"/>
    </row>
    <row r="1832" spans="1:1">
      <c r="A1832" s="5"/>
    </row>
    <row r="1833" spans="1:1">
      <c r="A1833" s="5"/>
    </row>
    <row r="1834" spans="1:1">
      <c r="A1834" s="5"/>
    </row>
    <row r="1835" spans="1:1">
      <c r="A1835" s="5"/>
    </row>
    <row r="1836" spans="1:1">
      <c r="A1836" s="5"/>
    </row>
    <row r="1837" spans="1:1">
      <c r="A1837" s="5"/>
    </row>
    <row r="1838" spans="1:1">
      <c r="A1838" s="5"/>
    </row>
    <row r="1839" spans="1:1">
      <c r="A1839" s="5"/>
    </row>
    <row r="1840" spans="1:1">
      <c r="A1840" s="5"/>
    </row>
    <row r="1841" spans="1:1">
      <c r="A1841" s="5"/>
    </row>
    <row r="1842" spans="1:1">
      <c r="A1842" s="5"/>
    </row>
    <row r="1843" spans="1:1">
      <c r="A1843" s="5"/>
    </row>
    <row r="1844" spans="1:1">
      <c r="A1844" s="5"/>
    </row>
    <row r="1845" spans="1:1">
      <c r="A1845" s="5"/>
    </row>
    <row r="1846" spans="1:1">
      <c r="A1846" s="5"/>
    </row>
    <row r="1847" spans="1:1">
      <c r="A1847" s="5"/>
    </row>
    <row r="1848" spans="1:1">
      <c r="A1848" s="5"/>
    </row>
    <row r="1849" spans="1:1">
      <c r="A1849" s="5"/>
    </row>
    <row r="1850" spans="1:1">
      <c r="A1850" s="5"/>
    </row>
    <row r="1851" spans="1:1">
      <c r="A1851" s="5"/>
    </row>
    <row r="1852" spans="1:1">
      <c r="A1852" s="5"/>
    </row>
    <row r="1853" spans="1:1">
      <c r="A1853" s="5"/>
    </row>
    <row r="1854" spans="1:1">
      <c r="A1854" s="5"/>
    </row>
    <row r="1855" spans="1:1">
      <c r="A1855" s="5"/>
    </row>
    <row r="1856" spans="1:1">
      <c r="A1856" s="5"/>
    </row>
    <row r="1857" spans="1:1">
      <c r="A1857" s="5"/>
    </row>
    <row r="1858" spans="1:1">
      <c r="A1858" s="5"/>
    </row>
    <row r="1859" spans="1:1">
      <c r="A1859" s="5"/>
    </row>
    <row r="1860" spans="1:1">
      <c r="A1860" s="5"/>
    </row>
    <row r="1861" spans="1:1">
      <c r="A1861" s="5"/>
    </row>
    <row r="1862" spans="1:1">
      <c r="A1862" s="5"/>
    </row>
    <row r="1863" spans="1:1">
      <c r="A1863" s="5"/>
    </row>
    <row r="1864" spans="1:1">
      <c r="A1864" s="5"/>
    </row>
    <row r="1865" spans="1:1">
      <c r="A1865" s="5"/>
    </row>
    <row r="1866" spans="1:1">
      <c r="A1866" s="5"/>
    </row>
    <row r="1867" spans="1:1">
      <c r="A1867" s="5"/>
    </row>
    <row r="1868" spans="1:1">
      <c r="A1868" s="5"/>
    </row>
    <row r="1869" spans="1:1">
      <c r="A1869" s="5"/>
    </row>
    <row r="1870" spans="1:1">
      <c r="A1870" s="5"/>
    </row>
    <row r="1871" spans="1:1">
      <c r="A1871" s="5"/>
    </row>
    <row r="1872" spans="1:1">
      <c r="A1872" s="5"/>
    </row>
    <row r="1873" spans="1:1">
      <c r="A1873" s="5"/>
    </row>
    <row r="1874" spans="1:1">
      <c r="A1874" s="5"/>
    </row>
    <row r="1875" spans="1:1">
      <c r="A1875" s="5"/>
    </row>
    <row r="1876" spans="1:1">
      <c r="A1876" s="5"/>
    </row>
    <row r="1877" spans="1:1">
      <c r="A1877" s="5"/>
    </row>
    <row r="1878" spans="1:1">
      <c r="A1878" s="5"/>
    </row>
    <row r="1879" spans="1:1">
      <c r="A1879" s="5"/>
    </row>
    <row r="1880" spans="1:1">
      <c r="A1880" s="5"/>
    </row>
    <row r="1881" spans="1:1">
      <c r="A1881" s="5"/>
    </row>
    <row r="1882" spans="1:1">
      <c r="A1882" s="5"/>
    </row>
    <row r="1883" spans="1:1">
      <c r="A1883" s="5"/>
    </row>
    <row r="1884" spans="1:1">
      <c r="A1884" s="5"/>
    </row>
    <row r="1885" spans="1:1">
      <c r="A1885" s="5"/>
    </row>
    <row r="1886" spans="1:1">
      <c r="A1886" s="5"/>
    </row>
    <row r="1887" spans="1:1">
      <c r="A1887" s="5"/>
    </row>
    <row r="1888" spans="1:1">
      <c r="A1888" s="5"/>
    </row>
    <row r="1889" spans="1:1">
      <c r="A1889" s="5"/>
    </row>
    <row r="1890" spans="1:1">
      <c r="A1890" s="5"/>
    </row>
    <row r="1891" spans="1:1">
      <c r="A1891" s="5"/>
    </row>
    <row r="1892" spans="1:1">
      <c r="A1892" s="5"/>
    </row>
    <row r="1893" spans="1:1">
      <c r="A1893" s="5"/>
    </row>
    <row r="1894" spans="1:1">
      <c r="A1894" s="5"/>
    </row>
    <row r="1895" spans="1:1">
      <c r="A1895" s="5"/>
    </row>
    <row r="1896" spans="1:1">
      <c r="A1896" s="5"/>
    </row>
    <row r="1897" spans="1:1">
      <c r="A1897" s="5"/>
    </row>
    <row r="1898" spans="1:1">
      <c r="A1898" s="5"/>
    </row>
    <row r="1899" spans="1:1">
      <c r="A1899" s="5"/>
    </row>
    <row r="1900" spans="1:1">
      <c r="A1900" s="5"/>
    </row>
    <row r="1901" spans="1:1">
      <c r="A1901" s="5"/>
    </row>
    <row r="1902" spans="1:1">
      <c r="A1902" s="5"/>
    </row>
    <row r="1903" spans="1:1">
      <c r="A1903" s="5"/>
    </row>
    <row r="1904" spans="1:1">
      <c r="A1904" s="5"/>
    </row>
    <row r="1905" spans="1:1">
      <c r="A1905" s="5"/>
    </row>
    <row r="1906" spans="1:1">
      <c r="A1906" s="5"/>
    </row>
    <row r="1907" spans="1:1">
      <c r="A1907" s="5"/>
    </row>
    <row r="1908" spans="1:1">
      <c r="A1908" s="5"/>
    </row>
    <row r="1909" spans="1:1">
      <c r="A1909" s="5"/>
    </row>
    <row r="1910" spans="1:1">
      <c r="A1910" s="5"/>
    </row>
    <row r="1911" spans="1:1">
      <c r="A1911" s="5"/>
    </row>
    <row r="1912" spans="1:1">
      <c r="A1912" s="5"/>
    </row>
    <row r="1913" spans="1:1">
      <c r="A1913" s="5"/>
    </row>
    <row r="1914" spans="1:1">
      <c r="A1914" s="5"/>
    </row>
    <row r="1915" spans="1:1">
      <c r="A1915" s="5"/>
    </row>
    <row r="1916" spans="1:1">
      <c r="A1916" s="5"/>
    </row>
    <row r="1917" spans="1:1">
      <c r="A1917" s="5"/>
    </row>
    <row r="1918" spans="1:1">
      <c r="A1918" s="5"/>
    </row>
    <row r="1919" spans="1:1">
      <c r="A1919" s="5"/>
    </row>
    <row r="1920" spans="1:1">
      <c r="A1920" s="5"/>
    </row>
    <row r="1921" spans="1:1">
      <c r="A1921" s="5"/>
    </row>
    <row r="1922" spans="1:1">
      <c r="A1922" s="5"/>
    </row>
    <row r="1923" spans="1:1">
      <c r="A1923" s="5"/>
    </row>
    <row r="1924" spans="1:1">
      <c r="A1924" s="5"/>
    </row>
    <row r="1925" spans="1:1">
      <c r="A1925" s="5"/>
    </row>
    <row r="1926" spans="1:1">
      <c r="A1926" s="5"/>
    </row>
    <row r="1927" spans="1:1">
      <c r="A1927" s="5"/>
    </row>
    <row r="1928" spans="1:1">
      <c r="A1928" s="5"/>
    </row>
    <row r="1929" spans="1:1">
      <c r="A1929" s="5"/>
    </row>
    <row r="1930" spans="1:1">
      <c r="A1930" s="5"/>
    </row>
    <row r="1931" spans="1:1">
      <c r="A1931" s="5"/>
    </row>
    <row r="1932" spans="1:1">
      <c r="A1932" s="5"/>
    </row>
    <row r="1933" spans="1:1">
      <c r="A1933" s="5"/>
    </row>
    <row r="1934" spans="1:1">
      <c r="A1934" s="5"/>
    </row>
    <row r="1935" spans="1:1">
      <c r="A1935" s="5"/>
    </row>
    <row r="1936" spans="1:1">
      <c r="A1936" s="5"/>
    </row>
    <row r="1937" spans="1:1">
      <c r="A1937" s="5"/>
    </row>
    <row r="1938" spans="1:1">
      <c r="A1938" s="5"/>
    </row>
    <row r="1939" spans="1:1">
      <c r="A1939" s="5"/>
    </row>
    <row r="1940" spans="1:1">
      <c r="A1940" s="5"/>
    </row>
    <row r="1941" spans="1:1">
      <c r="A1941" s="5"/>
    </row>
    <row r="1942" spans="1:1">
      <c r="A1942" s="5"/>
    </row>
    <row r="1943" spans="1:1">
      <c r="A1943" s="5"/>
    </row>
    <row r="1944" spans="1:1">
      <c r="A1944" s="5"/>
    </row>
    <row r="1945" spans="1:1">
      <c r="A1945" s="5"/>
    </row>
    <row r="1946" spans="1:1">
      <c r="A1946" s="5"/>
    </row>
    <row r="1947" spans="1:1">
      <c r="A1947" s="5"/>
    </row>
    <row r="1948" spans="1:1">
      <c r="A1948" s="5"/>
    </row>
    <row r="1949" spans="1:1">
      <c r="A1949" s="5"/>
    </row>
    <row r="1950" spans="1:1">
      <c r="A1950" s="5"/>
    </row>
    <row r="1951" spans="1:1">
      <c r="A1951" s="5"/>
    </row>
    <row r="1952" spans="1:1">
      <c r="A1952" s="5"/>
    </row>
    <row r="1953" spans="1:1">
      <c r="A1953" s="5"/>
    </row>
    <row r="1954" spans="1:1">
      <c r="A1954" s="5"/>
    </row>
    <row r="1955" spans="1:1">
      <c r="A1955" s="5"/>
    </row>
    <row r="1956" spans="1:1">
      <c r="A1956" s="5"/>
    </row>
    <row r="1957" spans="1:1">
      <c r="A1957" s="5"/>
    </row>
    <row r="1958" spans="1:1">
      <c r="A1958" s="5"/>
    </row>
    <row r="1959" spans="1:1">
      <c r="A1959" s="5"/>
    </row>
    <row r="1960" spans="1:1">
      <c r="A1960" s="5"/>
    </row>
    <row r="1961" spans="1:1">
      <c r="A1961" s="5"/>
    </row>
    <row r="1962" spans="1:1">
      <c r="A1962" s="5"/>
    </row>
    <row r="1963" spans="1:1">
      <c r="A1963" s="5"/>
    </row>
    <row r="1964" spans="1:1">
      <c r="A1964" s="5"/>
    </row>
    <row r="1965" spans="1:1">
      <c r="A1965" s="5"/>
    </row>
    <row r="1966" spans="1:1">
      <c r="A1966" s="5"/>
    </row>
    <row r="1967" spans="1:1">
      <c r="A1967" s="5"/>
    </row>
    <row r="1968" spans="1:1">
      <c r="A1968" s="5"/>
    </row>
    <row r="1969" spans="1:1">
      <c r="A1969" s="5"/>
    </row>
    <row r="1970" spans="1:1">
      <c r="A1970" s="5"/>
    </row>
    <row r="1971" spans="1:1">
      <c r="A1971" s="5"/>
    </row>
    <row r="1972" spans="1:1">
      <c r="A1972" s="5"/>
    </row>
    <row r="1973" spans="1:1">
      <c r="A1973" s="5"/>
    </row>
    <row r="1974" spans="1:1">
      <c r="A1974" s="5"/>
    </row>
    <row r="1975" spans="1:1">
      <c r="A1975" s="5"/>
    </row>
    <row r="1976" spans="1:1">
      <c r="A1976" s="5"/>
    </row>
    <row r="1977" spans="1:1">
      <c r="A1977" s="5"/>
    </row>
    <row r="1978" spans="1:1">
      <c r="A1978" s="5"/>
    </row>
    <row r="1979" spans="1:1">
      <c r="A1979" s="5"/>
    </row>
    <row r="1980" spans="1:1">
      <c r="A1980" s="5"/>
    </row>
    <row r="1981" spans="1:1">
      <c r="A1981" s="5"/>
    </row>
    <row r="1982" spans="1:1">
      <c r="A1982" s="5"/>
    </row>
    <row r="1983" spans="1:1">
      <c r="A1983" s="5"/>
    </row>
    <row r="1984" spans="1:1">
      <c r="A1984" s="5"/>
    </row>
    <row r="1985" spans="1:1">
      <c r="A1985" s="5"/>
    </row>
    <row r="1986" spans="1:1">
      <c r="A1986" s="5"/>
    </row>
    <row r="1987" spans="1:1">
      <c r="A1987" s="5"/>
    </row>
    <row r="1988" spans="1:1">
      <c r="A1988" s="5"/>
    </row>
    <row r="1989" spans="1:1">
      <c r="A1989" s="5"/>
    </row>
    <row r="1990" spans="1:1">
      <c r="A1990" s="5"/>
    </row>
    <row r="1991" spans="1:1">
      <c r="A1991" s="5"/>
    </row>
    <row r="1992" spans="1:1">
      <c r="A1992" s="5"/>
    </row>
    <row r="1993" spans="1:1">
      <c r="A1993" s="5"/>
    </row>
    <row r="1994" spans="1:1">
      <c r="A1994" s="5"/>
    </row>
    <row r="1995" spans="1:1">
      <c r="A1995" s="5"/>
    </row>
    <row r="1996" spans="1:1">
      <c r="A1996" s="5"/>
    </row>
    <row r="1997" spans="1:1">
      <c r="A1997" s="5"/>
    </row>
    <row r="1998" spans="1:1">
      <c r="A1998" s="5"/>
    </row>
    <row r="1999" spans="1:1">
      <c r="A1999" s="5"/>
    </row>
    <row r="2000" spans="1:1">
      <c r="A2000" s="5"/>
    </row>
    <row r="2001" spans="1:1">
      <c r="A2001" s="5"/>
    </row>
    <row r="2002" spans="1:1">
      <c r="A2002" s="5"/>
    </row>
    <row r="2003" spans="1:1">
      <c r="A2003" s="5"/>
    </row>
    <row r="2004" spans="1:1">
      <c r="A2004" s="5"/>
    </row>
    <row r="2005" spans="1:1">
      <c r="A2005" s="5"/>
    </row>
    <row r="2006" spans="1:1">
      <c r="A2006" s="5"/>
    </row>
    <row r="2007" spans="1:1">
      <c r="A2007" s="5"/>
    </row>
    <row r="2008" spans="1:1">
      <c r="A2008" s="5"/>
    </row>
    <row r="2009" spans="1:1">
      <c r="A2009" s="5"/>
    </row>
    <row r="2010" spans="1:1">
      <c r="A2010" s="5"/>
    </row>
    <row r="2011" spans="1:1">
      <c r="A2011" s="5"/>
    </row>
    <row r="2012" spans="1:1">
      <c r="A2012" s="5"/>
    </row>
    <row r="2013" spans="1:1">
      <c r="A2013" s="5"/>
    </row>
    <row r="2014" spans="1:1">
      <c r="A2014" s="5"/>
    </row>
    <row r="2015" spans="1:1">
      <c r="A2015" s="5"/>
    </row>
    <row r="2016" spans="1:1">
      <c r="A2016" s="5"/>
    </row>
    <row r="2017" spans="1:1">
      <c r="A2017" s="5"/>
    </row>
    <row r="2018" spans="1:1">
      <c r="A2018" s="5"/>
    </row>
    <row r="2019" spans="1:1">
      <c r="A2019" s="5"/>
    </row>
    <row r="2020" spans="1:1">
      <c r="A2020" s="5"/>
    </row>
    <row r="2021" spans="1:1">
      <c r="A2021" s="5"/>
    </row>
    <row r="2022" spans="1:1">
      <c r="A2022" s="5"/>
    </row>
    <row r="2023" spans="1:1">
      <c r="A2023" s="5"/>
    </row>
    <row r="2024" spans="1:1">
      <c r="A2024" s="5"/>
    </row>
    <row r="2025" spans="1:1">
      <c r="A2025" s="5"/>
    </row>
    <row r="2026" spans="1:1">
      <c r="A2026" s="5"/>
    </row>
    <row r="2027" spans="1:1">
      <c r="A2027" s="5"/>
    </row>
    <row r="2028" spans="1:1">
      <c r="A2028" s="5"/>
    </row>
    <row r="2029" spans="1:1">
      <c r="A2029" s="5"/>
    </row>
    <row r="2030" spans="1:1">
      <c r="A2030" s="5"/>
    </row>
    <row r="2031" spans="1:1">
      <c r="A2031" s="5"/>
    </row>
    <row r="2032" spans="1:1">
      <c r="A2032" s="5"/>
    </row>
    <row r="2033" spans="1:1">
      <c r="A2033" s="5"/>
    </row>
    <row r="2034" spans="1:1">
      <c r="A2034" s="5"/>
    </row>
    <row r="2035" spans="1:1">
      <c r="A2035" s="5"/>
    </row>
    <row r="2036" spans="1:1">
      <c r="A2036" s="5"/>
    </row>
    <row r="2037" spans="1:1">
      <c r="A2037" s="5"/>
    </row>
    <row r="2038" spans="1:1">
      <c r="A2038" s="5"/>
    </row>
    <row r="2039" spans="1:1">
      <c r="A2039" s="5"/>
    </row>
    <row r="2040" spans="1:1">
      <c r="A2040" s="5"/>
    </row>
    <row r="2041" spans="1:1">
      <c r="A2041" s="5"/>
    </row>
    <row r="2042" spans="1:1">
      <c r="A2042" s="5"/>
    </row>
    <row r="2043" spans="1:1">
      <c r="A2043" s="5"/>
    </row>
    <row r="2044" spans="1:1">
      <c r="A2044" s="5"/>
    </row>
    <row r="2045" spans="1:1">
      <c r="A2045" s="5"/>
    </row>
    <row r="2046" spans="1:1">
      <c r="A2046" s="5"/>
    </row>
    <row r="2047" spans="1:1">
      <c r="A2047" s="5"/>
    </row>
    <row r="2048" spans="1:1">
      <c r="A2048" s="5"/>
    </row>
    <row r="2049" spans="1:1">
      <c r="A2049" s="5"/>
    </row>
    <row r="2050" spans="1:1">
      <c r="A2050" s="5"/>
    </row>
    <row r="2051" spans="1:1">
      <c r="A2051" s="5"/>
    </row>
    <row r="2052" spans="1:1">
      <c r="A2052" s="5"/>
    </row>
    <row r="2053" spans="1:1">
      <c r="A2053" s="5"/>
    </row>
    <row r="2054" spans="1:1">
      <c r="A2054" s="5"/>
    </row>
    <row r="2055" spans="1:1">
      <c r="A2055" s="5"/>
    </row>
    <row r="2056" spans="1:1">
      <c r="A2056" s="5"/>
    </row>
    <row r="2057" spans="1:1">
      <c r="A2057" s="5"/>
    </row>
    <row r="2058" spans="1:1">
      <c r="A2058" s="5"/>
    </row>
    <row r="2059" spans="1:1">
      <c r="A2059" s="5"/>
    </row>
    <row r="2060" spans="1:1">
      <c r="A2060" s="5"/>
    </row>
    <row r="2061" spans="1:1">
      <c r="A2061" s="5"/>
    </row>
    <row r="2062" spans="1:1">
      <c r="A2062" s="5"/>
    </row>
    <row r="2063" spans="1:1">
      <c r="A2063" s="5"/>
    </row>
    <row r="2064" spans="1:1">
      <c r="A2064" s="5"/>
    </row>
    <row r="2065" spans="1:1">
      <c r="A2065" s="5"/>
    </row>
    <row r="2066" spans="1:1">
      <c r="A2066" s="5"/>
    </row>
    <row r="2067" spans="1:1">
      <c r="A2067" s="5"/>
    </row>
    <row r="2068" spans="1:1">
      <c r="A2068" s="5"/>
    </row>
    <row r="2069" spans="1:1">
      <c r="A2069" s="5"/>
    </row>
    <row r="2070" spans="1:1">
      <c r="A2070" s="5"/>
    </row>
    <row r="2071" spans="1:1">
      <c r="A2071" s="5"/>
    </row>
    <row r="2072" spans="1:1">
      <c r="A2072" s="5"/>
    </row>
    <row r="2073" spans="1:1">
      <c r="A2073" s="5"/>
    </row>
    <row r="2074" spans="1:1">
      <c r="A2074" s="5"/>
    </row>
    <row r="2075" spans="1:1">
      <c r="A2075" s="5"/>
    </row>
    <row r="2076" spans="1:1">
      <c r="A2076" s="5"/>
    </row>
    <row r="2077" spans="1:1">
      <c r="A2077" s="5"/>
    </row>
    <row r="2078" spans="1:1">
      <c r="A2078" s="5"/>
    </row>
    <row r="2079" spans="1:1">
      <c r="A2079" s="5"/>
    </row>
    <row r="2080" spans="1:1">
      <c r="A2080" s="5"/>
    </row>
    <row r="2081" spans="1:1">
      <c r="A2081" s="5"/>
    </row>
    <row r="2082" spans="1:1">
      <c r="A2082" s="5"/>
    </row>
    <row r="2083" spans="1:1">
      <c r="A2083" s="5"/>
    </row>
    <row r="2084" spans="1:1">
      <c r="A2084" s="5"/>
    </row>
    <row r="2085" spans="1:1">
      <c r="A2085" s="5"/>
    </row>
    <row r="2086" spans="1:1">
      <c r="A2086" s="5"/>
    </row>
    <row r="2087" spans="1:1">
      <c r="A2087" s="5"/>
    </row>
    <row r="2088" spans="1:1">
      <c r="A2088" s="5"/>
    </row>
    <row r="2089" spans="1:1">
      <c r="A2089" s="5"/>
    </row>
    <row r="2090" spans="1:1">
      <c r="A2090" s="5"/>
    </row>
    <row r="2091" spans="1:1">
      <c r="A2091" s="5"/>
    </row>
    <row r="2092" spans="1:1">
      <c r="A2092" s="5"/>
    </row>
    <row r="2093" spans="1:1">
      <c r="A2093" s="5"/>
    </row>
    <row r="2094" spans="1:1">
      <c r="A2094" s="5"/>
    </row>
    <row r="2095" spans="1:1">
      <c r="A2095" s="5"/>
    </row>
    <row r="2096" spans="1:1">
      <c r="A2096" s="5"/>
    </row>
    <row r="2097" spans="1:1">
      <c r="A2097" s="5"/>
    </row>
    <row r="2098" spans="1:1">
      <c r="A2098" s="5"/>
    </row>
    <row r="2099" spans="1:1">
      <c r="A2099" s="5"/>
    </row>
    <row r="2100" spans="1:1">
      <c r="A2100" s="5"/>
    </row>
    <row r="2101" spans="1:1">
      <c r="A2101" s="5"/>
    </row>
    <row r="2102" spans="1:1">
      <c r="A2102" s="5"/>
    </row>
    <row r="2103" spans="1:1">
      <c r="A2103" s="5"/>
    </row>
    <row r="2104" spans="1:1">
      <c r="A2104" s="5"/>
    </row>
    <row r="2105" spans="1:1">
      <c r="A2105" s="5"/>
    </row>
    <row r="2106" spans="1:1">
      <c r="A2106" s="5"/>
    </row>
    <row r="2107" spans="1:1">
      <c r="A2107" s="5"/>
    </row>
    <row r="2108" spans="1:1">
      <c r="A2108" s="5"/>
    </row>
    <row r="2109" spans="1:1">
      <c r="A2109" s="5"/>
    </row>
    <row r="2110" spans="1:1">
      <c r="A2110" s="5"/>
    </row>
    <row r="2111" spans="1:1">
      <c r="A2111" s="5"/>
    </row>
    <row r="2112" spans="1:1">
      <c r="A2112" s="5"/>
    </row>
    <row r="2113" spans="1:1">
      <c r="A2113" s="5"/>
    </row>
    <row r="2114" spans="1:1">
      <c r="A2114" s="5"/>
    </row>
    <row r="2115" spans="1:1">
      <c r="A2115" s="5"/>
    </row>
    <row r="2116" spans="1:1">
      <c r="A2116" s="5"/>
    </row>
    <row r="2117" spans="1:1">
      <c r="A2117" s="5"/>
    </row>
    <row r="2118" spans="1:1">
      <c r="A2118" s="5"/>
    </row>
    <row r="2119" spans="1:1">
      <c r="A2119" s="5"/>
    </row>
    <row r="2120" spans="1:1">
      <c r="A2120" s="5"/>
    </row>
    <row r="2121" spans="1:1">
      <c r="A2121" s="5"/>
    </row>
    <row r="2122" spans="1:1">
      <c r="A2122" s="5"/>
    </row>
    <row r="2123" spans="1:1">
      <c r="A2123" s="5"/>
    </row>
    <row r="2124" spans="1:1">
      <c r="A2124" s="5"/>
    </row>
    <row r="2125" spans="1:1">
      <c r="A2125" s="5"/>
    </row>
    <row r="2126" spans="1:1">
      <c r="A2126" s="5"/>
    </row>
    <row r="2127" spans="1:1">
      <c r="A2127" s="5"/>
    </row>
    <row r="2128" spans="1:1">
      <c r="A2128" s="5"/>
    </row>
    <row r="2129" spans="1:1">
      <c r="A2129" s="5"/>
    </row>
    <row r="2130" spans="1:1">
      <c r="A2130" s="5"/>
    </row>
    <row r="2131" spans="1:1">
      <c r="A2131" s="5"/>
    </row>
    <row r="2132" spans="1:1">
      <c r="A2132" s="5"/>
    </row>
    <row r="2133" spans="1:1">
      <c r="A2133" s="5"/>
    </row>
    <row r="2134" spans="1:1">
      <c r="A2134" s="5"/>
    </row>
    <row r="2135" spans="1:1">
      <c r="A2135" s="5"/>
    </row>
    <row r="2136" spans="1:1">
      <c r="A2136" s="5"/>
    </row>
    <row r="2137" spans="1:1">
      <c r="A2137" s="5"/>
    </row>
    <row r="2138" spans="1:1">
      <c r="A2138" s="5"/>
    </row>
    <row r="2139" spans="1:1">
      <c r="A2139" s="5"/>
    </row>
    <row r="2140" spans="1:1">
      <c r="A2140" s="5"/>
    </row>
    <row r="2141" spans="1:1">
      <c r="A2141" s="5"/>
    </row>
    <row r="2142" spans="1:1">
      <c r="A2142" s="5"/>
    </row>
    <row r="2143" spans="1:1">
      <c r="A2143" s="5"/>
    </row>
    <row r="2144" spans="1:1">
      <c r="A2144" s="5"/>
    </row>
    <row r="2145" spans="1:1">
      <c r="A2145" s="5"/>
    </row>
    <row r="2146" spans="1:1">
      <c r="A2146" s="5"/>
    </row>
    <row r="2147" spans="1:1">
      <c r="A2147" s="5"/>
    </row>
    <row r="2148" spans="1:1">
      <c r="A2148" s="5"/>
    </row>
    <row r="2149" spans="1:1">
      <c r="A2149" s="5"/>
    </row>
    <row r="2150" spans="1:1">
      <c r="A2150" s="5"/>
    </row>
    <row r="2151" spans="1:1">
      <c r="A2151" s="5"/>
    </row>
    <row r="2152" spans="1:1">
      <c r="A2152" s="5"/>
    </row>
    <row r="2153" spans="1:1">
      <c r="A2153" s="5"/>
    </row>
    <row r="2154" spans="1:1">
      <c r="A2154" s="5"/>
    </row>
    <row r="2155" spans="1:1">
      <c r="A2155" s="5"/>
    </row>
    <row r="2156" spans="1:1">
      <c r="A2156" s="5"/>
    </row>
    <row r="2157" spans="1:1">
      <c r="A2157" s="5"/>
    </row>
    <row r="2158" spans="1:1">
      <c r="A2158" s="5"/>
    </row>
    <row r="2159" spans="1:1">
      <c r="A2159" s="5"/>
    </row>
    <row r="2160" spans="1:1">
      <c r="A2160" s="5"/>
    </row>
    <row r="2161" spans="1:1">
      <c r="A2161" s="5"/>
    </row>
    <row r="2162" spans="1:1">
      <c r="A2162" s="5"/>
    </row>
    <row r="2163" spans="1:1">
      <c r="A2163" s="5"/>
    </row>
    <row r="2164" spans="1:1">
      <c r="A2164" s="5"/>
    </row>
    <row r="2165" spans="1:1">
      <c r="A2165" s="5"/>
    </row>
    <row r="2166" spans="1:1">
      <c r="A2166" s="5"/>
    </row>
    <row r="2167" spans="1:1">
      <c r="A2167" s="5"/>
    </row>
    <row r="2168" spans="1:1">
      <c r="A2168" s="5"/>
    </row>
    <row r="2169" spans="1:1">
      <c r="A2169" s="5"/>
    </row>
    <row r="2170" spans="1:1">
      <c r="A2170" s="5"/>
    </row>
    <row r="2171" spans="1:1">
      <c r="A2171" s="5"/>
    </row>
    <row r="2172" spans="1:1">
      <c r="A2172" s="5"/>
    </row>
    <row r="2173" spans="1:1">
      <c r="A2173" s="5"/>
    </row>
    <row r="2174" spans="1:1">
      <c r="A2174" s="5"/>
    </row>
    <row r="2175" spans="1:1">
      <c r="A2175" s="5"/>
    </row>
    <row r="2176" spans="1:1">
      <c r="A2176" s="5"/>
    </row>
    <row r="2177" spans="1:1">
      <c r="A2177" s="5"/>
    </row>
    <row r="2178" spans="1:1">
      <c r="A2178" s="5"/>
    </row>
    <row r="2179" spans="1:1">
      <c r="A2179" s="5"/>
    </row>
    <row r="2180" spans="1:1">
      <c r="A2180" s="5"/>
    </row>
    <row r="2181" spans="1:1">
      <c r="A2181" s="5"/>
    </row>
    <row r="2182" spans="1:1">
      <c r="A2182" s="5"/>
    </row>
    <row r="2183" spans="1:1">
      <c r="A2183" s="5"/>
    </row>
    <row r="2184" spans="1:1">
      <c r="A2184" s="5"/>
    </row>
    <row r="2185" spans="1:1">
      <c r="A2185" s="5"/>
    </row>
    <row r="2186" spans="1:1">
      <c r="A2186" s="5"/>
    </row>
    <row r="2187" spans="1:1">
      <c r="A2187" s="5"/>
    </row>
    <row r="2188" spans="1:1">
      <c r="A2188" s="5"/>
    </row>
    <row r="2189" spans="1:1">
      <c r="A2189" s="5"/>
    </row>
    <row r="2190" spans="1:1">
      <c r="A2190" s="5"/>
    </row>
    <row r="2191" spans="1:1">
      <c r="A2191" s="5"/>
    </row>
    <row r="2192" spans="1:1">
      <c r="A2192" s="5"/>
    </row>
    <row r="2193" spans="1:1">
      <c r="A2193" s="5"/>
    </row>
    <row r="2194" spans="1:1">
      <c r="A2194" s="5"/>
    </row>
    <row r="2195" spans="1:1">
      <c r="A2195" s="5"/>
    </row>
    <row r="2196" spans="1:1">
      <c r="A2196" s="5"/>
    </row>
    <row r="2197" spans="1:1">
      <c r="A2197" s="5"/>
    </row>
    <row r="2198" spans="1:1">
      <c r="A2198" s="5"/>
    </row>
    <row r="2199" spans="1:1">
      <c r="A2199" s="5"/>
    </row>
    <row r="2200" spans="1:1">
      <c r="A2200" s="5"/>
    </row>
    <row r="2201" spans="1:1">
      <c r="A2201" s="5"/>
    </row>
    <row r="2202" spans="1:1">
      <c r="A2202" s="5"/>
    </row>
    <row r="2203" spans="1:1">
      <c r="A2203" s="5"/>
    </row>
    <row r="2204" spans="1:1">
      <c r="A2204" s="5"/>
    </row>
    <row r="2205" spans="1:1">
      <c r="A2205" s="5"/>
    </row>
    <row r="2206" spans="1:1">
      <c r="A2206" s="5"/>
    </row>
    <row r="2207" spans="1:1">
      <c r="A2207" s="5"/>
    </row>
    <row r="2208" spans="1:1">
      <c r="A2208" s="5"/>
    </row>
    <row r="2209" spans="1:1">
      <c r="A2209" s="5"/>
    </row>
    <row r="2210" spans="1:1">
      <c r="A2210" s="5"/>
    </row>
    <row r="2211" spans="1:1">
      <c r="A2211" s="5"/>
    </row>
    <row r="2212" spans="1:1">
      <c r="A2212" s="5"/>
    </row>
    <row r="2213" spans="1:1">
      <c r="A2213" s="5"/>
    </row>
    <row r="2214" spans="1:1">
      <c r="A2214" s="5"/>
    </row>
    <row r="2215" spans="1:1">
      <c r="A2215" s="5"/>
    </row>
    <row r="2216" spans="1:1">
      <c r="A2216" s="5"/>
    </row>
    <row r="2217" spans="1:1">
      <c r="A2217" s="5"/>
    </row>
    <row r="2218" spans="1:1">
      <c r="A2218" s="5"/>
    </row>
    <row r="2219" spans="1:1">
      <c r="A2219" s="5"/>
    </row>
    <row r="2220" spans="1:1">
      <c r="A2220" s="5"/>
    </row>
    <row r="2221" spans="1:1">
      <c r="A2221" s="5"/>
    </row>
    <row r="2222" spans="1:1">
      <c r="A2222" s="5"/>
    </row>
    <row r="2223" spans="1:1">
      <c r="A2223" s="5"/>
    </row>
    <row r="2224" spans="1:1">
      <c r="A2224" s="5"/>
    </row>
    <row r="2225" spans="1:1">
      <c r="A2225" s="5"/>
    </row>
    <row r="2226" spans="1:1">
      <c r="A2226" s="5"/>
    </row>
    <row r="2227" spans="1:1">
      <c r="A2227" s="5"/>
    </row>
    <row r="2228" spans="1:1">
      <c r="A2228" s="5"/>
    </row>
    <row r="2229" spans="1:1">
      <c r="A2229" s="5"/>
    </row>
    <row r="2230" spans="1:1">
      <c r="A2230" s="5"/>
    </row>
    <row r="2231" spans="1:1">
      <c r="A2231" s="5"/>
    </row>
    <row r="2232" spans="1:1">
      <c r="A2232" s="5"/>
    </row>
    <row r="2233" spans="1:1">
      <c r="A2233" s="5"/>
    </row>
    <row r="2234" spans="1:1">
      <c r="A2234" s="5"/>
    </row>
    <row r="2235" spans="1:1">
      <c r="A2235" s="5"/>
    </row>
    <row r="2236" spans="1:1">
      <c r="A2236" s="5"/>
    </row>
    <row r="2237" spans="1:1">
      <c r="A2237" s="5"/>
    </row>
    <row r="2238" spans="1:1">
      <c r="A2238" s="5"/>
    </row>
    <row r="2239" spans="1:1">
      <c r="A2239" s="5"/>
    </row>
    <row r="2240" spans="1:1">
      <c r="A2240" s="5"/>
    </row>
    <row r="2241" spans="1:1">
      <c r="A2241" s="5"/>
    </row>
    <row r="2242" spans="1:1">
      <c r="A2242" s="5"/>
    </row>
    <row r="2243" spans="1:1">
      <c r="A2243" s="5"/>
    </row>
    <row r="2244" spans="1:1">
      <c r="A2244" s="5"/>
    </row>
    <row r="2245" spans="1:1">
      <c r="A2245" s="5"/>
    </row>
    <row r="2246" spans="1:1">
      <c r="A2246" s="5"/>
    </row>
    <row r="2247" spans="1:1">
      <c r="A2247" s="5"/>
    </row>
    <row r="2248" spans="1:1">
      <c r="A2248" s="5"/>
    </row>
    <row r="2249" spans="1:1">
      <c r="A2249" s="5"/>
    </row>
    <row r="2250" spans="1:1">
      <c r="A2250" s="5"/>
    </row>
    <row r="2251" spans="1:1">
      <c r="A2251" s="5"/>
    </row>
    <row r="2252" spans="1:1">
      <c r="A2252" s="5"/>
    </row>
    <row r="2253" spans="1:1">
      <c r="A2253" s="5"/>
    </row>
    <row r="2254" spans="1:1">
      <c r="A2254" s="5"/>
    </row>
  </sheetData>
  <mergeCells count="22">
    <mergeCell ref="C15:E15"/>
    <mergeCell ref="C16:E16"/>
    <mergeCell ref="B20:E20"/>
    <mergeCell ref="C21:E21"/>
    <mergeCell ref="C10:E10"/>
    <mergeCell ref="C11:E11"/>
    <mergeCell ref="C12:E12"/>
    <mergeCell ref="C13:E13"/>
    <mergeCell ref="C14:E14"/>
    <mergeCell ref="B91:F92"/>
    <mergeCell ref="B96:F96"/>
    <mergeCell ref="B100:F101"/>
    <mergeCell ref="C25:E25"/>
    <mergeCell ref="B26:E26"/>
    <mergeCell ref="B27:E27"/>
    <mergeCell ref="C28:E28"/>
    <mergeCell ref="B29:E29"/>
    <mergeCell ref="C30:E30"/>
    <mergeCell ref="C22:E22"/>
    <mergeCell ref="B23:E23"/>
    <mergeCell ref="K39:U39"/>
    <mergeCell ref="B24:E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3368-D6AF-4786-9177-4D5CD4735908}">
  <sheetPr>
    <tabColor theme="1"/>
  </sheetPr>
  <dimension ref="A1"/>
  <sheetViews>
    <sheetView workbookViewId="0">
      <selection activeCell="V48" sqref="V48"/>
    </sheetView>
  </sheetViews>
  <sheetFormatPr defaultRowHeight="14.4"/>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E4A2-5E22-42E8-8297-5B6B21358AD0}">
  <dimension ref="A1:H91"/>
  <sheetViews>
    <sheetView zoomScale="93" zoomScaleNormal="93" workbookViewId="0">
      <selection activeCell="O14" sqref="O14"/>
    </sheetView>
  </sheetViews>
  <sheetFormatPr defaultColWidth="8.88671875" defaultRowHeight="15.6"/>
  <cols>
    <col min="1" max="1" width="2.5546875" style="6" customWidth="1"/>
    <col min="2" max="2" width="17.88671875" style="6" customWidth="1"/>
    <col min="3" max="3" width="16.5546875" style="6" customWidth="1"/>
    <col min="4" max="4" width="29.44140625" style="6" customWidth="1"/>
    <col min="5" max="5" width="29.109375" style="6" customWidth="1"/>
    <col min="6" max="6" width="22.5546875" style="6" customWidth="1"/>
    <col min="7" max="7" width="28.88671875" style="6" customWidth="1"/>
    <col min="8" max="8" width="20.5546875" style="6" customWidth="1"/>
    <col min="9" max="16384" width="8.88671875" style="3"/>
  </cols>
  <sheetData>
    <row r="1" spans="1:7">
      <c r="A1" s="895" t="s">
        <v>1185</v>
      </c>
      <c r="C1" s="895"/>
    </row>
    <row r="2" spans="1:7" ht="18.600000000000001" customHeight="1">
      <c r="A2" s="895"/>
    </row>
    <row r="3" spans="1:7">
      <c r="A3" s="895"/>
      <c r="B3" s="6" t="s">
        <v>1201</v>
      </c>
      <c r="C3" s="6" t="s">
        <v>1184</v>
      </c>
    </row>
    <row r="5" spans="1:7" ht="17.399999999999999" customHeight="1">
      <c r="C5" s="6" t="s">
        <v>323</v>
      </c>
    </row>
    <row r="7" spans="1:7">
      <c r="C7" s="901" t="s">
        <v>191</v>
      </c>
    </row>
    <row r="8" spans="1:7" ht="43.65" customHeight="1">
      <c r="C8" s="1910" t="s">
        <v>521</v>
      </c>
      <c r="D8" s="1911"/>
      <c r="E8" s="1912" t="s">
        <v>1183</v>
      </c>
      <c r="F8" s="1912"/>
      <c r="G8" s="1912"/>
    </row>
    <row r="9" spans="1:7" ht="18.600000000000001" customHeight="1">
      <c r="C9" s="907" t="s">
        <v>258</v>
      </c>
      <c r="D9" s="906"/>
      <c r="E9" s="1913" t="s">
        <v>257</v>
      </c>
      <c r="F9" s="1914"/>
      <c r="G9" s="1915"/>
    </row>
    <row r="10" spans="1:7">
      <c r="C10" s="1910" t="s">
        <v>264</v>
      </c>
      <c r="D10" s="1911"/>
      <c r="E10" s="907">
        <v>65</v>
      </c>
      <c r="F10" s="913"/>
      <c r="G10" s="912"/>
    </row>
    <row r="11" spans="1:7">
      <c r="C11" s="1910" t="s">
        <v>263</v>
      </c>
      <c r="D11" s="1911"/>
      <c r="E11" s="907">
        <v>55</v>
      </c>
      <c r="F11" s="913"/>
      <c r="G11" s="912"/>
    </row>
    <row r="12" spans="1:7">
      <c r="C12" s="1910" t="s">
        <v>262</v>
      </c>
      <c r="D12" s="1911"/>
      <c r="E12" s="914" t="s">
        <v>1179</v>
      </c>
      <c r="F12" s="913"/>
      <c r="G12" s="912"/>
    </row>
    <row r="13" spans="1:7">
      <c r="C13" s="1919" t="s">
        <v>260</v>
      </c>
      <c r="D13" s="1920"/>
      <c r="E13" s="1923" t="s">
        <v>1200</v>
      </c>
      <c r="F13" s="1924"/>
      <c r="G13" s="1925"/>
    </row>
    <row r="14" spans="1:7" ht="23.1" customHeight="1">
      <c r="C14" s="1921"/>
      <c r="D14" s="1922"/>
      <c r="E14" s="1926" t="s">
        <v>1199</v>
      </c>
      <c r="F14" s="1927"/>
      <c r="G14" s="1928"/>
    </row>
    <row r="15" spans="1:7">
      <c r="C15" s="1910" t="s">
        <v>1198</v>
      </c>
      <c r="D15" s="1911"/>
      <c r="E15" s="914" t="s">
        <v>498</v>
      </c>
      <c r="F15" s="913"/>
      <c r="G15" s="912"/>
    </row>
    <row r="17" spans="3:6">
      <c r="C17" s="901" t="s">
        <v>1197</v>
      </c>
      <c r="E17" s="911"/>
      <c r="F17" s="910"/>
    </row>
    <row r="18" spans="3:6">
      <c r="C18" s="1929"/>
      <c r="D18" s="1929"/>
      <c r="E18" s="1917"/>
      <c r="F18" s="1917"/>
    </row>
    <row r="19" spans="3:6">
      <c r="C19" s="1918" t="s">
        <v>476</v>
      </c>
      <c r="D19" s="1918"/>
      <c r="E19" s="1918"/>
      <c r="F19" s="1918"/>
    </row>
    <row r="20" spans="3:6">
      <c r="C20" s="1916" t="s">
        <v>1196</v>
      </c>
      <c r="D20" s="1916"/>
      <c r="E20" s="1930" t="s">
        <v>1174</v>
      </c>
      <c r="F20" s="1931"/>
    </row>
    <row r="21" spans="3:6">
      <c r="C21" s="1916" t="s">
        <v>1195</v>
      </c>
      <c r="D21" s="1916"/>
      <c r="E21" s="1932" t="s">
        <v>1172</v>
      </c>
      <c r="F21" s="1931"/>
    </row>
    <row r="22" spans="3:6">
      <c r="C22" s="1918" t="s">
        <v>471</v>
      </c>
      <c r="D22" s="1918"/>
      <c r="E22" s="1918"/>
      <c r="F22" s="1918"/>
    </row>
    <row r="23" spans="3:6">
      <c r="C23" s="1916" t="s">
        <v>470</v>
      </c>
      <c r="D23" s="1916"/>
      <c r="E23" s="1917" t="s">
        <v>1171</v>
      </c>
      <c r="F23" s="1917"/>
    </row>
    <row r="24" spans="3:6">
      <c r="C24" s="1916"/>
      <c r="D24" s="1916"/>
      <c r="E24" s="1917"/>
      <c r="F24" s="1917"/>
    </row>
    <row r="25" spans="3:6">
      <c r="C25" s="1918" t="s">
        <v>466</v>
      </c>
      <c r="D25" s="1918"/>
      <c r="E25" s="1918"/>
      <c r="F25" s="1918"/>
    </row>
    <row r="26" spans="3:6">
      <c r="C26" s="1916" t="s">
        <v>465</v>
      </c>
      <c r="D26" s="1916"/>
      <c r="E26" s="1917">
        <v>0.05</v>
      </c>
      <c r="F26" s="1917"/>
    </row>
    <row r="27" spans="3:6">
      <c r="C27" s="1916"/>
      <c r="D27" s="1916"/>
      <c r="E27" s="1917"/>
      <c r="F27" s="1917"/>
    </row>
    <row r="28" spans="3:6">
      <c r="C28" s="1916" t="s">
        <v>463</v>
      </c>
      <c r="D28" s="1916"/>
      <c r="E28" s="1939">
        <v>50000</v>
      </c>
      <c r="F28" s="1939"/>
    </row>
    <row r="31" spans="3:6">
      <c r="C31" s="901" t="s">
        <v>1194</v>
      </c>
    </row>
    <row r="32" spans="3:6">
      <c r="C32" s="907"/>
      <c r="D32" s="906"/>
      <c r="E32" s="909" t="s">
        <v>96</v>
      </c>
      <c r="F32" s="909" t="s">
        <v>66</v>
      </c>
    </row>
    <row r="33" spans="3:6">
      <c r="C33" s="1910" t="s">
        <v>1193</v>
      </c>
      <c r="D33" s="1911"/>
      <c r="E33" s="905">
        <v>50</v>
      </c>
      <c r="F33" s="905">
        <v>58</v>
      </c>
    </row>
    <row r="34" spans="3:6">
      <c r="C34" s="907" t="s">
        <v>376</v>
      </c>
      <c r="D34" s="906"/>
      <c r="E34" s="908">
        <v>56000</v>
      </c>
      <c r="F34" s="908">
        <v>94000</v>
      </c>
    </row>
    <row r="35" spans="3:6">
      <c r="C35" s="907" t="s">
        <v>1192</v>
      </c>
      <c r="D35" s="906"/>
      <c r="E35" s="908">
        <v>58000</v>
      </c>
      <c r="F35" s="908">
        <v>97000</v>
      </c>
    </row>
    <row r="36" spans="3:6">
      <c r="C36" s="907" t="s">
        <v>1191</v>
      </c>
      <c r="D36" s="906"/>
      <c r="E36" s="908">
        <v>60000</v>
      </c>
      <c r="F36" s="908">
        <v>100000</v>
      </c>
    </row>
    <row r="37" spans="3:6">
      <c r="C37" s="1910" t="s">
        <v>1190</v>
      </c>
      <c r="D37" s="1911"/>
      <c r="E37" s="905">
        <v>3</v>
      </c>
      <c r="F37" s="905">
        <v>11</v>
      </c>
    </row>
    <row r="39" spans="3:6">
      <c r="C39" s="901" t="s">
        <v>1165</v>
      </c>
      <c r="F39" s="904"/>
    </row>
    <row r="40" spans="3:6">
      <c r="C40" s="6" t="s">
        <v>1164</v>
      </c>
      <c r="E40" s="903">
        <v>200000</v>
      </c>
    </row>
    <row r="41" spans="3:6">
      <c r="E41" s="902"/>
    </row>
    <row r="42" spans="3:6">
      <c r="C42" s="6" t="s">
        <v>1163</v>
      </c>
      <c r="E42" s="903">
        <v>66667</v>
      </c>
    </row>
    <row r="43" spans="3:6">
      <c r="E43" s="902"/>
    </row>
    <row r="44" spans="3:6">
      <c r="E44" s="902"/>
    </row>
    <row r="45" spans="3:6">
      <c r="E45" s="902"/>
    </row>
    <row r="46" spans="3:6">
      <c r="C46" s="901" t="s">
        <v>1162</v>
      </c>
    </row>
    <row r="47" spans="3:6">
      <c r="C47" s="900" t="s">
        <v>415</v>
      </c>
      <c r="D47" s="900" t="s">
        <v>1160</v>
      </c>
      <c r="E47" s="900" t="s">
        <v>415</v>
      </c>
      <c r="F47" s="900" t="s">
        <v>1159</v>
      </c>
    </row>
    <row r="48" spans="3:6">
      <c r="C48" s="899">
        <v>0</v>
      </c>
      <c r="D48" s="898" t="e">
        <f ca="1">_xll.fxAct_ax($E$33,$E$33+C48,$E$26,_xll.fxAct_MortalityAdvanced(0,"CPM-2014M",0,1,TRUE,"CPM-B2D(M)",1,FALSE,0,2014,2024,999),"1124",,,,_xll.fxAct_MortalityAdvanced(2,"ZERO",0,1,FALSE,"ZERO",1,TRUE,0,0,0))</f>
        <v>#NAME?</v>
      </c>
      <c r="E48" s="899">
        <v>0</v>
      </c>
      <c r="F48" s="898" t="e">
        <f ca="1">_xll.fxAct_ax($F$33,$F$33+E48,$E$26,_xll.fxAct_MortalityAdvanced(0,"CPM-2014M",0,1,TRUE,"CPM-B2D(M)",1,FALSE,0,2014,2024,999),"1124",,,,_xll.fxAct_MortalityAdvanced(2,"ZERO",0,1,FALSE,"ZERO",1,TRUE,0,0,0))</f>
        <v>#NAME?</v>
      </c>
    </row>
    <row r="49" spans="3:6">
      <c r="C49" s="899">
        <v>1</v>
      </c>
      <c r="D49" s="898" t="e">
        <f ca="1">_xll.fxAct_ax($E$33,$E$33+C49,$E$26,_xll.fxAct_MortalityAdvanced(0,"CPM-2014M",0,1,TRUE,"CPM-B2D(M)",1,FALSE,0,2014,2024,999),"1124",,,,_xll.fxAct_MortalityAdvanced(2,"ZERO",0,1,FALSE,"ZERO",1,TRUE,0,0,0))</f>
        <v>#NAME?</v>
      </c>
      <c r="E49" s="899">
        <v>1</v>
      </c>
      <c r="F49" s="898" t="e">
        <f ca="1">_xll.fxAct_ax($F$33,$F$33+E49,$E$26,_xll.fxAct_MortalityAdvanced(0,"CPM-2014M",0,1,TRUE,"CPM-B2D(M)",1,FALSE,0,2014,2024,999),"1124",,,,_xll.fxAct_MortalityAdvanced(2,"ZERO",0,1,FALSE,"ZERO",1,TRUE,0,0,0))</f>
        <v>#NAME?</v>
      </c>
    </row>
    <row r="50" spans="3:6">
      <c r="C50" s="899">
        <v>2</v>
      </c>
      <c r="D50" s="898" t="e">
        <f ca="1">_xll.fxAct_ax($E$33,$E$33+C50,$E$26,_xll.fxAct_MortalityAdvanced(0,"CPM-2014M",0,1,TRUE,"CPM-B2D(M)",1,FALSE,0,2014,2024,999),"1124",,,,_xll.fxAct_MortalityAdvanced(2,"ZERO",0,1,FALSE,"ZERO",1,TRUE,0,0,0))</f>
        <v>#NAME?</v>
      </c>
      <c r="E50" s="899">
        <v>2</v>
      </c>
      <c r="F50" s="898" t="e">
        <f ca="1">_xll.fxAct_ax($F$33,$F$33+E50,$E$26,_xll.fxAct_MortalityAdvanced(0,"CPM-2014M",0,1,TRUE,"CPM-B2D(M)",1,FALSE,0,2014,2024,999),"1124",,,,_xll.fxAct_MortalityAdvanced(2,"ZERO",0,1,FALSE,"ZERO",1,TRUE,0,0,0))</f>
        <v>#NAME?</v>
      </c>
    </row>
    <row r="51" spans="3:6">
      <c r="C51" s="899">
        <v>3</v>
      </c>
      <c r="D51" s="898" t="e">
        <f ca="1">_xll.fxAct_ax($E$33,$E$33+C51,$E$26,_xll.fxAct_MortalityAdvanced(0,"CPM-2014M",0,1,TRUE,"CPM-B2D(M)",1,FALSE,0,2014,2024,999),"1124",,,,_xll.fxAct_MortalityAdvanced(2,"ZERO",0,1,FALSE,"ZERO",1,TRUE,0,0,0))</f>
        <v>#NAME?</v>
      </c>
      <c r="E51" s="899">
        <v>3</v>
      </c>
      <c r="F51" s="898" t="e">
        <f ca="1">_xll.fxAct_ax($F$33,$F$33+E51,$E$26,_xll.fxAct_MortalityAdvanced(0,"CPM-2014M",0,1,TRUE,"CPM-B2D(M)",1,FALSE,0,2014,2024,999),"1124",,,,_xll.fxAct_MortalityAdvanced(2,"ZERO",0,1,FALSE,"ZERO",1,TRUE,0,0,0))</f>
        <v>#NAME?</v>
      </c>
    </row>
    <row r="52" spans="3:6">
      <c r="C52" s="899">
        <v>4</v>
      </c>
      <c r="D52" s="898" t="e">
        <f ca="1">_xll.fxAct_ax($E$33,$E$33+C52,$E$26,_xll.fxAct_MortalityAdvanced(0,"CPM-2014M",0,1,TRUE,"CPM-B2D(M)",1,FALSE,0,2014,2024,999),"1124",,,,_xll.fxAct_MortalityAdvanced(2,"ZERO",0,1,FALSE,"ZERO",1,TRUE,0,0,0))</f>
        <v>#NAME?</v>
      </c>
      <c r="E52" s="899">
        <v>4</v>
      </c>
      <c r="F52" s="898" t="e">
        <f ca="1">_xll.fxAct_ax($F$33,$F$33+E52,$E$26,_xll.fxAct_MortalityAdvanced(0,"CPM-2014M",0,1,TRUE,"CPM-B2D(M)",1,FALSE,0,2014,2024,999),"1124",,,,_xll.fxAct_MortalityAdvanced(2,"ZERO",0,1,FALSE,"ZERO",1,TRUE,0,0,0))</f>
        <v>#NAME?</v>
      </c>
    </row>
    <row r="53" spans="3:6">
      <c r="C53" s="899">
        <f t="shared" ref="C53:C63" si="0">C52+1</f>
        <v>5</v>
      </c>
      <c r="D53" s="898" t="e">
        <f ca="1">_xll.fxAct_ax($E$33,$E$33+C53,$E$26,_xll.fxAct_MortalityAdvanced(0,"CPM-2014M",0,1,TRUE,"CPM-B2D(M)",1,FALSE,0,2014,2024,999),"1124",,,,_xll.fxAct_MortalityAdvanced(2,"ZERO",0,1,FALSE,"ZERO",1,TRUE,0,0,0))</f>
        <v>#NAME?</v>
      </c>
      <c r="E53" s="899">
        <f>E52+1</f>
        <v>5</v>
      </c>
      <c r="F53" s="898" t="e">
        <f ca="1">_xll.fxAct_ax($F$33,$F$33+E53,$E$26,_xll.fxAct_MortalityAdvanced(0,"CPM-2014M",0,1,TRUE,"CPM-B2D(M)",1,FALSE,0,2014,2024,999),"1124",,,,_xll.fxAct_MortalityAdvanced(2,"ZERO",0,1,FALSE,"ZERO",1,TRUE,0,0,0))</f>
        <v>#NAME?</v>
      </c>
    </row>
    <row r="54" spans="3:6">
      <c r="C54" s="899">
        <f t="shared" si="0"/>
        <v>6</v>
      </c>
      <c r="D54" s="898" t="e">
        <f ca="1">_xll.fxAct_ax($E$33,$E$33+C54,$E$26,_xll.fxAct_MortalityAdvanced(0,"CPM-2014M",0,1,TRUE,"CPM-B2D(M)",1,FALSE,0,2014,2024,999),"1124",,,,_xll.fxAct_MortalityAdvanced(2,"ZERO",0,1,FALSE,"ZERO",1,TRUE,0,0,0))</f>
        <v>#NAME?</v>
      </c>
      <c r="E54" s="899">
        <f>E53+1</f>
        <v>6</v>
      </c>
      <c r="F54" s="898" t="e">
        <f ca="1">_xll.fxAct_ax($F$33,$F$33+E54,$E$26,_xll.fxAct_MortalityAdvanced(0,"CPM-2014M",0,1,TRUE,"CPM-B2D(M)",1,FALSE,0,2014,2024,999),"1124",,,,_xll.fxAct_MortalityAdvanced(2,"ZERO",0,1,FALSE,"ZERO",1,TRUE,0,0,0))</f>
        <v>#NAME?</v>
      </c>
    </row>
    <row r="55" spans="3:6">
      <c r="C55" s="899">
        <f t="shared" si="0"/>
        <v>7</v>
      </c>
      <c r="D55" s="898" t="e">
        <f ca="1">_xll.fxAct_ax($E$33,$E$33+C55,$E$26,_xll.fxAct_MortalityAdvanced(0,"CPM-2014M",0,1,TRUE,"CPM-B2D(M)",1,FALSE,0,2014,2024,999),"1124",,,,_xll.fxAct_MortalityAdvanced(2,"ZERO",0,1,FALSE,"ZERO",1,TRUE,0,0,0))</f>
        <v>#NAME?</v>
      </c>
      <c r="E55" s="899">
        <f>E54+1</f>
        <v>7</v>
      </c>
      <c r="F55" s="898" t="e">
        <f ca="1">_xll.fxAct_ax($F$33,$F$33+E55,$E$26,_xll.fxAct_MortalityAdvanced(0,"CPM-2014M",0,1,TRUE,"CPM-B2D(M)",1,FALSE,0,2014,2024,999),"1124",,,,_xll.fxAct_MortalityAdvanced(2,"ZERO",0,1,FALSE,"ZERO",1,TRUE,0,0,0))</f>
        <v>#NAME?</v>
      </c>
    </row>
    <row r="56" spans="3:6">
      <c r="C56" s="899">
        <f t="shared" si="0"/>
        <v>8</v>
      </c>
      <c r="D56" s="898" t="e">
        <f ca="1">_xll.fxAct_ax($E$33,$E$33+C56,$E$26,_xll.fxAct_MortalityAdvanced(0,"CPM-2014M",0,1,TRUE,"CPM-B2D(M)",1,FALSE,0,2014,2024,999),"1124",,,,_xll.fxAct_MortalityAdvanced(2,"ZERO",0,1,FALSE,"ZERO",1,TRUE,0,0,0))</f>
        <v>#NAME?</v>
      </c>
    </row>
    <row r="57" spans="3:6">
      <c r="C57" s="899">
        <f t="shared" si="0"/>
        <v>9</v>
      </c>
      <c r="D57" s="898" t="e">
        <f ca="1">_xll.fxAct_ax($E$33,$E$33+C57,$E$26,_xll.fxAct_MortalityAdvanced(0,"CPM-2014M",0,1,TRUE,"CPM-B2D(M)",1,FALSE,0,2014,2024,999),"1124",,,,_xll.fxAct_MortalityAdvanced(2,"ZERO",0,1,FALSE,"ZERO",1,TRUE,0,0,0))</f>
        <v>#NAME?</v>
      </c>
    </row>
    <row r="58" spans="3:6">
      <c r="C58" s="899">
        <f t="shared" si="0"/>
        <v>10</v>
      </c>
      <c r="D58" s="898" t="e">
        <f ca="1">_xll.fxAct_ax($E$33,$E$33+C58,$E$26,_xll.fxAct_MortalityAdvanced(0,"CPM-2014M",0,1,TRUE,"CPM-B2D(M)",1,FALSE,0,2014,2024,999),"1124",,,,_xll.fxAct_MortalityAdvanced(2,"ZERO",0,1,FALSE,"ZERO",1,TRUE,0,0,0))</f>
        <v>#NAME?</v>
      </c>
    </row>
    <row r="59" spans="3:6">
      <c r="C59" s="899">
        <f t="shared" si="0"/>
        <v>11</v>
      </c>
      <c r="D59" s="898" t="e">
        <f ca="1">_xll.fxAct_ax($E$33,$E$33+C59,$E$26,_xll.fxAct_MortalityAdvanced(0,"CPM-2014M",0,1,TRUE,"CPM-B2D(M)",1,FALSE,0,2014,2024,999),"1124",,,,_xll.fxAct_MortalityAdvanced(2,"ZERO",0,1,FALSE,"ZERO",1,TRUE,0,0,0))</f>
        <v>#NAME?</v>
      </c>
    </row>
    <row r="60" spans="3:6">
      <c r="C60" s="899">
        <f t="shared" si="0"/>
        <v>12</v>
      </c>
      <c r="D60" s="898" t="e">
        <f ca="1">_xll.fxAct_ax($E$33,$E$33+C60,$E$26,_xll.fxAct_MortalityAdvanced(0,"CPM-2014M",0,1,TRUE,"CPM-B2D(M)",1,FALSE,0,2014,2024,999),"1124",,,,_xll.fxAct_MortalityAdvanced(2,"ZERO",0,1,FALSE,"ZERO",1,TRUE,0,0,0))</f>
        <v>#NAME?</v>
      </c>
    </row>
    <row r="61" spans="3:6">
      <c r="C61" s="899">
        <f t="shared" si="0"/>
        <v>13</v>
      </c>
      <c r="D61" s="898" t="e">
        <f ca="1">_xll.fxAct_ax($E$33,$E$33+C61,$E$26,_xll.fxAct_MortalityAdvanced(0,"CPM-2014M",0,1,TRUE,"CPM-B2D(M)",1,FALSE,0,2014,2024,999),"1124",,,,_xll.fxAct_MortalityAdvanced(2,"ZERO",0,1,FALSE,"ZERO",1,TRUE,0,0,0))</f>
        <v>#NAME?</v>
      </c>
    </row>
    <row r="62" spans="3:6">
      <c r="C62" s="899">
        <f t="shared" si="0"/>
        <v>14</v>
      </c>
      <c r="D62" s="898" t="e">
        <f ca="1">_xll.fxAct_ax($E$33,$E$33+C62,$E$26,_xll.fxAct_MortalityAdvanced(0,"CPM-2014M",0,1,TRUE,"CPM-B2D(M)",1,FALSE,0,2014,2024,999),"1124",,,,_xll.fxAct_MortalityAdvanced(2,"ZERO",0,1,FALSE,"ZERO",1,TRUE,0,0,0))</f>
        <v>#NAME?</v>
      </c>
    </row>
    <row r="63" spans="3:6">
      <c r="C63" s="899">
        <f t="shared" si="0"/>
        <v>15</v>
      </c>
      <c r="D63" s="898" t="e">
        <f ca="1">_xll.fxAct_ax($E$33,$E$33+C63,$E$26,_xll.fxAct_MortalityAdvanced(0,"CPM-2014M",0,1,TRUE,"CPM-B2D(M)",1,FALSE,0,2014,2024,999),"1124",,,,_xll.fxAct_MortalityAdvanced(2,"ZERO",0,1,FALSE,"ZERO",1,TRUE,0,0,0))</f>
        <v>#NAME?</v>
      </c>
    </row>
    <row r="65" spans="3:6">
      <c r="C65" s="901" t="s">
        <v>1161</v>
      </c>
    </row>
    <row r="66" spans="3:6">
      <c r="C66" s="900" t="s">
        <v>415</v>
      </c>
      <c r="D66" s="900" t="s">
        <v>1160</v>
      </c>
      <c r="E66" s="900" t="s">
        <v>415</v>
      </c>
      <c r="F66" s="900" t="s">
        <v>1159</v>
      </c>
    </row>
    <row r="67" spans="3:6">
      <c r="C67" s="899">
        <v>0</v>
      </c>
      <c r="D67" s="898" t="e">
        <f ca="1">_xll.fxAct_ax($E$33,$E$33+C67,_xll.fxAct_InterestSelectCurrent(4.5%,1,10,4%),_xll.fxAct_MortalityAdvanced(0,"CPM-2014M",0,1,TRUE,"CPM-B2D(M)",1,FALSE,0,2014,2024,999),"1124",,,,_xll.fxAct_MortalityAdvanced(2,"ZERO",0,1,FALSE,"ZERO",1,TRUE,0,0,0))</f>
        <v>#NAME?</v>
      </c>
      <c r="E67" s="899">
        <v>0</v>
      </c>
      <c r="F67" s="898" t="e">
        <f ca="1">_xll.fxAct_ax($F$33,$F$33+E67,_xll.fxAct_InterestSelectCurrent(4.5%,1,10,4%),_xll.fxAct_MortalityAdvanced(0,"CPM-2014M",0,1,TRUE,"CPM-B2D(M)",1,FALSE,0,2014,2024,999),"1124",,,,_xll.fxAct_MortalityAdvanced(2,"ZERO",0,1,FALSE,"ZERO",1,TRUE,0,0,0))</f>
        <v>#NAME?</v>
      </c>
    </row>
    <row r="68" spans="3:6">
      <c r="C68" s="899">
        <v>1</v>
      </c>
      <c r="D68" s="898" t="e">
        <f ca="1">_xll.fxAct_ax($E$33,$E$33+C68,_xll.fxAct_InterestSelectCurrent(4.5%,1,10,4%),_xll.fxAct_MortalityAdvanced(0,"CPM-2014M",0,1,TRUE,"CPM-B2D(M)",1,FALSE,0,2014,2024,999),"1124",,,,_xll.fxAct_MortalityAdvanced(2,"ZERO",0,1,FALSE,"ZERO",1,TRUE,0,0,0))</f>
        <v>#NAME?</v>
      </c>
      <c r="E68" s="899">
        <v>1</v>
      </c>
      <c r="F68" s="898" t="e">
        <f ca="1">_xll.fxAct_ax($F$33,$F$33+E68,_xll.fxAct_InterestSelectCurrent(4.5%,1,10,4%),_xll.fxAct_MortalityAdvanced(0,"CPM-2014M",0,1,TRUE,"CPM-B2D(M)",1,FALSE,0,2014,2024,999),"1124",,,,_xll.fxAct_MortalityAdvanced(2,"ZERO",0,1,FALSE,"ZERO",1,TRUE,0,0,0))</f>
        <v>#NAME?</v>
      </c>
    </row>
    <row r="69" spans="3:6">
      <c r="C69" s="899">
        <v>2</v>
      </c>
      <c r="D69" s="898" t="e">
        <f ca="1">_xll.fxAct_ax($E$33,$E$33+C69,_xll.fxAct_InterestSelectCurrent(4.5%,1,10,4%),_xll.fxAct_MortalityAdvanced(0,"CPM-2014M",0,1,TRUE,"CPM-B2D(M)",1,FALSE,0,2014,2024,999),"1124",,,,_xll.fxAct_MortalityAdvanced(2,"ZERO",0,1,FALSE,"ZERO",1,TRUE,0,0,0))</f>
        <v>#NAME?</v>
      </c>
      <c r="E69" s="899">
        <v>2</v>
      </c>
      <c r="F69" s="898" t="e">
        <f ca="1">_xll.fxAct_ax($F$33,$F$33+E69,_xll.fxAct_InterestSelectCurrent(4.5%,1,10,4%),_xll.fxAct_MortalityAdvanced(0,"CPM-2014M",0,1,TRUE,"CPM-B2D(M)",1,FALSE,0,2014,2024,999),"1124",,,,_xll.fxAct_MortalityAdvanced(2,"ZERO",0,1,FALSE,"ZERO",1,TRUE,0,0,0))</f>
        <v>#NAME?</v>
      </c>
    </row>
    <row r="70" spans="3:6">
      <c r="C70" s="899">
        <v>3</v>
      </c>
      <c r="D70" s="898" t="e">
        <f ca="1">_xll.fxAct_ax($E$33,$E$33+C70,_xll.fxAct_InterestSelectCurrent(4.5%,1,10,4%),_xll.fxAct_MortalityAdvanced(0,"CPM-2014M",0,1,TRUE,"CPM-B2D(M)",1,FALSE,0,2014,2024,999),"1124",,,,_xll.fxAct_MortalityAdvanced(2,"ZERO",0,1,FALSE,"ZERO",1,TRUE,0,0,0))</f>
        <v>#NAME?</v>
      </c>
      <c r="E70" s="899">
        <v>3</v>
      </c>
      <c r="F70" s="898" t="e">
        <f ca="1">_xll.fxAct_ax($F$33,$F$33+E70,_xll.fxAct_InterestSelectCurrent(4.5%,1,10,4%),_xll.fxAct_MortalityAdvanced(0,"CPM-2014M",0,1,TRUE,"CPM-B2D(M)",1,FALSE,0,2014,2024,999),"1124",,,,_xll.fxAct_MortalityAdvanced(2,"ZERO",0,1,FALSE,"ZERO",1,TRUE,0,0,0))</f>
        <v>#NAME?</v>
      </c>
    </row>
    <row r="71" spans="3:6">
      <c r="C71" s="899">
        <v>4</v>
      </c>
      <c r="D71" s="898" t="e">
        <f ca="1">_xll.fxAct_ax($E$33,$E$33+C71,_xll.fxAct_InterestSelectCurrent(4.5%,1,10,4%),_xll.fxAct_MortalityAdvanced(0,"CPM-2014M",0,1,TRUE,"CPM-B2D(M)",1,FALSE,0,2014,2024,999),"1124",,,,_xll.fxAct_MortalityAdvanced(2,"ZERO",0,1,FALSE,"ZERO",1,TRUE,0,0,0))</f>
        <v>#NAME?</v>
      </c>
      <c r="E71" s="899">
        <v>4</v>
      </c>
      <c r="F71" s="898" t="e">
        <f ca="1">_xll.fxAct_ax($F$33,$F$33+E71,_xll.fxAct_InterestSelectCurrent(4.5%,1,10,4%),_xll.fxAct_MortalityAdvanced(0,"CPM-2014M",0,1,TRUE,"CPM-B2D(M)",1,FALSE,0,2014,2024,999),"1124",,,,_xll.fxAct_MortalityAdvanced(2,"ZERO",0,1,FALSE,"ZERO",1,TRUE,0,0,0))</f>
        <v>#NAME?</v>
      </c>
    </row>
    <row r="72" spans="3:6">
      <c r="C72" s="899">
        <f t="shared" ref="C72:C82" si="1">C71+1</f>
        <v>5</v>
      </c>
      <c r="D72" s="898" t="e">
        <f ca="1">_xll.fxAct_ax($E$33,$E$33+C72,_xll.fxAct_InterestSelectCurrent(4.5%,1,10,4%),_xll.fxAct_MortalityAdvanced(0,"CPM-2014M",0,1,TRUE,"CPM-B2D(M)",1,FALSE,0,2014,2024,999),"1124",,,,_xll.fxAct_MortalityAdvanced(2,"ZERO",0,1,FALSE,"ZERO",1,TRUE,0,0,0))</f>
        <v>#NAME?</v>
      </c>
      <c r="E72" s="899">
        <f>E71+1</f>
        <v>5</v>
      </c>
      <c r="F72" s="898" t="e">
        <f ca="1">_xll.fxAct_ax($F$33,$F$33+E72,_xll.fxAct_InterestSelectCurrent(4.5%,1,10,4%),_xll.fxAct_MortalityAdvanced(0,"CPM-2014M",0,1,TRUE,"CPM-B2D(M)",1,FALSE,0,2014,2024,999),"1124",,,,_xll.fxAct_MortalityAdvanced(2,"ZERO",0,1,FALSE,"ZERO",1,TRUE,0,0,0))</f>
        <v>#NAME?</v>
      </c>
    </row>
    <row r="73" spans="3:6">
      <c r="C73" s="899">
        <f t="shared" si="1"/>
        <v>6</v>
      </c>
      <c r="D73" s="898" t="e">
        <f ca="1">_xll.fxAct_ax($E$33,$E$33+C73,_xll.fxAct_InterestSelectCurrent(4.5%,1,10,4%),_xll.fxAct_MortalityAdvanced(0,"CPM-2014M",0,1,TRUE,"CPM-B2D(M)",1,FALSE,0,2014,2024,999),"1124",,,,_xll.fxAct_MortalityAdvanced(2,"ZERO",0,1,FALSE,"ZERO",1,TRUE,0,0,0))</f>
        <v>#NAME?</v>
      </c>
      <c r="E73" s="899">
        <f>E72+1</f>
        <v>6</v>
      </c>
      <c r="F73" s="898" t="e">
        <f ca="1">_xll.fxAct_ax($F$33,$F$33+E73,_xll.fxAct_InterestSelectCurrent(4.5%,1,10,4%),_xll.fxAct_MortalityAdvanced(0,"CPM-2014M",0,1,TRUE,"CPM-B2D(M)",1,FALSE,0,2014,2024,999),"1124",,,,_xll.fxAct_MortalityAdvanced(2,"ZERO",0,1,FALSE,"ZERO",1,TRUE,0,0,0))</f>
        <v>#NAME?</v>
      </c>
    </row>
    <row r="74" spans="3:6">
      <c r="C74" s="899">
        <f t="shared" si="1"/>
        <v>7</v>
      </c>
      <c r="D74" s="898" t="e">
        <f ca="1">_xll.fxAct_ax($E$33,$E$33+C74,_xll.fxAct_InterestSelectCurrent(4.5%,1,10,4%),_xll.fxAct_MortalityAdvanced(0,"CPM-2014M",0,1,TRUE,"CPM-B2D(M)",1,FALSE,0,2014,2024,999),"1124",,,,_xll.fxAct_MortalityAdvanced(2,"ZERO",0,1,FALSE,"ZERO",1,TRUE,0,0,0))</f>
        <v>#NAME?</v>
      </c>
      <c r="E74" s="899">
        <f>E73+1</f>
        <v>7</v>
      </c>
      <c r="F74" s="898" t="e">
        <f ca="1">_xll.fxAct_ax($F$33,$F$33+E74,_xll.fxAct_InterestSelectCurrent(4.5%,1,10,4%),_xll.fxAct_MortalityAdvanced(0,"CPM-2014M",0,1,TRUE,"CPM-B2D(M)",1,FALSE,0,2014,2024,999),"1124",,,,_xll.fxAct_MortalityAdvanced(2,"ZERO",0,1,FALSE,"ZERO",1,TRUE,0,0,0))</f>
        <v>#NAME?</v>
      </c>
    </row>
    <row r="75" spans="3:6">
      <c r="C75" s="899">
        <f t="shared" si="1"/>
        <v>8</v>
      </c>
      <c r="D75" s="898" t="e">
        <f ca="1">_xll.fxAct_ax($E$33,$E$33+C75,_xll.fxAct_InterestSelectCurrent(4.5%,1,10,4%),_xll.fxAct_MortalityAdvanced(0,"CPM-2014M",0,1,TRUE,"CPM-B2D(M)",1,FALSE,0,2014,2024,999),"1124",,,,_xll.fxAct_MortalityAdvanced(2,"ZERO",0,1,FALSE,"ZERO",1,TRUE,0,0,0))</f>
        <v>#NAME?</v>
      </c>
    </row>
    <row r="76" spans="3:6">
      <c r="C76" s="899">
        <f t="shared" si="1"/>
        <v>9</v>
      </c>
      <c r="D76" s="898" t="e">
        <f ca="1">_xll.fxAct_ax($E$33,$E$33+C76,_xll.fxAct_InterestSelectCurrent(4.5%,1,10,4%),_xll.fxAct_MortalityAdvanced(0,"CPM-2014M",0,1,TRUE,"CPM-B2D(M)",1,FALSE,0,2014,2024,999),"1124",,,,_xll.fxAct_MortalityAdvanced(2,"ZERO",0,1,FALSE,"ZERO",1,TRUE,0,0,0))</f>
        <v>#NAME?</v>
      </c>
    </row>
    <row r="77" spans="3:6">
      <c r="C77" s="899">
        <f t="shared" si="1"/>
        <v>10</v>
      </c>
      <c r="D77" s="898" t="e">
        <f ca="1">_xll.fxAct_ax($E$33,$E$33+C77,_xll.fxAct_InterestSelectCurrent(4.5%,1,10,4%),_xll.fxAct_MortalityAdvanced(0,"CPM-2014M",0,1,TRUE,"CPM-B2D(M)",1,FALSE,0,2014,2024,999),"1124",,,,_xll.fxAct_MortalityAdvanced(2,"ZERO",0,1,FALSE,"ZERO",1,TRUE,0,0,0))</f>
        <v>#NAME?</v>
      </c>
    </row>
    <row r="78" spans="3:6">
      <c r="C78" s="899">
        <f t="shared" si="1"/>
        <v>11</v>
      </c>
      <c r="D78" s="898" t="e">
        <f ca="1">_xll.fxAct_ax($E$33,$E$33+C78,_xll.fxAct_InterestSelectCurrent(4.5%,1,10,4%),_xll.fxAct_MortalityAdvanced(0,"CPM-2014M",0,1,TRUE,"CPM-B2D(M)",1,FALSE,0,2014,2024,999),"1124",,,,_xll.fxAct_MortalityAdvanced(2,"ZERO",0,1,FALSE,"ZERO",1,TRUE,0,0,0))</f>
        <v>#NAME?</v>
      </c>
    </row>
    <row r="79" spans="3:6">
      <c r="C79" s="899">
        <f t="shared" si="1"/>
        <v>12</v>
      </c>
      <c r="D79" s="898" t="e">
        <f ca="1">_xll.fxAct_ax($E$33,$E$33+C79,_xll.fxAct_InterestSelectCurrent(4.5%,1,10,4%),_xll.fxAct_MortalityAdvanced(0,"CPM-2014M",0,1,TRUE,"CPM-B2D(M)",1,FALSE,0,2014,2024,999),"1124",,,,_xll.fxAct_MortalityAdvanced(2,"ZERO",0,1,FALSE,"ZERO",1,TRUE,0,0,0))</f>
        <v>#NAME?</v>
      </c>
    </row>
    <row r="80" spans="3:6">
      <c r="C80" s="899">
        <f t="shared" si="1"/>
        <v>13</v>
      </c>
      <c r="D80" s="898" t="e">
        <f ca="1">_xll.fxAct_ax($E$33,$E$33+C80,_xll.fxAct_InterestSelectCurrent(4.5%,1,10,4%),_xll.fxAct_MortalityAdvanced(0,"CPM-2014M",0,1,TRUE,"CPM-B2D(M)",1,FALSE,0,2014,2024,999),"1124",,,,_xll.fxAct_MortalityAdvanced(2,"ZERO",0,1,FALSE,"ZERO",1,TRUE,0,0,0))</f>
        <v>#NAME?</v>
      </c>
    </row>
    <row r="81" spans="2:8">
      <c r="C81" s="899">
        <f t="shared" si="1"/>
        <v>14</v>
      </c>
      <c r="D81" s="898" t="e">
        <f ca="1">_xll.fxAct_ax($E$33,$E$33+C81,_xll.fxAct_InterestSelectCurrent(4.5%,1,10,4%),_xll.fxAct_MortalityAdvanced(0,"CPM-2014M",0,1,TRUE,"CPM-B2D(M)",1,FALSE,0,2014,2024,999),"1124",,,,_xll.fxAct_MortalityAdvanced(2,"ZERO",0,1,FALSE,"ZERO",1,TRUE,0,0,0))</f>
        <v>#NAME?</v>
      </c>
    </row>
    <row r="82" spans="2:8">
      <c r="C82" s="899">
        <f t="shared" si="1"/>
        <v>15</v>
      </c>
      <c r="D82" s="898" t="e">
        <f ca="1">_xll.fxAct_ax($E$33,$E$33+C82,_xll.fxAct_InterestSelectCurrent(4.5%,1,10,4%),_xll.fxAct_MortalityAdvanced(0,"CPM-2014M",0,1,TRUE,"CPM-B2D(M)",1,FALSE,0,2014,2024,999),"1124",,,,_xll.fxAct_MortalityAdvanced(2,"ZERO",0,1,FALSE,"ZERO",1,TRUE,0,0,0))</f>
        <v>#NAME?</v>
      </c>
      <c r="E82" s="897"/>
      <c r="F82" s="897"/>
      <c r="G82" s="897"/>
    </row>
    <row r="84" spans="2:8">
      <c r="B84" s="6" t="s">
        <v>26</v>
      </c>
      <c r="C84" s="6" t="s">
        <v>71</v>
      </c>
      <c r="D84" s="895" t="s">
        <v>1189</v>
      </c>
    </row>
    <row r="85" spans="2:8">
      <c r="C85" s="896"/>
    </row>
    <row r="86" spans="2:8">
      <c r="C86" s="896"/>
      <c r="D86" s="6" t="s">
        <v>1188</v>
      </c>
    </row>
    <row r="87" spans="2:8" ht="15.6" customHeight="1">
      <c r="C87" s="896"/>
      <c r="D87" s="1933" t="s">
        <v>29</v>
      </c>
      <c r="E87" s="1934"/>
      <c r="F87" s="1934"/>
      <c r="G87" s="1934"/>
      <c r="H87" s="1935"/>
    </row>
    <row r="88" spans="2:8">
      <c r="C88" s="896"/>
      <c r="D88" s="1936"/>
      <c r="E88" s="1937"/>
      <c r="F88" s="1937"/>
      <c r="G88" s="1937"/>
      <c r="H88" s="1938"/>
    </row>
    <row r="89" spans="2:8">
      <c r="C89" s="896"/>
    </row>
    <row r="90" spans="2:8">
      <c r="D90" s="895"/>
    </row>
    <row r="91" spans="2:8">
      <c r="B91" s="6" t="s">
        <v>34</v>
      </c>
      <c r="C91" s="6" t="s">
        <v>71</v>
      </c>
      <c r="D91" s="895" t="s">
        <v>1187</v>
      </c>
    </row>
  </sheetData>
  <mergeCells count="32">
    <mergeCell ref="D87:H88"/>
    <mergeCell ref="C27:D27"/>
    <mergeCell ref="E27:F27"/>
    <mergeCell ref="C28:D28"/>
    <mergeCell ref="E28:F28"/>
    <mergeCell ref="C33:D33"/>
    <mergeCell ref="C37:D37"/>
    <mergeCell ref="C26:D26"/>
    <mergeCell ref="E26:F26"/>
    <mergeCell ref="C19:F19"/>
    <mergeCell ref="C20:D20"/>
    <mergeCell ref="E20:F20"/>
    <mergeCell ref="C21:D21"/>
    <mergeCell ref="E21:F21"/>
    <mergeCell ref="C22:F22"/>
    <mergeCell ref="C23:D23"/>
    <mergeCell ref="E23:F23"/>
    <mergeCell ref="C24:D24"/>
    <mergeCell ref="E24:F24"/>
    <mergeCell ref="C25:F25"/>
    <mergeCell ref="C13:D14"/>
    <mergeCell ref="E13:G13"/>
    <mergeCell ref="E14:G14"/>
    <mergeCell ref="C15:D15"/>
    <mergeCell ref="C18:D18"/>
    <mergeCell ref="E18:F18"/>
    <mergeCell ref="C12:D12"/>
    <mergeCell ref="C8:D8"/>
    <mergeCell ref="E8:G8"/>
    <mergeCell ref="E9:G9"/>
    <mergeCell ref="C10:D10"/>
    <mergeCell ref="C11:D1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3F2B-1C10-498B-AB6F-94F1917389C3}">
  <dimension ref="A1:Y139"/>
  <sheetViews>
    <sheetView topLeftCell="A61" zoomScale="86" zoomScaleNormal="86" workbookViewId="0">
      <selection activeCell="O14" sqref="O14"/>
    </sheetView>
  </sheetViews>
  <sheetFormatPr defaultColWidth="8.88671875" defaultRowHeight="15.6"/>
  <cols>
    <col min="1" max="1" width="2.5546875" style="2" customWidth="1"/>
    <col min="2" max="2" width="15" style="2" customWidth="1"/>
    <col min="3" max="3" width="16.5546875" style="2" customWidth="1"/>
    <col min="4" max="4" width="29.44140625" style="2" customWidth="1"/>
    <col min="5" max="5" width="29.109375" style="2" customWidth="1"/>
    <col min="6" max="6" width="22.5546875" style="2" customWidth="1"/>
    <col min="7" max="7" width="28.88671875" style="2" customWidth="1"/>
    <col min="8" max="8" width="20.5546875" style="2" customWidth="1"/>
    <col min="9" max="9" width="6.88671875" style="3" customWidth="1"/>
    <col min="10" max="10" width="15.6640625" style="3" customWidth="1"/>
    <col min="11" max="11" width="14.109375" style="3" customWidth="1"/>
    <col min="12" max="12" width="15.44140625" style="3" customWidth="1"/>
    <col min="13" max="13" width="13.5546875" style="3" customWidth="1"/>
    <col min="14" max="14" width="11.5546875" style="3" customWidth="1"/>
    <col min="15" max="15" width="8.88671875" style="3" customWidth="1"/>
    <col min="16" max="16" width="10.5546875" style="3" customWidth="1"/>
    <col min="17" max="17" width="13.5546875" style="3" customWidth="1"/>
    <col min="18" max="18" width="9.6640625" style="3" bestFit="1" customWidth="1"/>
    <col min="19" max="19" width="12" style="3" bestFit="1" customWidth="1"/>
    <col min="20" max="20" width="9.88671875" style="3" customWidth="1"/>
    <col min="21" max="21" width="13.44140625" style="3" bestFit="1" customWidth="1"/>
    <col min="22" max="23" width="13.33203125" style="3" bestFit="1" customWidth="1"/>
    <col min="24" max="24" width="13.109375" style="3" customWidth="1"/>
    <col min="25" max="25" width="12.6640625" style="3" customWidth="1"/>
    <col min="26" max="16384" width="8.88671875" style="3"/>
  </cols>
  <sheetData>
    <row r="1" spans="1:7">
      <c r="A1" s="1" t="s">
        <v>1278</v>
      </c>
      <c r="C1" s="1"/>
    </row>
    <row r="2" spans="1:7">
      <c r="A2" s="2" t="s">
        <v>1277</v>
      </c>
      <c r="C2" s="1"/>
    </row>
    <row r="3" spans="1:7" ht="18.600000000000001" customHeight="1">
      <c r="A3" s="1"/>
    </row>
    <row r="4" spans="1:7" ht="18.600000000000001" customHeight="1">
      <c r="A4" s="1"/>
    </row>
    <row r="5" spans="1:7">
      <c r="A5" s="1"/>
      <c r="B5" s="2" t="s">
        <v>1201</v>
      </c>
      <c r="C5" s="2" t="s">
        <v>1184</v>
      </c>
    </row>
    <row r="7" spans="1:7" ht="17.399999999999999" customHeight="1">
      <c r="C7" s="2" t="s">
        <v>323</v>
      </c>
    </row>
    <row r="9" spans="1:7">
      <c r="C9" s="32" t="s">
        <v>191</v>
      </c>
    </row>
    <row r="10" spans="1:7" ht="43.65" customHeight="1">
      <c r="C10" s="1745" t="s">
        <v>521</v>
      </c>
      <c r="D10" s="1746"/>
      <c r="E10" s="1941" t="s">
        <v>1183</v>
      </c>
      <c r="F10" s="1941"/>
      <c r="G10" s="1941"/>
    </row>
    <row r="11" spans="1:7" ht="18.600000000000001" customHeight="1">
      <c r="C11" s="83" t="s">
        <v>258</v>
      </c>
      <c r="D11" s="82"/>
      <c r="E11" s="1942" t="s">
        <v>257</v>
      </c>
      <c r="F11" s="1943"/>
      <c r="G11" s="1944"/>
    </row>
    <row r="12" spans="1:7">
      <c r="C12" s="1745" t="s">
        <v>264</v>
      </c>
      <c r="D12" s="1746"/>
      <c r="E12" s="83">
        <v>65</v>
      </c>
      <c r="F12" s="149"/>
      <c r="G12" s="148"/>
    </row>
    <row r="13" spans="1:7">
      <c r="C13" s="1745" t="s">
        <v>263</v>
      </c>
      <c r="D13" s="1746"/>
      <c r="E13" s="83">
        <v>55</v>
      </c>
      <c r="F13" s="149"/>
      <c r="G13" s="148"/>
    </row>
    <row r="14" spans="1:7">
      <c r="C14" s="1745" t="s">
        <v>262</v>
      </c>
      <c r="D14" s="1746"/>
      <c r="E14" s="150" t="s">
        <v>1179</v>
      </c>
      <c r="F14" s="149"/>
      <c r="G14" s="148"/>
    </row>
    <row r="15" spans="1:7">
      <c r="C15" s="1721" t="s">
        <v>260</v>
      </c>
      <c r="D15" s="1722"/>
      <c r="E15" s="1725" t="s">
        <v>1200</v>
      </c>
      <c r="F15" s="1741"/>
      <c r="G15" s="1726"/>
    </row>
    <row r="16" spans="1:7" ht="23.1" customHeight="1">
      <c r="C16" s="1723"/>
      <c r="D16" s="1724"/>
      <c r="E16" s="1727" t="s">
        <v>1199</v>
      </c>
      <c r="F16" s="1742"/>
      <c r="G16" s="1728"/>
    </row>
    <row r="17" spans="3:7">
      <c r="C17" s="1745" t="s">
        <v>1198</v>
      </c>
      <c r="D17" s="1746"/>
      <c r="E17" s="150" t="s">
        <v>498</v>
      </c>
      <c r="F17" s="149"/>
      <c r="G17" s="148"/>
    </row>
    <row r="19" spans="3:7">
      <c r="C19" s="32" t="s">
        <v>1197</v>
      </c>
      <c r="E19" s="956"/>
      <c r="F19" s="285"/>
    </row>
    <row r="20" spans="3:7">
      <c r="C20" s="1720"/>
      <c r="D20" s="1720"/>
      <c r="E20" s="1940"/>
      <c r="F20" s="1940"/>
    </row>
    <row r="21" spans="3:7">
      <c r="C21" s="1719" t="s">
        <v>476</v>
      </c>
      <c r="D21" s="1719"/>
      <c r="E21" s="1719"/>
      <c r="F21" s="1719"/>
    </row>
    <row r="22" spans="3:7">
      <c r="C22" s="1714" t="s">
        <v>1196</v>
      </c>
      <c r="D22" s="1714"/>
      <c r="E22" s="1945" t="s">
        <v>1174</v>
      </c>
      <c r="F22" s="1946"/>
    </row>
    <row r="23" spans="3:7">
      <c r="C23" s="1714" t="s">
        <v>1195</v>
      </c>
      <c r="D23" s="1714"/>
      <c r="E23" s="1947" t="s">
        <v>1172</v>
      </c>
      <c r="F23" s="1946"/>
    </row>
    <row r="24" spans="3:7">
      <c r="C24" s="1719" t="s">
        <v>471</v>
      </c>
      <c r="D24" s="1719"/>
      <c r="E24" s="1719"/>
      <c r="F24" s="1719"/>
    </row>
    <row r="25" spans="3:7">
      <c r="C25" s="1714" t="s">
        <v>470</v>
      </c>
      <c r="D25" s="1714"/>
      <c r="E25" s="1940" t="s">
        <v>1171</v>
      </c>
      <c r="F25" s="1940"/>
    </row>
    <row r="26" spans="3:7">
      <c r="C26" s="1714"/>
      <c r="D26" s="1714"/>
      <c r="E26" s="1940"/>
      <c r="F26" s="1940"/>
    </row>
    <row r="27" spans="3:7">
      <c r="C27" s="1719" t="s">
        <v>466</v>
      </c>
      <c r="D27" s="1719"/>
      <c r="E27" s="1719"/>
      <c r="F27" s="1719"/>
    </row>
    <row r="28" spans="3:7">
      <c r="C28" s="1714" t="s">
        <v>465</v>
      </c>
      <c r="D28" s="1714"/>
      <c r="E28" s="1940">
        <v>0.05</v>
      </c>
      <c r="F28" s="1940"/>
    </row>
    <row r="29" spans="3:7">
      <c r="C29" s="1714"/>
      <c r="D29" s="1714"/>
      <c r="E29" s="1940"/>
      <c r="F29" s="1940"/>
    </row>
    <row r="30" spans="3:7">
      <c r="C30" s="1714" t="s">
        <v>463</v>
      </c>
      <c r="D30" s="1714"/>
      <c r="E30" s="1962">
        <v>50000</v>
      </c>
      <c r="F30" s="1962"/>
    </row>
    <row r="33" spans="3:6">
      <c r="C33" s="32" t="s">
        <v>1194</v>
      </c>
    </row>
    <row r="34" spans="3:6">
      <c r="C34" s="83"/>
      <c r="D34" s="82"/>
      <c r="E34" s="161" t="s">
        <v>96</v>
      </c>
      <c r="F34" s="161" t="s">
        <v>66</v>
      </c>
    </row>
    <row r="35" spans="3:6">
      <c r="C35" s="1745" t="s">
        <v>1193</v>
      </c>
      <c r="D35" s="1746"/>
      <c r="E35" s="158">
        <v>50</v>
      </c>
      <c r="F35" s="158">
        <v>58</v>
      </c>
    </row>
    <row r="36" spans="3:6">
      <c r="C36" s="83" t="s">
        <v>376</v>
      </c>
      <c r="D36" s="82"/>
      <c r="E36" s="955">
        <v>56000</v>
      </c>
      <c r="F36" s="955">
        <v>94000</v>
      </c>
    </row>
    <row r="37" spans="3:6">
      <c r="C37" s="83" t="s">
        <v>1192</v>
      </c>
      <c r="D37" s="82"/>
      <c r="E37" s="955">
        <v>58000</v>
      </c>
      <c r="F37" s="955">
        <v>97000</v>
      </c>
    </row>
    <row r="38" spans="3:6">
      <c r="C38" s="83" t="s">
        <v>1191</v>
      </c>
      <c r="D38" s="82"/>
      <c r="E38" s="955">
        <v>60000</v>
      </c>
      <c r="F38" s="955">
        <v>100000</v>
      </c>
    </row>
    <row r="39" spans="3:6">
      <c r="C39" s="1745" t="s">
        <v>1190</v>
      </c>
      <c r="D39" s="1746"/>
      <c r="E39" s="158">
        <v>3</v>
      </c>
      <c r="F39" s="158">
        <v>11</v>
      </c>
    </row>
    <row r="41" spans="3:6">
      <c r="C41" s="32" t="s">
        <v>1165</v>
      </c>
      <c r="F41" s="160"/>
    </row>
    <row r="42" spans="3:6">
      <c r="C42" s="2" t="s">
        <v>1164</v>
      </c>
      <c r="E42" s="271">
        <v>200000</v>
      </c>
    </row>
    <row r="43" spans="3:6">
      <c r="E43" s="270"/>
    </row>
    <row r="44" spans="3:6">
      <c r="C44" s="2" t="s">
        <v>1163</v>
      </c>
      <c r="E44" s="271">
        <v>66667</v>
      </c>
    </row>
    <row r="45" spans="3:6">
      <c r="E45" s="270"/>
    </row>
    <row r="46" spans="3:6">
      <c r="E46" s="270"/>
    </row>
    <row r="47" spans="3:6">
      <c r="E47" s="270"/>
    </row>
    <row r="48" spans="3:6">
      <c r="C48" s="32" t="s">
        <v>1162</v>
      </c>
    </row>
    <row r="49" spans="3:10">
      <c r="C49" s="248" t="s">
        <v>415</v>
      </c>
      <c r="D49" s="248" t="s">
        <v>1160</v>
      </c>
      <c r="E49" s="248" t="s">
        <v>415</v>
      </c>
      <c r="F49" s="248" t="s">
        <v>1159</v>
      </c>
    </row>
    <row r="50" spans="3:10">
      <c r="C50" s="242">
        <v>0</v>
      </c>
      <c r="D50" s="938" t="e">
        <f ca="1">_xll.fxAct_ax($E$35,$E$35+C50,$E$28,_xll.fxAct_MortalityAdvanced(0,"CPM-2014M",0,1,TRUE,"CPM-B2D(M)",1,FALSE,0,2014,2024,999),"1124",,,,_xll.fxAct_MortalityAdvanced(2,"ZERO",0,1,FALSE,"ZERO",1,TRUE,0,0,0))</f>
        <v>#NAME?</v>
      </c>
      <c r="E50" s="242">
        <v>0</v>
      </c>
      <c r="F50" s="938" t="e">
        <f ca="1">_xll.fxAct_ax($F$35,$F$35+E50,$E$28,_xll.fxAct_MortalityAdvanced(0,"CPM-2014M",0,1,TRUE,"CPM-B2D(M)",1,FALSE,0,2014,2024,999),"1124",,,,_xll.fxAct_MortalityAdvanced(2,"ZERO",0,1,FALSE,"ZERO",1,TRUE,0,0,0))</f>
        <v>#NAME?</v>
      </c>
    </row>
    <row r="51" spans="3:10">
      <c r="C51" s="242">
        <v>1</v>
      </c>
      <c r="D51" s="938" t="e">
        <f ca="1">_xll.fxAct_ax($E$35,$E$35+C51,$E$28,_xll.fxAct_MortalityAdvanced(0,"CPM-2014M",0,1,TRUE,"CPM-B2D(M)",1,FALSE,0,2014,2024,999),"1124",,,,_xll.fxAct_MortalityAdvanced(2,"ZERO",0,1,FALSE,"ZERO",1,TRUE,0,0,0))</f>
        <v>#NAME?</v>
      </c>
      <c r="E51" s="242">
        <v>1</v>
      </c>
      <c r="F51" s="938" t="e">
        <f ca="1">_xll.fxAct_ax($F$35,$F$35+E51,$E$28,_xll.fxAct_MortalityAdvanced(0,"CPM-2014M",0,1,TRUE,"CPM-B2D(M)",1,FALSE,0,2014,2024,999),"1124",,,,_xll.fxAct_MortalityAdvanced(2,"ZERO",0,1,FALSE,"ZERO",1,TRUE,0,0,0))</f>
        <v>#NAME?</v>
      </c>
    </row>
    <row r="52" spans="3:10">
      <c r="C52" s="242">
        <v>2</v>
      </c>
      <c r="D52" s="938" t="e">
        <f ca="1">_xll.fxAct_ax($E$35,$E$35+C52,$E$28,_xll.fxAct_MortalityAdvanced(0,"CPM-2014M",0,1,TRUE,"CPM-B2D(M)",1,FALSE,0,2014,2024,999),"1124",,,,_xll.fxAct_MortalityAdvanced(2,"ZERO",0,1,FALSE,"ZERO",1,TRUE,0,0,0))</f>
        <v>#NAME?</v>
      </c>
      <c r="E52" s="242">
        <v>2</v>
      </c>
      <c r="F52" s="938" t="e">
        <f ca="1">_xll.fxAct_ax($F$35,$F$35+E52,$E$28,_xll.fxAct_MortalityAdvanced(0,"CPM-2014M",0,1,TRUE,"CPM-B2D(M)",1,FALSE,0,2014,2024,999),"1124",,,,_xll.fxAct_MortalityAdvanced(2,"ZERO",0,1,FALSE,"ZERO",1,TRUE,0,0,0))</f>
        <v>#NAME?</v>
      </c>
    </row>
    <row r="53" spans="3:10">
      <c r="C53" s="242">
        <v>3</v>
      </c>
      <c r="D53" s="938" t="e">
        <f ca="1">_xll.fxAct_ax($E$35,$E$35+C53,$E$28,_xll.fxAct_MortalityAdvanced(0,"CPM-2014M",0,1,TRUE,"CPM-B2D(M)",1,FALSE,0,2014,2024,999),"1124",,,,_xll.fxAct_MortalityAdvanced(2,"ZERO",0,1,FALSE,"ZERO",1,TRUE,0,0,0))</f>
        <v>#NAME?</v>
      </c>
      <c r="E53" s="242">
        <v>3</v>
      </c>
      <c r="F53" s="938" t="e">
        <f ca="1">_xll.fxAct_ax($F$35,$F$35+E53,$E$28,_xll.fxAct_MortalityAdvanced(0,"CPM-2014M",0,1,TRUE,"CPM-B2D(M)",1,FALSE,0,2014,2024,999),"1124",,,,_xll.fxAct_MortalityAdvanced(2,"ZERO",0,1,FALSE,"ZERO",1,TRUE,0,0,0))</f>
        <v>#NAME?</v>
      </c>
      <c r="I53" s="954"/>
      <c r="J53" s="953"/>
    </row>
    <row r="54" spans="3:10">
      <c r="C54" s="242">
        <v>4</v>
      </c>
      <c r="D54" s="938" t="e">
        <f ca="1">_xll.fxAct_ax($E$35,$E$35+C54,$E$28,_xll.fxAct_MortalityAdvanced(0,"CPM-2014M",0,1,TRUE,"CPM-B2D(M)",1,FALSE,0,2014,2024,999),"1124",,,,_xll.fxAct_MortalityAdvanced(2,"ZERO",0,1,FALSE,"ZERO",1,TRUE,0,0,0))</f>
        <v>#NAME?</v>
      </c>
      <c r="E54" s="242">
        <v>4</v>
      </c>
      <c r="F54" s="938" t="e">
        <f ca="1">_xll.fxAct_ax($F$35,$F$35+E54,$E$28,_xll.fxAct_MortalityAdvanced(0,"CPM-2014M",0,1,TRUE,"CPM-B2D(M)",1,FALSE,0,2014,2024,999),"1124",,,,_xll.fxAct_MortalityAdvanced(2,"ZERO",0,1,FALSE,"ZERO",1,TRUE,0,0,0))</f>
        <v>#NAME?</v>
      </c>
      <c r="I54" s="954"/>
      <c r="J54" s="953"/>
    </row>
    <row r="55" spans="3:10">
      <c r="C55" s="242">
        <f t="shared" ref="C55:C65" si="0">C54+1</f>
        <v>5</v>
      </c>
      <c r="D55" s="938" t="e">
        <f ca="1">_xll.fxAct_ax($E$35,$E$35+C55,$E$28,_xll.fxAct_MortalityAdvanced(0,"CPM-2014M",0,1,TRUE,"CPM-B2D(M)",1,FALSE,0,2014,2024,999),"1124",,,,_xll.fxAct_MortalityAdvanced(2,"ZERO",0,1,FALSE,"ZERO",1,TRUE,0,0,0))</f>
        <v>#NAME?</v>
      </c>
      <c r="E55" s="242">
        <f>E54+1</f>
        <v>5</v>
      </c>
      <c r="F55" s="938" t="e">
        <f ca="1">_xll.fxAct_ax($F$35,$F$35+E55,$E$28,_xll.fxAct_MortalityAdvanced(0,"CPM-2014M",0,1,TRUE,"CPM-B2D(M)",1,FALSE,0,2014,2024,999),"1124",,,,_xll.fxAct_MortalityAdvanced(2,"ZERO",0,1,FALSE,"ZERO",1,TRUE,0,0,0))</f>
        <v>#NAME?</v>
      </c>
      <c r="I55" s="954"/>
      <c r="J55" s="953"/>
    </row>
    <row r="56" spans="3:10">
      <c r="C56" s="242">
        <f t="shared" si="0"/>
        <v>6</v>
      </c>
      <c r="D56" s="938" t="e">
        <f ca="1">_xll.fxAct_ax($E$35,$E$35+C56,$E$28,_xll.fxAct_MortalityAdvanced(0,"CPM-2014M",0,1,TRUE,"CPM-B2D(M)",1,FALSE,0,2014,2024,999),"1124",,,,_xll.fxAct_MortalityAdvanced(2,"ZERO",0,1,FALSE,"ZERO",1,TRUE,0,0,0))</f>
        <v>#NAME?</v>
      </c>
      <c r="E56" s="242">
        <f>E55+1</f>
        <v>6</v>
      </c>
      <c r="F56" s="938" t="e">
        <f ca="1">_xll.fxAct_ax($F$35,$F$35+E56,$E$28,_xll.fxAct_MortalityAdvanced(0,"CPM-2014M",0,1,TRUE,"CPM-B2D(M)",1,FALSE,0,2014,2024,999),"1124",,,,_xll.fxAct_MortalityAdvanced(2,"ZERO",0,1,FALSE,"ZERO",1,TRUE,0,0,0))</f>
        <v>#NAME?</v>
      </c>
      <c r="I56" s="954"/>
      <c r="J56" s="953"/>
    </row>
    <row r="57" spans="3:10">
      <c r="C57" s="242">
        <f t="shared" si="0"/>
        <v>7</v>
      </c>
      <c r="D57" s="938" t="e">
        <f ca="1">_xll.fxAct_ax($E$35,$E$35+C57,$E$28,_xll.fxAct_MortalityAdvanced(0,"CPM-2014M",0,1,TRUE,"CPM-B2D(M)",1,FALSE,0,2014,2024,999),"1124",,,,_xll.fxAct_MortalityAdvanced(2,"ZERO",0,1,FALSE,"ZERO",1,TRUE,0,0,0))</f>
        <v>#NAME?</v>
      </c>
      <c r="E57" s="242">
        <f>E56+1</f>
        <v>7</v>
      </c>
      <c r="F57" s="938" t="e">
        <f ca="1">_xll.fxAct_ax($F$35,$F$35+E57,$E$28,_xll.fxAct_MortalityAdvanced(0,"CPM-2014M",0,1,TRUE,"CPM-B2D(M)",1,FALSE,0,2014,2024,999),"1124",,,,_xll.fxAct_MortalityAdvanced(2,"ZERO",0,1,FALSE,"ZERO",1,TRUE,0,0,0))</f>
        <v>#NAME?</v>
      </c>
      <c r="I57" s="954"/>
      <c r="J57" s="953"/>
    </row>
    <row r="58" spans="3:10">
      <c r="C58" s="242">
        <f t="shared" si="0"/>
        <v>8</v>
      </c>
      <c r="D58" s="938" t="e">
        <f ca="1">_xll.fxAct_ax($E$35,$E$35+C58,$E$28,_xll.fxAct_MortalityAdvanced(0,"CPM-2014M",0,1,TRUE,"CPM-B2D(M)",1,FALSE,0,2014,2024,999),"1124",,,,_xll.fxAct_MortalityAdvanced(2,"ZERO",0,1,FALSE,"ZERO",1,TRUE,0,0,0))</f>
        <v>#NAME?</v>
      </c>
      <c r="I58" s="954"/>
      <c r="J58" s="953"/>
    </row>
    <row r="59" spans="3:10">
      <c r="C59" s="242">
        <f t="shared" si="0"/>
        <v>9</v>
      </c>
      <c r="D59" s="938" t="e">
        <f ca="1">_xll.fxAct_ax($E$35,$E$35+C59,$E$28,_xll.fxAct_MortalityAdvanced(0,"CPM-2014M",0,1,TRUE,"CPM-B2D(M)",1,FALSE,0,2014,2024,999),"1124",,,,_xll.fxAct_MortalityAdvanced(2,"ZERO",0,1,FALSE,"ZERO",1,TRUE,0,0,0))</f>
        <v>#NAME?</v>
      </c>
      <c r="I59" s="954"/>
      <c r="J59" s="953"/>
    </row>
    <row r="60" spans="3:10">
      <c r="C60" s="242">
        <f t="shared" si="0"/>
        <v>10</v>
      </c>
      <c r="D60" s="938" t="e">
        <f ca="1">_xll.fxAct_ax($E$35,$E$35+C60,$E$28,_xll.fxAct_MortalityAdvanced(0,"CPM-2014M",0,1,TRUE,"CPM-B2D(M)",1,FALSE,0,2014,2024,999),"1124",,,,_xll.fxAct_MortalityAdvanced(2,"ZERO",0,1,FALSE,"ZERO",1,TRUE,0,0,0))</f>
        <v>#NAME?</v>
      </c>
      <c r="I60" s="954"/>
      <c r="J60" s="953"/>
    </row>
    <row r="61" spans="3:10">
      <c r="C61" s="242">
        <f t="shared" si="0"/>
        <v>11</v>
      </c>
      <c r="D61" s="938" t="e">
        <f ca="1">_xll.fxAct_ax($E$35,$E$35+C61,$E$28,_xll.fxAct_MortalityAdvanced(0,"CPM-2014M",0,1,TRUE,"CPM-B2D(M)",1,FALSE,0,2014,2024,999),"1124",,,,_xll.fxAct_MortalityAdvanced(2,"ZERO",0,1,FALSE,"ZERO",1,TRUE,0,0,0))</f>
        <v>#NAME?</v>
      </c>
      <c r="I61" s="954"/>
      <c r="J61" s="953"/>
    </row>
    <row r="62" spans="3:10">
      <c r="C62" s="242">
        <f t="shared" si="0"/>
        <v>12</v>
      </c>
      <c r="D62" s="938" t="e">
        <f ca="1">_xll.fxAct_ax($E$35,$E$35+C62,$E$28,_xll.fxAct_MortalityAdvanced(0,"CPM-2014M",0,1,TRUE,"CPM-B2D(M)",1,FALSE,0,2014,2024,999),"1124",,,,_xll.fxAct_MortalityAdvanced(2,"ZERO",0,1,FALSE,"ZERO",1,TRUE,0,0,0))</f>
        <v>#NAME?</v>
      </c>
      <c r="I62" s="954"/>
      <c r="J62" s="953"/>
    </row>
    <row r="63" spans="3:10">
      <c r="C63" s="242">
        <f t="shared" si="0"/>
        <v>13</v>
      </c>
      <c r="D63" s="938" t="e">
        <f ca="1">_xll.fxAct_ax($E$35,$E$35+C63,$E$28,_xll.fxAct_MortalityAdvanced(0,"CPM-2014M",0,1,TRUE,"CPM-B2D(M)",1,FALSE,0,2014,2024,999),"1124",,,,_xll.fxAct_MortalityAdvanced(2,"ZERO",0,1,FALSE,"ZERO",1,TRUE,0,0,0))</f>
        <v>#NAME?</v>
      </c>
      <c r="I63" s="954"/>
      <c r="J63" s="953"/>
    </row>
    <row r="64" spans="3:10">
      <c r="C64" s="242">
        <f t="shared" si="0"/>
        <v>14</v>
      </c>
      <c r="D64" s="938" t="e">
        <f ca="1">_xll.fxAct_ax($E$35,$E$35+C64,$E$28,_xll.fxAct_MortalityAdvanced(0,"CPM-2014M",0,1,TRUE,"CPM-B2D(M)",1,FALSE,0,2014,2024,999),"1124",,,,_xll.fxAct_MortalityAdvanced(2,"ZERO",0,1,FALSE,"ZERO",1,TRUE,0,0,0))</f>
        <v>#NAME?</v>
      </c>
      <c r="I64" s="954"/>
      <c r="J64" s="953"/>
    </row>
    <row r="65" spans="3:25">
      <c r="C65" s="242">
        <f t="shared" si="0"/>
        <v>15</v>
      </c>
      <c r="D65" s="938" t="e">
        <f ca="1">_xll.fxAct_ax($E$35,$E$35+C65,$E$28,_xll.fxAct_MortalityAdvanced(0,"CPM-2014M",0,1,TRUE,"CPM-B2D(M)",1,FALSE,0,2014,2024,999),"1124",,,,_xll.fxAct_MortalityAdvanced(2,"ZERO",0,1,FALSE,"ZERO",1,TRUE,0,0,0))</f>
        <v>#NAME?</v>
      </c>
      <c r="I65" s="954"/>
      <c r="J65" s="953"/>
    </row>
    <row r="66" spans="3:25">
      <c r="I66" s="954"/>
      <c r="J66" s="953"/>
    </row>
    <row r="67" spans="3:25">
      <c r="C67" s="32" t="s">
        <v>1161</v>
      </c>
      <c r="I67" s="954"/>
      <c r="J67" s="953"/>
    </row>
    <row r="68" spans="3:25">
      <c r="C68" s="248" t="s">
        <v>415</v>
      </c>
      <c r="D68" s="248" t="s">
        <v>1160</v>
      </c>
      <c r="E68" s="248" t="s">
        <v>415</v>
      </c>
      <c r="F68" s="248" t="s">
        <v>1159</v>
      </c>
      <c r="I68" s="954"/>
      <c r="J68" s="953"/>
    </row>
    <row r="69" spans="3:25">
      <c r="C69" s="242">
        <v>0</v>
      </c>
      <c r="D69" s="938" t="e">
        <f ca="1">_xll.fxAct_ax($E$35,$E$35+C69,_xll.fxAct_InterestSelectCurrent(4.5%,1,10,4%),_xll.fxAct_MortalityAdvanced(0,"CPM-2014M",0,1,TRUE,"CPM-B2D(M)",1,FALSE,0,2014,2024,999),"1124",,,,_xll.fxAct_MortalityAdvanced(2,"ZERO",0,1,FALSE,"ZERO",1,TRUE,0,0,0))</f>
        <v>#NAME?</v>
      </c>
      <c r="E69" s="242">
        <v>0</v>
      </c>
      <c r="F69" s="938" t="e">
        <f ca="1">_xll.fxAct_ax($F$35,$F$35+E69,_xll.fxAct_InterestSelectCurrent(4.5%,1,10,4%),_xll.fxAct_MortalityAdvanced(0,"CPM-2014M",0,1,TRUE,"CPM-B2D(M)",1,FALSE,0,2014,2024,999),"1124",,,,_xll.fxAct_MortalityAdvanced(2,"ZERO",0,1,FALSE,"ZERO",1,TRUE,0,0,0))</f>
        <v>#NAME?</v>
      </c>
      <c r="I69" s="954"/>
      <c r="J69" s="953"/>
    </row>
    <row r="70" spans="3:25">
      <c r="C70" s="242">
        <v>1</v>
      </c>
      <c r="D70" s="938" t="e">
        <f ca="1">_xll.fxAct_ax($E$35,$E$35+C70,_xll.fxAct_InterestSelectCurrent(4.5%,1,10,4%),_xll.fxAct_MortalityAdvanced(0,"CPM-2014M",0,1,TRUE,"CPM-B2D(M)",1,FALSE,0,2014,2024,999),"1124",,,,_xll.fxAct_MortalityAdvanced(2,"ZERO",0,1,FALSE,"ZERO",1,TRUE,0,0,0))</f>
        <v>#NAME?</v>
      </c>
      <c r="E70" s="242">
        <v>1</v>
      </c>
      <c r="F70" s="938" t="e">
        <f ca="1">_xll.fxAct_ax($F$35,$F$35+E70,_xll.fxAct_InterestSelectCurrent(4.5%,1,10,4%),_xll.fxAct_MortalityAdvanced(0,"CPM-2014M",0,1,TRUE,"CPM-B2D(M)",1,FALSE,0,2014,2024,999),"1124",,,,_xll.fxAct_MortalityAdvanced(2,"ZERO",0,1,FALSE,"ZERO",1,TRUE,0,0,0))</f>
        <v>#NAME?</v>
      </c>
      <c r="I70" s="954"/>
      <c r="J70" s="953"/>
    </row>
    <row r="71" spans="3:25">
      <c r="C71" s="242">
        <v>2</v>
      </c>
      <c r="D71" s="938" t="e">
        <f ca="1">_xll.fxAct_ax($E$35,$E$35+C71,_xll.fxAct_InterestSelectCurrent(4.5%,1,10,4%),_xll.fxAct_MortalityAdvanced(0,"CPM-2014M",0,1,TRUE,"CPM-B2D(M)",1,FALSE,0,2014,2024,999),"1124",,,,_xll.fxAct_MortalityAdvanced(2,"ZERO",0,1,FALSE,"ZERO",1,TRUE,0,0,0))</f>
        <v>#NAME?</v>
      </c>
      <c r="E71" s="242">
        <v>2</v>
      </c>
      <c r="F71" s="938" t="e">
        <f ca="1">_xll.fxAct_ax($F$35,$F$35+E71,_xll.fxAct_InterestSelectCurrent(4.5%,1,10,4%),_xll.fxAct_MortalityAdvanced(0,"CPM-2014M",0,1,TRUE,"CPM-B2D(M)",1,FALSE,0,2014,2024,999),"1124",,,,_xll.fxAct_MortalityAdvanced(2,"ZERO",0,1,FALSE,"ZERO",1,TRUE,0,0,0))</f>
        <v>#NAME?</v>
      </c>
      <c r="I71" s="954"/>
      <c r="J71" s="953"/>
    </row>
    <row r="72" spans="3:25">
      <c r="C72" s="242">
        <v>3</v>
      </c>
      <c r="D72" s="938" t="e">
        <f ca="1">_xll.fxAct_ax($E$35,$E$35+C72,_xll.fxAct_InterestSelectCurrent(4.5%,1,10,4%),_xll.fxAct_MortalityAdvanced(0,"CPM-2014M",0,1,TRUE,"CPM-B2D(M)",1,FALSE,0,2014,2024,999),"1124",,,,_xll.fxAct_MortalityAdvanced(2,"ZERO",0,1,FALSE,"ZERO",1,TRUE,0,0,0))</f>
        <v>#NAME?</v>
      </c>
      <c r="E72" s="242">
        <v>3</v>
      </c>
      <c r="F72" s="938" t="e">
        <f ca="1">_xll.fxAct_ax($F$35,$F$35+E72,_xll.fxAct_InterestSelectCurrent(4.5%,1,10,4%),_xll.fxAct_MortalityAdvanced(0,"CPM-2014M",0,1,TRUE,"CPM-B2D(M)",1,FALSE,0,2014,2024,999),"1124",,,,_xll.fxAct_MortalityAdvanced(2,"ZERO",0,1,FALSE,"ZERO",1,TRUE,0,0,0))</f>
        <v>#NAME?</v>
      </c>
    </row>
    <row r="73" spans="3:25">
      <c r="C73" s="242">
        <v>4</v>
      </c>
      <c r="D73" s="938" t="e">
        <f ca="1">_xll.fxAct_ax($E$35,$E$35+C73,_xll.fxAct_InterestSelectCurrent(4.5%,1,10,4%),_xll.fxAct_MortalityAdvanced(0,"CPM-2014M",0,1,TRUE,"CPM-B2D(M)",1,FALSE,0,2014,2024,999),"1124",,,,_xll.fxAct_MortalityAdvanced(2,"ZERO",0,1,FALSE,"ZERO",1,TRUE,0,0,0))</f>
        <v>#NAME?</v>
      </c>
      <c r="E73" s="242">
        <v>4</v>
      </c>
      <c r="F73" s="938" t="e">
        <f ca="1">_xll.fxAct_ax($F$35,$F$35+E73,_xll.fxAct_InterestSelectCurrent(4.5%,1,10,4%),_xll.fxAct_MortalityAdvanced(0,"CPM-2014M",0,1,TRUE,"CPM-B2D(M)",1,FALSE,0,2014,2024,999),"1124",,,,_xll.fxAct_MortalityAdvanced(2,"ZERO",0,1,FALSE,"ZERO",1,TRUE,0,0,0))</f>
        <v>#NAME?</v>
      </c>
    </row>
    <row r="74" spans="3:25">
      <c r="C74" s="242">
        <f t="shared" ref="C74:C84" si="1">C73+1</f>
        <v>5</v>
      </c>
      <c r="D74" s="938" t="e">
        <f ca="1">_xll.fxAct_ax($E$35,$E$35+C74,_xll.fxAct_InterestSelectCurrent(4.5%,1,10,4%),_xll.fxAct_MortalityAdvanced(0,"CPM-2014M",0,1,TRUE,"CPM-B2D(M)",1,FALSE,0,2014,2024,999),"1124",,,,_xll.fxAct_MortalityAdvanced(2,"ZERO",0,1,FALSE,"ZERO",1,TRUE,0,0,0))</f>
        <v>#NAME?</v>
      </c>
      <c r="E74" s="242">
        <f>E73+1</f>
        <v>5</v>
      </c>
      <c r="F74" s="938" t="e">
        <f ca="1">_xll.fxAct_ax($F$35,$F$35+E74,_xll.fxAct_InterestSelectCurrent(4.5%,1,10,4%),_xll.fxAct_MortalityAdvanced(0,"CPM-2014M",0,1,TRUE,"CPM-B2D(M)",1,FALSE,0,2014,2024,999),"1124",,,,_xll.fxAct_MortalityAdvanced(2,"ZERO",0,1,FALSE,"ZERO",1,TRUE,0,0,0))</f>
        <v>#NAME?</v>
      </c>
    </row>
    <row r="75" spans="3:25">
      <c r="C75" s="242">
        <f t="shared" si="1"/>
        <v>6</v>
      </c>
      <c r="D75" s="938" t="e">
        <f ca="1">_xll.fxAct_ax($E$35,$E$35+C75,_xll.fxAct_InterestSelectCurrent(4.5%,1,10,4%),_xll.fxAct_MortalityAdvanced(0,"CPM-2014M",0,1,TRUE,"CPM-B2D(M)",1,FALSE,0,2014,2024,999),"1124",,,,_xll.fxAct_MortalityAdvanced(2,"ZERO",0,1,FALSE,"ZERO",1,TRUE,0,0,0))</f>
        <v>#NAME?</v>
      </c>
      <c r="E75" s="242">
        <f>E74+1</f>
        <v>6</v>
      </c>
      <c r="F75" s="938" t="e">
        <f ca="1">_xll.fxAct_ax($F$35,$F$35+E75,_xll.fxAct_InterestSelectCurrent(4.5%,1,10,4%),_xll.fxAct_MortalityAdvanced(0,"CPM-2014M",0,1,TRUE,"CPM-B2D(M)",1,FALSE,0,2014,2024,999),"1124",,,,_xll.fxAct_MortalityAdvanced(2,"ZERO",0,1,FALSE,"ZERO",1,TRUE,0,0,0))</f>
        <v>#NAME?</v>
      </c>
      <c r="I75" s="61"/>
      <c r="K75" s="895" t="s">
        <v>1276</v>
      </c>
    </row>
    <row r="76" spans="3:25" ht="16.2" thickBot="1">
      <c r="C76" s="242">
        <f t="shared" si="1"/>
        <v>7</v>
      </c>
      <c r="D76" s="938" t="e">
        <f ca="1">_xll.fxAct_ax($E$35,$E$35+C76,_xll.fxAct_InterestSelectCurrent(4.5%,1,10,4%),_xll.fxAct_MortalityAdvanced(0,"CPM-2014M",0,1,TRUE,"CPM-B2D(M)",1,FALSE,0,2014,2024,999),"1124",,,,_xll.fxAct_MortalityAdvanced(2,"ZERO",0,1,FALSE,"ZERO",1,TRUE,0,0,0))</f>
        <v>#NAME?</v>
      </c>
      <c r="E76" s="242">
        <f>E75+1</f>
        <v>7</v>
      </c>
      <c r="F76" s="938" t="e">
        <f ca="1">_xll.fxAct_ax($F$35,$F$35+E76,_xll.fxAct_InterestSelectCurrent(4.5%,1,10,4%),_xll.fxAct_MortalityAdvanced(0,"CPM-2014M",0,1,TRUE,"CPM-B2D(M)",1,FALSE,0,2014,2024,999),"1124",,,,_xll.fxAct_MortalityAdvanced(2,"ZERO",0,1,FALSE,"ZERO",1,TRUE,0,0,0))</f>
        <v>#NAME?</v>
      </c>
      <c r="I76" s="922"/>
    </row>
    <row r="77" spans="3:25">
      <c r="C77" s="242">
        <f t="shared" si="1"/>
        <v>8</v>
      </c>
      <c r="D77" s="938" t="e">
        <f ca="1">_xll.fxAct_ax($E$35,$E$35+C77,_xll.fxAct_InterestSelectCurrent(4.5%,1,10,4%),_xll.fxAct_MortalityAdvanced(0,"CPM-2014M",0,1,TRUE,"CPM-B2D(M)",1,FALSE,0,2014,2024,999),"1124",,,,_xll.fxAct_MortalityAdvanced(2,"ZERO",0,1,FALSE,"ZERO",1,TRUE,0,0,0))</f>
        <v>#NAME?</v>
      </c>
      <c r="I77" s="936"/>
      <c r="K77" s="952" t="s">
        <v>96</v>
      </c>
      <c r="L77" s="951"/>
      <c r="M77" s="950"/>
      <c r="N77" s="950" t="s">
        <v>1275</v>
      </c>
      <c r="O77" s="949" t="e">
        <f ca="1">MAX(P85)</f>
        <v>#NAME?</v>
      </c>
      <c r="P77" s="948"/>
      <c r="Q77" s="947"/>
      <c r="S77" s="952" t="s">
        <v>66</v>
      </c>
      <c r="T77" s="951"/>
      <c r="U77" s="950"/>
      <c r="V77" s="950" t="s">
        <v>1275</v>
      </c>
      <c r="W77" s="949" t="e">
        <f ca="1">MAX(X85:X92)</f>
        <v>#NAME?</v>
      </c>
      <c r="X77" s="948"/>
      <c r="Y77" s="947"/>
    </row>
    <row r="78" spans="3:25">
      <c r="C78" s="242">
        <f t="shared" si="1"/>
        <v>9</v>
      </c>
      <c r="D78" s="938" t="e">
        <f ca="1">_xll.fxAct_ax($E$35,$E$35+C78,_xll.fxAct_InterestSelectCurrent(4.5%,1,10,4%),_xll.fxAct_MortalityAdvanced(0,"CPM-2014M",0,1,TRUE,"CPM-B2D(M)",1,FALSE,0,2014,2024,999),"1124",,,,_xll.fxAct_MortalityAdvanced(2,"ZERO",0,1,FALSE,"ZERO",1,TRUE,0,0,0))</f>
        <v>#NAME?</v>
      </c>
      <c r="I78" s="936"/>
      <c r="K78" s="935"/>
      <c r="L78" s="920"/>
      <c r="M78" s="920"/>
      <c r="N78" s="920" t="s">
        <v>1274</v>
      </c>
      <c r="O78" s="946" t="e">
        <f ca="1">MAX(Q85)</f>
        <v>#NAME?</v>
      </c>
      <c r="P78" s="940"/>
      <c r="Q78" s="939"/>
      <c r="S78" s="935"/>
      <c r="T78" s="920"/>
      <c r="U78" s="920"/>
      <c r="V78" s="920" t="s">
        <v>1274</v>
      </c>
      <c r="W78" s="946" t="e">
        <f ca="1">MAX(Y85:Y92)</f>
        <v>#NAME?</v>
      </c>
      <c r="X78" s="940"/>
      <c r="Y78" s="939"/>
    </row>
    <row r="79" spans="3:25">
      <c r="C79" s="242">
        <f t="shared" si="1"/>
        <v>10</v>
      </c>
      <c r="D79" s="938" t="e">
        <f ca="1">_xll.fxAct_ax($E$35,$E$35+C79,_xll.fxAct_InterestSelectCurrent(4.5%,1,10,4%),_xll.fxAct_MortalityAdvanced(0,"CPM-2014M",0,1,TRUE,"CPM-B2D(M)",1,FALSE,0,2014,2024,999),"1124",,,,_xll.fxAct_MortalityAdvanced(2,"ZERO",0,1,FALSE,"ZERO",1,TRUE,0,0,0))</f>
        <v>#NAME?</v>
      </c>
      <c r="I79" s="936"/>
      <c r="K79" s="935" t="s">
        <v>1144</v>
      </c>
      <c r="L79" s="925">
        <f>AVERAGE(E36:E38)</f>
        <v>58000</v>
      </c>
      <c r="M79" s="920"/>
      <c r="N79" s="920" t="s">
        <v>1273</v>
      </c>
      <c r="O79" s="945" t="e">
        <f ca="1">Q85</f>
        <v>#NAME?</v>
      </c>
      <c r="P79" s="920"/>
      <c r="Q79" s="939"/>
      <c r="S79" s="935" t="s">
        <v>1144</v>
      </c>
      <c r="T79" s="920">
        <f>AVERAGE(F36:F38)</f>
        <v>97000</v>
      </c>
      <c r="U79" s="920"/>
      <c r="V79" s="920" t="s">
        <v>1273</v>
      </c>
      <c r="W79" s="945" t="e">
        <f ca="1">Y87</f>
        <v>#NAME?</v>
      </c>
      <c r="X79" s="920"/>
      <c r="Y79" s="939"/>
    </row>
    <row r="80" spans="3:25">
      <c r="C80" s="242">
        <f t="shared" si="1"/>
        <v>11</v>
      </c>
      <c r="D80" s="938" t="e">
        <f ca="1">_xll.fxAct_ax($E$35,$E$35+C80,_xll.fxAct_InterestSelectCurrent(4.5%,1,10,4%),_xll.fxAct_MortalityAdvanced(0,"CPM-2014M",0,1,TRUE,"CPM-B2D(M)",1,FALSE,0,2014,2024,999),"1124",,,,_xll.fxAct_MortalityAdvanced(2,"ZERO",0,1,FALSE,"ZERO",1,TRUE,0,0,0))</f>
        <v>#NAME?</v>
      </c>
      <c r="I80" s="936"/>
      <c r="K80" s="935" t="s">
        <v>1272</v>
      </c>
      <c r="L80" s="925">
        <f>E44</f>
        <v>66667</v>
      </c>
      <c r="M80" s="920"/>
      <c r="N80" s="920" t="s">
        <v>1271</v>
      </c>
      <c r="O80" s="944" t="e">
        <f ca="1">AVERAGE(O78:O79)</f>
        <v>#NAME?</v>
      </c>
      <c r="P80" s="940"/>
      <c r="Q80" s="939"/>
      <c r="S80" s="935" t="s">
        <v>1272</v>
      </c>
      <c r="T80" s="925">
        <f>E44</f>
        <v>66667</v>
      </c>
      <c r="U80" s="920"/>
      <c r="V80" s="920" t="s">
        <v>1271</v>
      </c>
      <c r="W80" s="944" t="e">
        <f ca="1">AVERAGE(W78:W79)</f>
        <v>#NAME?</v>
      </c>
      <c r="X80" s="940"/>
      <c r="Y80" s="939"/>
    </row>
    <row r="81" spans="2:25">
      <c r="C81" s="242">
        <f t="shared" si="1"/>
        <v>12</v>
      </c>
      <c r="D81" s="938" t="e">
        <f ca="1">_xll.fxAct_ax($E$35,$E$35+C81,_xll.fxAct_InterestSelectCurrent(4.5%,1,10,4%),_xll.fxAct_MortalityAdvanced(0,"CPM-2014M",0,1,TRUE,"CPM-B2D(M)",1,FALSE,0,2014,2024,999),"1124",,,,_xll.fxAct_MortalityAdvanced(2,"ZERO",0,1,FALSE,"ZERO",1,TRUE,0,0,0))</f>
        <v>#NAME?</v>
      </c>
      <c r="I81" s="61"/>
      <c r="K81" s="935" t="s">
        <v>1270</v>
      </c>
      <c r="L81" s="943">
        <f>(MIN(L79,L80)*1%+MAX(0,L79-L80)*1.5%)*E39</f>
        <v>1740</v>
      </c>
      <c r="M81" s="920"/>
      <c r="N81" s="920" t="s">
        <v>1269</v>
      </c>
      <c r="O81" s="942">
        <f>IF(E35&gt;=55,100%,0)</f>
        <v>0</v>
      </c>
      <c r="Q81" s="939"/>
      <c r="S81" s="935" t="s">
        <v>1270</v>
      </c>
      <c r="T81" s="943">
        <f>(MIN(T79,T80)*1%+MAX(0,T79-T80)*1.5%)*F39</f>
        <v>12338.314999999999</v>
      </c>
      <c r="U81" s="920"/>
      <c r="V81" s="920" t="s">
        <v>1269</v>
      </c>
      <c r="W81" s="942">
        <f>IF(F35&gt;=55,75%,0)</f>
        <v>0.75</v>
      </c>
      <c r="Y81" s="939"/>
    </row>
    <row r="82" spans="2:25">
      <c r="C82" s="242">
        <f t="shared" si="1"/>
        <v>13</v>
      </c>
      <c r="D82" s="938" t="e">
        <f ca="1">_xll.fxAct_ax($E$35,$E$35+C82,_xll.fxAct_InterestSelectCurrent(4.5%,1,10,4%),_xll.fxAct_MortalityAdvanced(0,"CPM-2014M",0,1,TRUE,"CPM-B2D(M)",1,FALSE,0,2014,2024,999),"1124",,,,_xll.fxAct_MortalityAdvanced(2,"ZERO",0,1,FALSE,"ZERO",1,TRUE,0,0,0))</f>
        <v>#NAME?</v>
      </c>
      <c r="I82" s="922"/>
      <c r="K82" s="935" t="s">
        <v>1268</v>
      </c>
      <c r="L82" s="920" t="str">
        <f>IF(E35+E39&gt;55,"Y","N")</f>
        <v>N</v>
      </c>
      <c r="M82" s="920"/>
      <c r="N82" s="920" t="s">
        <v>1259</v>
      </c>
      <c r="O82" s="941" t="e">
        <f ca="1">O81*O77+(1-O81)*O80</f>
        <v>#NAME?</v>
      </c>
      <c r="P82" s="940"/>
      <c r="Q82" s="939"/>
      <c r="S82" s="935" t="s">
        <v>1268</v>
      </c>
      <c r="T82" s="920" t="str">
        <f>IF(F35+F39&gt;55,"Y","N")</f>
        <v>Y</v>
      </c>
      <c r="U82" s="920"/>
      <c r="V82" s="920" t="s">
        <v>1259</v>
      </c>
      <c r="W82" s="941" t="e">
        <f ca="1">W81*W77+(1-W81)*W80</f>
        <v>#NAME?</v>
      </c>
      <c r="X82" s="940"/>
      <c r="Y82" s="939"/>
    </row>
    <row r="83" spans="2:25">
      <c r="C83" s="242">
        <f t="shared" si="1"/>
        <v>14</v>
      </c>
      <c r="D83" s="938" t="e">
        <f ca="1">_xll.fxAct_ax($E$35,$E$35+C83,_xll.fxAct_InterestSelectCurrent(4.5%,1,10,4%),_xll.fxAct_MortalityAdvanced(0,"CPM-2014M",0,1,TRUE,"CPM-B2D(M)",1,FALSE,0,2014,2024,999),"1124",,,,_xll.fxAct_MortalityAdvanced(2,"ZERO",0,1,FALSE,"ZERO",1,TRUE,0,0,0))</f>
        <v>#NAME?</v>
      </c>
      <c r="I83" s="936"/>
      <c r="K83" s="935"/>
      <c r="L83" s="920"/>
      <c r="M83" s="920"/>
      <c r="N83" s="920"/>
      <c r="O83" s="920"/>
      <c r="P83" s="920"/>
      <c r="Q83" s="937"/>
      <c r="S83" s="935"/>
      <c r="T83" s="920"/>
      <c r="U83" s="920"/>
      <c r="V83" s="920"/>
      <c r="W83" s="920"/>
      <c r="X83" s="920"/>
      <c r="Y83" s="937"/>
    </row>
    <row r="84" spans="2:25">
      <c r="C84" s="242">
        <f t="shared" si="1"/>
        <v>15</v>
      </c>
      <c r="D84" s="938" t="e">
        <f ca="1">_xll.fxAct_ax($E$35,$E$35+C84,_xll.fxAct_InterestSelectCurrent(4.5%,1,10,4%),_xll.fxAct_MortalityAdvanced(0,"CPM-2014M",0,1,TRUE,"CPM-B2D(M)",1,FALSE,0,2014,2024,999),"1124",,,,_xll.fxAct_MortalityAdvanced(2,"ZERO",0,1,FALSE,"ZERO",1,TRUE,0,0,0))</f>
        <v>#NAME?</v>
      </c>
      <c r="E84" s="883"/>
      <c r="F84" s="883"/>
      <c r="G84" s="883"/>
      <c r="I84" s="936"/>
      <c r="K84" s="935" t="s">
        <v>252</v>
      </c>
      <c r="L84" s="920" t="s">
        <v>1112</v>
      </c>
      <c r="M84" s="920" t="s">
        <v>1129</v>
      </c>
      <c r="N84" s="920" t="s">
        <v>1267</v>
      </c>
      <c r="O84" s="920" t="s">
        <v>1266</v>
      </c>
      <c r="P84" s="920" t="s">
        <v>1265</v>
      </c>
      <c r="Q84" s="937" t="s">
        <v>1264</v>
      </c>
      <c r="S84" s="935" t="s">
        <v>252</v>
      </c>
      <c r="T84" s="920" t="s">
        <v>1112</v>
      </c>
      <c r="U84" s="920" t="s">
        <v>1129</v>
      </c>
      <c r="V84" s="920" t="s">
        <v>1267</v>
      </c>
      <c r="W84" s="920" t="s">
        <v>1266</v>
      </c>
      <c r="X84" s="920" t="s">
        <v>1265</v>
      </c>
      <c r="Y84" s="937" t="s">
        <v>1264</v>
      </c>
    </row>
    <row r="85" spans="2:25" ht="16.2" thickBot="1">
      <c r="I85" s="936"/>
      <c r="K85" s="930">
        <v>65</v>
      </c>
      <c r="L85" s="929">
        <v>1</v>
      </c>
      <c r="M85" s="927">
        <f>L85*$L$81</f>
        <v>1740</v>
      </c>
      <c r="N85" s="928" t="e">
        <f ca="1">D65</f>
        <v>#NAME?</v>
      </c>
      <c r="O85" s="928" t="e">
        <f ca="1">D84</f>
        <v>#NAME?</v>
      </c>
      <c r="P85" s="927" t="e">
        <f ca="1">M85*N85</f>
        <v>#NAME?</v>
      </c>
      <c r="Q85" s="926" t="e">
        <f ca="1">M85*O85</f>
        <v>#NAME?</v>
      </c>
      <c r="S85" s="935">
        <f>F35</f>
        <v>58</v>
      </c>
      <c r="T85" s="934">
        <f>T86-6%</f>
        <v>0.87999999999999989</v>
      </c>
      <c r="U85" s="931">
        <f t="shared" ref="U85:U92" si="2">T85*$T$81</f>
        <v>10857.717199999997</v>
      </c>
      <c r="V85" s="932" t="e">
        <f t="shared" ref="V85:V92" ca="1" si="3">F50</f>
        <v>#NAME?</v>
      </c>
      <c r="W85" s="932" t="e">
        <f t="shared" ref="W85:W92" ca="1" si="4">F69</f>
        <v>#NAME?</v>
      </c>
      <c r="X85" s="931" t="e">
        <f t="shared" ref="X85:X92" ca="1" si="5">U85*V85</f>
        <v>#NAME?</v>
      </c>
      <c r="Y85" s="933" t="e">
        <f t="shared" ref="Y85:Y92" ca="1" si="6">U85*W85</f>
        <v>#NAME?</v>
      </c>
    </row>
    <row r="86" spans="2:25">
      <c r="B86" s="2" t="s">
        <v>26</v>
      </c>
      <c r="C86" s="2" t="s">
        <v>1263</v>
      </c>
      <c r="D86" s="1" t="s">
        <v>1189</v>
      </c>
      <c r="I86" s="936"/>
      <c r="K86" s="920"/>
      <c r="L86" s="919"/>
      <c r="M86" s="931"/>
      <c r="N86" s="932"/>
      <c r="O86" s="932"/>
      <c r="P86" s="931"/>
      <c r="Q86" s="931"/>
      <c r="S86" s="935">
        <f t="shared" ref="S86:S92" si="7">+S85+1</f>
        <v>59</v>
      </c>
      <c r="T86" s="934">
        <f>1-6%</f>
        <v>0.94</v>
      </c>
      <c r="U86" s="931">
        <f t="shared" si="2"/>
        <v>11598.016099999999</v>
      </c>
      <c r="V86" s="932" t="e">
        <f t="shared" ca="1" si="3"/>
        <v>#NAME?</v>
      </c>
      <c r="W86" s="932" t="e">
        <f t="shared" ca="1" si="4"/>
        <v>#NAME?</v>
      </c>
      <c r="X86" s="931" t="e">
        <f t="shared" ca="1" si="5"/>
        <v>#NAME?</v>
      </c>
      <c r="Y86" s="933" t="e">
        <f t="shared" ca="1" si="6"/>
        <v>#NAME?</v>
      </c>
    </row>
    <row r="87" spans="2:25">
      <c r="C87" s="5"/>
      <c r="I87" s="61"/>
      <c r="K87" s="920" t="s">
        <v>1262</v>
      </c>
      <c r="L87" s="920"/>
      <c r="N87" s="925">
        <f>E42</f>
        <v>200000</v>
      </c>
      <c r="O87" s="932"/>
      <c r="P87" s="931"/>
      <c r="Q87" s="931"/>
      <c r="S87" s="935">
        <f t="shared" si="7"/>
        <v>60</v>
      </c>
      <c r="T87" s="934">
        <v>1</v>
      </c>
      <c r="U87" s="931">
        <f t="shared" si="2"/>
        <v>12338.314999999999</v>
      </c>
      <c r="V87" s="932" t="e">
        <f t="shared" ca="1" si="3"/>
        <v>#NAME?</v>
      </c>
      <c r="W87" s="932" t="e">
        <f t="shared" ca="1" si="4"/>
        <v>#NAME?</v>
      </c>
      <c r="X87" s="931" t="e">
        <f t="shared" ca="1" si="5"/>
        <v>#NAME?</v>
      </c>
      <c r="Y87" s="933" t="e">
        <f t="shared" ca="1" si="6"/>
        <v>#NAME?</v>
      </c>
    </row>
    <row r="88" spans="2:25">
      <c r="C88" s="5"/>
      <c r="D88" s="2" t="s">
        <v>1188</v>
      </c>
      <c r="I88" s="61"/>
      <c r="K88" s="920" t="s">
        <v>1261</v>
      </c>
      <c r="L88" s="920"/>
      <c r="N88" s="925">
        <f>-E30</f>
        <v>-50000</v>
      </c>
      <c r="O88" s="932"/>
      <c r="P88" s="931"/>
      <c r="Q88" s="931"/>
      <c r="S88" s="935">
        <f t="shared" si="7"/>
        <v>61</v>
      </c>
      <c r="T88" s="934">
        <v>1</v>
      </c>
      <c r="U88" s="931">
        <f t="shared" si="2"/>
        <v>12338.314999999999</v>
      </c>
      <c r="V88" s="932" t="e">
        <f t="shared" ca="1" si="3"/>
        <v>#NAME?</v>
      </c>
      <c r="W88" s="932" t="e">
        <f t="shared" ca="1" si="4"/>
        <v>#NAME?</v>
      </c>
      <c r="X88" s="931" t="e">
        <f t="shared" ca="1" si="5"/>
        <v>#NAME?</v>
      </c>
      <c r="Y88" s="933" t="e">
        <f t="shared" ca="1" si="6"/>
        <v>#NAME?</v>
      </c>
    </row>
    <row r="89" spans="2:25" ht="15.6" customHeight="1">
      <c r="C89" s="5"/>
      <c r="D89" s="1629" t="s">
        <v>29</v>
      </c>
      <c r="E89" s="1630"/>
      <c r="F89" s="1630"/>
      <c r="G89" s="1630"/>
      <c r="H89" s="1631"/>
      <c r="I89" s="922"/>
      <c r="K89" s="920" t="s">
        <v>1260</v>
      </c>
      <c r="L89" s="920"/>
      <c r="N89" s="923">
        <f>N87+N88</f>
        <v>150000</v>
      </c>
      <c r="O89" s="932"/>
      <c r="P89" s="931"/>
      <c r="Q89" s="931"/>
      <c r="S89" s="935">
        <f t="shared" si="7"/>
        <v>62</v>
      </c>
      <c r="T89" s="934">
        <v>1</v>
      </c>
      <c r="U89" s="931">
        <f t="shared" si="2"/>
        <v>12338.314999999999</v>
      </c>
      <c r="V89" s="932" t="e">
        <f t="shared" ca="1" si="3"/>
        <v>#NAME?</v>
      </c>
      <c r="W89" s="932" t="e">
        <f t="shared" ca="1" si="4"/>
        <v>#NAME?</v>
      </c>
      <c r="X89" s="931" t="e">
        <f t="shared" ca="1" si="5"/>
        <v>#NAME?</v>
      </c>
      <c r="Y89" s="933" t="e">
        <f t="shared" ca="1" si="6"/>
        <v>#NAME?</v>
      </c>
    </row>
    <row r="90" spans="2:25">
      <c r="C90" s="5"/>
      <c r="D90" s="1632"/>
      <c r="E90" s="1633"/>
      <c r="F90" s="1633"/>
      <c r="G90" s="1633"/>
      <c r="H90" s="1634"/>
      <c r="I90" s="922"/>
      <c r="O90" s="932"/>
      <c r="P90" s="931"/>
      <c r="Q90" s="931"/>
      <c r="S90" s="935">
        <f t="shared" si="7"/>
        <v>63</v>
      </c>
      <c r="T90" s="934">
        <v>1</v>
      </c>
      <c r="U90" s="931">
        <f t="shared" si="2"/>
        <v>12338.314999999999</v>
      </c>
      <c r="V90" s="932" t="e">
        <f t="shared" ca="1" si="3"/>
        <v>#NAME?</v>
      </c>
      <c r="W90" s="932" t="e">
        <f t="shared" ca="1" si="4"/>
        <v>#NAME?</v>
      </c>
      <c r="X90" s="931" t="e">
        <f t="shared" ca="1" si="5"/>
        <v>#NAME?</v>
      </c>
      <c r="Y90" s="933" t="e">
        <f t="shared" ca="1" si="6"/>
        <v>#NAME?</v>
      </c>
    </row>
    <row r="91" spans="2:25">
      <c r="C91" s="5"/>
      <c r="I91" s="922"/>
      <c r="K91" s="920" t="s">
        <v>1259</v>
      </c>
      <c r="L91" s="919"/>
      <c r="N91" s="925"/>
      <c r="O91" s="932"/>
      <c r="P91" s="931"/>
      <c r="Q91" s="931"/>
      <c r="S91" s="935">
        <f t="shared" si="7"/>
        <v>64</v>
      </c>
      <c r="T91" s="934">
        <v>1</v>
      </c>
      <c r="U91" s="931">
        <f t="shared" si="2"/>
        <v>12338.314999999999</v>
      </c>
      <c r="V91" s="932" t="e">
        <f t="shared" ca="1" si="3"/>
        <v>#NAME?</v>
      </c>
      <c r="W91" s="932" t="e">
        <f t="shared" ca="1" si="4"/>
        <v>#NAME?</v>
      </c>
      <c r="X91" s="931" t="e">
        <f t="shared" ca="1" si="5"/>
        <v>#NAME?</v>
      </c>
      <c r="Y91" s="933" t="e">
        <f t="shared" ca="1" si="6"/>
        <v>#NAME?</v>
      </c>
    </row>
    <row r="92" spans="2:25" ht="16.2" thickBot="1">
      <c r="D92" s="1"/>
      <c r="I92" s="922"/>
      <c r="K92" s="920" t="s">
        <v>96</v>
      </c>
      <c r="L92" s="919"/>
      <c r="N92" s="925" t="e">
        <f ca="1">O82</f>
        <v>#NAME?</v>
      </c>
      <c r="O92" s="932"/>
      <c r="P92" s="931"/>
      <c r="Q92" s="931"/>
      <c r="S92" s="930">
        <f t="shared" si="7"/>
        <v>65</v>
      </c>
      <c r="T92" s="929">
        <v>1</v>
      </c>
      <c r="U92" s="927">
        <f t="shared" si="2"/>
        <v>12338.314999999999</v>
      </c>
      <c r="V92" s="928" t="e">
        <f t="shared" ca="1" si="3"/>
        <v>#NAME?</v>
      </c>
      <c r="W92" s="928" t="e">
        <f t="shared" ca="1" si="4"/>
        <v>#NAME?</v>
      </c>
      <c r="X92" s="927" t="e">
        <f t="shared" ca="1" si="5"/>
        <v>#NAME?</v>
      </c>
      <c r="Y92" s="926" t="e">
        <f t="shared" ca="1" si="6"/>
        <v>#NAME?</v>
      </c>
    </row>
    <row r="93" spans="2:25">
      <c r="D93" s="1"/>
      <c r="I93" s="922"/>
      <c r="K93" s="920" t="s">
        <v>66</v>
      </c>
      <c r="L93" s="919"/>
      <c r="N93" s="925" t="e">
        <f ca="1">W82</f>
        <v>#NAME?</v>
      </c>
    </row>
    <row r="94" spans="2:25">
      <c r="D94" s="1"/>
      <c r="K94" s="920" t="s">
        <v>347</v>
      </c>
      <c r="L94" s="919"/>
      <c r="N94" s="923" t="e">
        <f ca="1">SUM(N92:N93)</f>
        <v>#NAME?</v>
      </c>
    </row>
    <row r="95" spans="2:25">
      <c r="D95" s="1"/>
      <c r="J95" s="924"/>
    </row>
    <row r="96" spans="2:25">
      <c r="D96" s="1"/>
      <c r="K96" s="920" t="s">
        <v>1258</v>
      </c>
      <c r="N96" s="923" t="e">
        <f ca="1">N89-N94</f>
        <v>#NAME?</v>
      </c>
    </row>
    <row r="97" spans="2:12">
      <c r="D97" s="1"/>
    </row>
    <row r="98" spans="2:12">
      <c r="D98" s="1"/>
      <c r="I98" s="61"/>
      <c r="K98" s="895" t="s">
        <v>1257</v>
      </c>
    </row>
    <row r="99" spans="2:12">
      <c r="I99" s="922"/>
      <c r="K99" s="920" t="s">
        <v>1256</v>
      </c>
    </row>
    <row r="100" spans="2:12">
      <c r="I100" s="922"/>
      <c r="K100" s="920" t="s">
        <v>1255</v>
      </c>
    </row>
    <row r="101" spans="2:12">
      <c r="B101" s="2" t="s">
        <v>34</v>
      </c>
      <c r="C101" s="2" t="s">
        <v>71</v>
      </c>
      <c r="D101" s="2" t="s">
        <v>1187</v>
      </c>
      <c r="I101" s="922"/>
      <c r="K101" s="920" t="s">
        <v>1254</v>
      </c>
    </row>
    <row r="102" spans="2:12" ht="17.25" customHeight="1">
      <c r="D102" s="2" t="s">
        <v>1253</v>
      </c>
      <c r="I102" s="915"/>
    </row>
    <row r="103" spans="2:12" ht="17.25" customHeight="1" thickBot="1">
      <c r="I103" s="61"/>
    </row>
    <row r="104" spans="2:12" ht="16.2" thickBot="1">
      <c r="D104" s="921" t="s">
        <v>1252</v>
      </c>
      <c r="E104" s="1948" t="s">
        <v>1251</v>
      </c>
      <c r="F104" s="1949"/>
      <c r="G104" s="1949"/>
      <c r="H104" s="1950"/>
      <c r="I104" s="61"/>
    </row>
    <row r="105" spans="2:12" ht="24.6" customHeight="1" thickBot="1">
      <c r="D105" s="916" t="s">
        <v>1250</v>
      </c>
      <c r="E105" s="1951" t="s">
        <v>1249</v>
      </c>
      <c r="F105" s="1952"/>
      <c r="G105" s="1952"/>
      <c r="H105" s="1953"/>
      <c r="I105" s="917"/>
      <c r="K105" s="920"/>
      <c r="L105" s="919"/>
    </row>
    <row r="106" spans="2:12" ht="42.6" customHeight="1" thickBot="1">
      <c r="D106" s="916" t="s">
        <v>1248</v>
      </c>
      <c r="E106" s="1951" t="s">
        <v>1247</v>
      </c>
      <c r="F106" s="1952"/>
      <c r="G106" s="1952"/>
      <c r="H106" s="1953"/>
      <c r="I106" s="917"/>
      <c r="K106" s="920"/>
      <c r="L106" s="919"/>
    </row>
    <row r="107" spans="2:12" ht="51.9" customHeight="1" thickBot="1">
      <c r="D107" s="916" t="s">
        <v>1246</v>
      </c>
      <c r="E107" s="1954" t="s">
        <v>1245</v>
      </c>
      <c r="F107" s="1955"/>
      <c r="G107" s="1955"/>
      <c r="H107" s="1956"/>
      <c r="I107" s="917"/>
    </row>
    <row r="108" spans="2:12" ht="24.9" customHeight="1">
      <c r="D108" s="1957" t="s">
        <v>1244</v>
      </c>
      <c r="E108" s="1959" t="s">
        <v>1243</v>
      </c>
      <c r="F108" s="1960"/>
      <c r="G108" s="1960"/>
      <c r="H108" s="1961"/>
      <c r="I108" s="917"/>
    </row>
    <row r="109" spans="2:12" ht="29.1" customHeight="1" thickBot="1">
      <c r="D109" s="1958"/>
      <c r="E109" s="1954" t="s">
        <v>1242</v>
      </c>
      <c r="F109" s="1955"/>
      <c r="G109" s="1955"/>
      <c r="H109" s="1956"/>
      <c r="I109" s="917"/>
    </row>
    <row r="110" spans="2:12" ht="30.9" customHeight="1">
      <c r="D110" s="1957" t="s">
        <v>1241</v>
      </c>
      <c r="E110" s="1959" t="s">
        <v>1240</v>
      </c>
      <c r="F110" s="1960"/>
      <c r="G110" s="1960"/>
      <c r="H110" s="1961"/>
      <c r="I110" s="917"/>
    </row>
    <row r="111" spans="2:12" ht="30.9" customHeight="1">
      <c r="D111" s="1963"/>
      <c r="E111" s="1964" t="s">
        <v>1239</v>
      </c>
      <c r="F111" s="1965"/>
      <c r="G111" s="1965"/>
      <c r="H111" s="1966"/>
      <c r="I111" s="918"/>
    </row>
    <row r="112" spans="2:12" ht="29.4" customHeight="1">
      <c r="D112" s="1963"/>
      <c r="E112" s="1964" t="s">
        <v>1238</v>
      </c>
      <c r="F112" s="1965"/>
      <c r="G112" s="1965"/>
      <c r="H112" s="1966"/>
      <c r="I112" s="917"/>
    </row>
    <row r="113" spans="4:9" ht="20.100000000000001" customHeight="1">
      <c r="D113" s="1963"/>
      <c r="E113" s="1964" t="s">
        <v>1237</v>
      </c>
      <c r="F113" s="1965"/>
      <c r="G113" s="1965"/>
      <c r="H113" s="1966"/>
      <c r="I113" s="917"/>
    </row>
    <row r="114" spans="4:9" ht="20.100000000000001" customHeight="1">
      <c r="D114" s="1963"/>
      <c r="E114" s="1964" t="s">
        <v>1236</v>
      </c>
      <c r="F114" s="1965"/>
      <c r="G114" s="1965"/>
      <c r="H114" s="1966"/>
      <c r="I114" s="61"/>
    </row>
    <row r="115" spans="4:9" ht="20.100000000000001" customHeight="1">
      <c r="D115" s="1963"/>
      <c r="E115" s="1964" t="s">
        <v>1235</v>
      </c>
      <c r="F115" s="1965"/>
      <c r="G115" s="1965"/>
      <c r="H115" s="1966"/>
      <c r="I115" s="61"/>
    </row>
    <row r="116" spans="4:9" ht="20.100000000000001" customHeight="1">
      <c r="D116" s="1963"/>
      <c r="E116" s="1964" t="s">
        <v>1234</v>
      </c>
      <c r="F116" s="1965"/>
      <c r="G116" s="1965"/>
      <c r="H116" s="1966"/>
      <c r="I116" s="61"/>
    </row>
    <row r="117" spans="4:9" ht="20.100000000000001" customHeight="1" thickBot="1">
      <c r="D117" s="1958"/>
      <c r="E117" s="1964" t="s">
        <v>1233</v>
      </c>
      <c r="F117" s="1965"/>
      <c r="G117" s="1965"/>
      <c r="H117" s="1966"/>
      <c r="I117" s="61"/>
    </row>
    <row r="118" spans="4:9" ht="33.9" customHeight="1">
      <c r="D118" s="1959" t="s">
        <v>1232</v>
      </c>
      <c r="E118" s="1959" t="s">
        <v>1231</v>
      </c>
      <c r="F118" s="1960"/>
      <c r="G118" s="1960"/>
      <c r="H118" s="1961"/>
      <c r="I118" s="61"/>
    </row>
    <row r="119" spans="4:9" ht="20.100000000000001" customHeight="1">
      <c r="D119" s="1964"/>
      <c r="E119" s="1964" t="s">
        <v>1230</v>
      </c>
      <c r="F119" s="1965"/>
      <c r="G119" s="1965"/>
      <c r="H119" s="1966"/>
      <c r="I119" s="61"/>
    </row>
    <row r="120" spans="4:9" ht="20.100000000000001" customHeight="1">
      <c r="D120" s="1964"/>
      <c r="E120" s="1964" t="s">
        <v>1229</v>
      </c>
      <c r="F120" s="1965"/>
      <c r="G120" s="1965"/>
      <c r="H120" s="1966"/>
      <c r="I120" s="61"/>
    </row>
    <row r="121" spans="4:9" ht="20.100000000000001" customHeight="1">
      <c r="D121" s="1964"/>
      <c r="E121" s="1964" t="s">
        <v>1228</v>
      </c>
      <c r="F121" s="1965"/>
      <c r="G121" s="1965"/>
      <c r="H121" s="1966"/>
      <c r="I121" s="61"/>
    </row>
    <row r="122" spans="4:9" ht="20.100000000000001" customHeight="1">
      <c r="D122" s="1964"/>
      <c r="E122" s="1964" t="s">
        <v>1227</v>
      </c>
      <c r="F122" s="1965"/>
      <c r="G122" s="1965"/>
      <c r="H122" s="1966"/>
      <c r="I122" s="61"/>
    </row>
    <row r="123" spans="4:9" ht="20.100000000000001" customHeight="1">
      <c r="D123" s="1964"/>
      <c r="E123" s="1964" t="s">
        <v>1226</v>
      </c>
      <c r="F123" s="1965"/>
      <c r="G123" s="1965"/>
      <c r="H123" s="1966"/>
      <c r="I123" s="61"/>
    </row>
    <row r="124" spans="4:9" ht="20.100000000000001" customHeight="1">
      <c r="D124" s="1964"/>
      <c r="E124" s="1964" t="s">
        <v>1225</v>
      </c>
      <c r="F124" s="1965"/>
      <c r="G124" s="1965"/>
      <c r="H124" s="1966"/>
      <c r="I124" s="61"/>
    </row>
    <row r="125" spans="4:9" ht="20.100000000000001" customHeight="1" thickBot="1">
      <c r="D125" s="1954"/>
      <c r="E125" s="1954" t="s">
        <v>1224</v>
      </c>
      <c r="F125" s="1955"/>
      <c r="G125" s="1955"/>
      <c r="H125" s="1956"/>
      <c r="I125" s="61"/>
    </row>
    <row r="126" spans="4:9" ht="38.4" customHeight="1">
      <c r="D126" s="1957" t="s">
        <v>1223</v>
      </c>
      <c r="E126" s="1964" t="s">
        <v>1222</v>
      </c>
      <c r="F126" s="1965"/>
      <c r="G126" s="1965"/>
      <c r="H126" s="1966"/>
      <c r="I126" s="61"/>
    </row>
    <row r="127" spans="4:9" ht="29.1" customHeight="1" thickBot="1">
      <c r="D127" s="1958"/>
      <c r="E127" s="1954" t="s">
        <v>1221</v>
      </c>
      <c r="F127" s="1955"/>
      <c r="G127" s="1955"/>
      <c r="H127" s="1956"/>
      <c r="I127" s="61"/>
    </row>
    <row r="128" spans="4:9" ht="43.5" customHeight="1">
      <c r="D128" s="1957" t="s">
        <v>1220</v>
      </c>
      <c r="E128" s="1959" t="s">
        <v>1219</v>
      </c>
      <c r="F128" s="1960"/>
      <c r="G128" s="1960"/>
      <c r="H128" s="1961"/>
      <c r="I128" s="61"/>
    </row>
    <row r="129" spans="4:9" ht="34.5" customHeight="1">
      <c r="D129" s="1963"/>
      <c r="E129" s="1964" t="s">
        <v>1218</v>
      </c>
      <c r="F129" s="1965"/>
      <c r="G129" s="1965"/>
      <c r="H129" s="1966"/>
      <c r="I129" s="61"/>
    </row>
    <row r="130" spans="4:9" ht="23.1" customHeight="1" thickBot="1">
      <c r="D130" s="1958"/>
      <c r="E130" s="1954" t="s">
        <v>1217</v>
      </c>
      <c r="F130" s="1955"/>
      <c r="G130" s="1955"/>
      <c r="H130" s="1956"/>
      <c r="I130" s="61"/>
    </row>
    <row r="131" spans="4:9" ht="59.4" customHeight="1" thickBot="1">
      <c r="D131" s="916" t="s">
        <v>1216</v>
      </c>
      <c r="E131" s="1951" t="s">
        <v>1215</v>
      </c>
      <c r="F131" s="1952"/>
      <c r="G131" s="1952"/>
      <c r="H131" s="1953"/>
      <c r="I131" s="61"/>
    </row>
    <row r="132" spans="4:9" ht="68.099999999999994" customHeight="1" thickBot="1">
      <c r="D132" s="916" t="s">
        <v>1214</v>
      </c>
      <c r="E132" s="1951" t="s">
        <v>1213</v>
      </c>
      <c r="F132" s="1952"/>
      <c r="G132" s="1952"/>
      <c r="H132" s="1953"/>
      <c r="I132" s="61"/>
    </row>
    <row r="133" spans="4:9" ht="36.6" customHeight="1" thickBot="1">
      <c r="D133" s="916" t="s">
        <v>1212</v>
      </c>
      <c r="E133" s="1951" t="s">
        <v>1211</v>
      </c>
      <c r="F133" s="1952"/>
      <c r="G133" s="1952"/>
      <c r="H133" s="1953"/>
      <c r="I133" s="61"/>
    </row>
    <row r="134" spans="4:9" ht="50.1" customHeight="1" thickBot="1">
      <c r="D134" s="916" t="s">
        <v>1210</v>
      </c>
      <c r="E134" s="1959" t="s">
        <v>1209</v>
      </c>
      <c r="F134" s="1960"/>
      <c r="G134" s="1960"/>
      <c r="H134" s="1961"/>
      <c r="I134" s="61"/>
    </row>
    <row r="135" spans="4:9" ht="53.1" customHeight="1">
      <c r="D135" s="1959" t="s">
        <v>1208</v>
      </c>
      <c r="E135" s="1959" t="s">
        <v>1207</v>
      </c>
      <c r="F135" s="1960"/>
      <c r="G135" s="1960"/>
      <c r="H135" s="1961"/>
      <c r="I135" s="61"/>
    </row>
    <row r="136" spans="4:9" ht="51.9" customHeight="1" thickBot="1">
      <c r="D136" s="1954"/>
      <c r="E136" s="1954" t="s">
        <v>1206</v>
      </c>
      <c r="F136" s="1955"/>
      <c r="G136" s="1955"/>
      <c r="H136" s="1956"/>
      <c r="I136" s="61"/>
    </row>
    <row r="137" spans="4:9" ht="29.4" customHeight="1" thickBot="1">
      <c r="D137" s="916" t="s">
        <v>1205</v>
      </c>
      <c r="E137" s="1951" t="s">
        <v>1204</v>
      </c>
      <c r="F137" s="1952"/>
      <c r="G137" s="1952"/>
      <c r="H137" s="1953"/>
      <c r="I137" s="61"/>
    </row>
    <row r="138" spans="4:9" ht="42" customHeight="1" thickBot="1">
      <c r="D138" s="916" t="s">
        <v>1203</v>
      </c>
      <c r="E138" s="1954" t="s">
        <v>1202</v>
      </c>
      <c r="F138" s="1955"/>
      <c r="G138" s="1955"/>
      <c r="H138" s="1956"/>
      <c r="I138" s="61"/>
    </row>
    <row r="139" spans="4:9">
      <c r="I139" s="915"/>
    </row>
  </sheetData>
  <mergeCells count="73">
    <mergeCell ref="E137:H137"/>
    <mergeCell ref="E138:H138"/>
    <mergeCell ref="E131:H131"/>
    <mergeCell ref="E132:H132"/>
    <mergeCell ref="E133:H133"/>
    <mergeCell ref="E134:H134"/>
    <mergeCell ref="D135:D136"/>
    <mergeCell ref="E135:H135"/>
    <mergeCell ref="E136:H136"/>
    <mergeCell ref="D126:D127"/>
    <mergeCell ref="E126:H126"/>
    <mergeCell ref="E127:H127"/>
    <mergeCell ref="D128:D130"/>
    <mergeCell ref="E128:H128"/>
    <mergeCell ref="E129:H129"/>
    <mergeCell ref="E130:H130"/>
    <mergeCell ref="D118:D125"/>
    <mergeCell ref="E118:H118"/>
    <mergeCell ref="E119:H119"/>
    <mergeCell ref="E120:H120"/>
    <mergeCell ref="E121:H121"/>
    <mergeCell ref="E122:H122"/>
    <mergeCell ref="E123:H123"/>
    <mergeCell ref="E124:H124"/>
    <mergeCell ref="E125:H125"/>
    <mergeCell ref="D110:D117"/>
    <mergeCell ref="E110:H110"/>
    <mergeCell ref="E111:H111"/>
    <mergeCell ref="E112:H112"/>
    <mergeCell ref="E113:H113"/>
    <mergeCell ref="E114:H114"/>
    <mergeCell ref="E115:H115"/>
    <mergeCell ref="E116:H116"/>
    <mergeCell ref="E117:H117"/>
    <mergeCell ref="D108:D109"/>
    <mergeCell ref="E108:H108"/>
    <mergeCell ref="E109:H109"/>
    <mergeCell ref="C29:D29"/>
    <mergeCell ref="E29:F29"/>
    <mergeCell ref="C30:D30"/>
    <mergeCell ref="E30:F30"/>
    <mergeCell ref="C35:D35"/>
    <mergeCell ref="C39:D39"/>
    <mergeCell ref="D89:H90"/>
    <mergeCell ref="C24:F24"/>
    <mergeCell ref="E104:H104"/>
    <mergeCell ref="E105:H105"/>
    <mergeCell ref="E106:H106"/>
    <mergeCell ref="E107:H107"/>
    <mergeCell ref="C28:D28"/>
    <mergeCell ref="E28:F28"/>
    <mergeCell ref="C21:F21"/>
    <mergeCell ref="C22:D22"/>
    <mergeCell ref="E22:F22"/>
    <mergeCell ref="C23:D23"/>
    <mergeCell ref="E23:F23"/>
    <mergeCell ref="C25:D25"/>
    <mergeCell ref="E25:F25"/>
    <mergeCell ref="C26:D26"/>
    <mergeCell ref="E26:F26"/>
    <mergeCell ref="C27:F27"/>
    <mergeCell ref="E20:F20"/>
    <mergeCell ref="C14:D14"/>
    <mergeCell ref="C10:D10"/>
    <mergeCell ref="E10:G10"/>
    <mergeCell ref="E11:G11"/>
    <mergeCell ref="C12:D12"/>
    <mergeCell ref="C13:D13"/>
    <mergeCell ref="C15:D16"/>
    <mergeCell ref="E15:G15"/>
    <mergeCell ref="E16:G16"/>
    <mergeCell ref="C17:D17"/>
    <mergeCell ref="C20:D20"/>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5834-354B-4412-8E32-A7345FB8A26A}">
  <sheetPr>
    <tabColor theme="1"/>
  </sheetPr>
  <dimension ref="A1"/>
  <sheetViews>
    <sheetView workbookViewId="0">
      <selection activeCell="Y38" sqref="Y38"/>
    </sheetView>
  </sheetViews>
  <sheetFormatPr defaultRowHeight="14.4"/>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A1F3-AEB5-49F6-9371-48B547574B20}">
  <dimension ref="A1:K58"/>
  <sheetViews>
    <sheetView workbookViewId="0">
      <selection activeCell="Q1" sqref="Q1"/>
    </sheetView>
  </sheetViews>
  <sheetFormatPr defaultColWidth="8.88671875" defaultRowHeight="15.6"/>
  <cols>
    <col min="1" max="1" width="3.5546875" style="90" customWidth="1"/>
    <col min="2" max="4" width="11.109375" style="90" customWidth="1"/>
    <col min="5" max="6" width="15.88671875" style="90" customWidth="1"/>
    <col min="7" max="7" width="11.109375" style="90" customWidth="1"/>
    <col min="8" max="9" width="8.88671875" style="90"/>
    <col min="10" max="10" width="2.5546875" style="90" customWidth="1"/>
    <col min="11" max="16384" width="8.88671875" style="3"/>
  </cols>
  <sheetData>
    <row r="1" spans="1:11">
      <c r="A1" s="90" t="s">
        <v>1315</v>
      </c>
      <c r="K1" s="3" t="s">
        <v>1315</v>
      </c>
    </row>
    <row r="2" spans="1:11">
      <c r="A2" s="90" t="s">
        <v>569</v>
      </c>
      <c r="K2" s="3" t="s">
        <v>569</v>
      </c>
    </row>
    <row r="3" spans="1:11" ht="18.45" customHeight="1">
      <c r="A3" s="106"/>
    </row>
    <row r="4" spans="1:11" ht="18.45" customHeight="1">
      <c r="A4" s="105"/>
      <c r="K4" s="3" t="s">
        <v>203</v>
      </c>
    </row>
    <row r="5" spans="1:11">
      <c r="A5" s="105"/>
      <c r="B5" s="91" t="s">
        <v>3</v>
      </c>
      <c r="C5" s="90" t="s">
        <v>1314</v>
      </c>
    </row>
    <row r="6" spans="1:11">
      <c r="A6" s="966"/>
    </row>
    <row r="7" spans="1:11">
      <c r="B7" s="90" t="s">
        <v>323</v>
      </c>
    </row>
    <row r="9" spans="1:11">
      <c r="B9" s="960" t="s">
        <v>872</v>
      </c>
      <c r="C9" s="965"/>
    </row>
    <row r="10" spans="1:11">
      <c r="B10" s="1967" t="s">
        <v>1313</v>
      </c>
      <c r="C10" s="1967"/>
      <c r="D10" s="1967"/>
      <c r="E10" s="1967" t="s">
        <v>1312</v>
      </c>
      <c r="F10" s="1967"/>
      <c r="G10" s="1967"/>
    </row>
    <row r="11" spans="1:11">
      <c r="B11" s="1967"/>
      <c r="C11" s="1967"/>
      <c r="D11" s="1967"/>
      <c r="E11" s="1967"/>
      <c r="F11" s="1967"/>
      <c r="G11" s="1967"/>
    </row>
    <row r="12" spans="1:11">
      <c r="B12" s="1967"/>
      <c r="C12" s="1967"/>
      <c r="D12" s="1967"/>
      <c r="E12" s="1967"/>
      <c r="F12" s="1967"/>
      <c r="G12" s="1967"/>
    </row>
    <row r="13" spans="1:11">
      <c r="B13" s="1967" t="s">
        <v>1311</v>
      </c>
      <c r="C13" s="1967"/>
      <c r="D13" s="1967"/>
      <c r="E13" s="1967" t="s">
        <v>127</v>
      </c>
      <c r="F13" s="1967"/>
      <c r="G13" s="1967"/>
    </row>
    <row r="14" spans="1:11">
      <c r="B14" s="1967" t="s">
        <v>1310</v>
      </c>
      <c r="C14" s="1967"/>
      <c r="D14" s="1967"/>
      <c r="E14" s="1967" t="s">
        <v>1309</v>
      </c>
      <c r="F14" s="1967"/>
      <c r="G14" s="1967"/>
    </row>
    <row r="15" spans="1:11">
      <c r="B15" s="1967"/>
      <c r="C15" s="1967"/>
      <c r="D15" s="1967"/>
      <c r="E15" s="1967"/>
      <c r="F15" s="1967"/>
      <c r="G15" s="1967"/>
    </row>
    <row r="16" spans="1:11">
      <c r="B16" s="1967"/>
      <c r="C16" s="1967"/>
      <c r="D16" s="1967"/>
      <c r="E16" s="1967"/>
      <c r="F16" s="1967"/>
      <c r="G16" s="1967"/>
    </row>
    <row r="17" spans="2:7">
      <c r="B17" s="1967"/>
      <c r="C17" s="1967"/>
      <c r="D17" s="1967"/>
      <c r="E17" s="1967"/>
      <c r="F17" s="1967"/>
      <c r="G17" s="1967"/>
    </row>
    <row r="18" spans="2:7">
      <c r="B18" s="1967" t="s">
        <v>1308</v>
      </c>
      <c r="C18" s="1967"/>
      <c r="D18" s="1967"/>
      <c r="E18" s="1967" t="s">
        <v>135</v>
      </c>
      <c r="F18" s="1967"/>
      <c r="G18" s="1967"/>
    </row>
    <row r="19" spans="2:7">
      <c r="B19" s="1967" t="s">
        <v>1307</v>
      </c>
      <c r="C19" s="1967"/>
      <c r="D19" s="1967"/>
      <c r="E19" s="1967" t="s">
        <v>1306</v>
      </c>
      <c r="F19" s="1967"/>
      <c r="G19" s="1967"/>
    </row>
    <row r="20" spans="2:7">
      <c r="B20" s="1967" t="s">
        <v>1305</v>
      </c>
      <c r="C20" s="1967"/>
      <c r="D20" s="1967"/>
      <c r="E20" s="1967" t="s">
        <v>555</v>
      </c>
      <c r="F20" s="1967"/>
      <c r="G20" s="1967"/>
    </row>
    <row r="21" spans="2:7">
      <c r="B21" s="1967" t="s">
        <v>1304</v>
      </c>
      <c r="C21" s="1967"/>
      <c r="D21" s="1967"/>
      <c r="E21" s="1967" t="s">
        <v>1303</v>
      </c>
      <c r="F21" s="1967"/>
      <c r="G21" s="1967"/>
    </row>
    <row r="23" spans="2:7">
      <c r="B23" s="960" t="s">
        <v>1302</v>
      </c>
      <c r="C23" s="965"/>
      <c r="D23" s="965"/>
    </row>
    <row r="24" spans="2:7">
      <c r="B24" s="1971" t="s">
        <v>563</v>
      </c>
      <c r="C24" s="1971"/>
      <c r="D24" s="1971"/>
      <c r="E24" s="959" t="s">
        <v>560</v>
      </c>
      <c r="F24" s="959" t="s">
        <v>559</v>
      </c>
    </row>
    <row r="25" spans="2:7">
      <c r="B25" s="1967" t="s">
        <v>562</v>
      </c>
      <c r="C25" s="1967"/>
      <c r="D25" s="1967"/>
      <c r="E25" s="964">
        <v>59</v>
      </c>
      <c r="F25" s="964">
        <v>59</v>
      </c>
    </row>
    <row r="26" spans="2:7">
      <c r="B26" s="1967" t="s">
        <v>1301</v>
      </c>
      <c r="C26" s="1967"/>
      <c r="D26" s="1967"/>
      <c r="E26" s="964" t="s">
        <v>1300</v>
      </c>
      <c r="F26" s="964">
        <v>56</v>
      </c>
    </row>
    <row r="27" spans="2:7">
      <c r="B27" s="1967" t="s">
        <v>1299</v>
      </c>
      <c r="C27" s="1967"/>
      <c r="D27" s="1967"/>
      <c r="E27" s="964">
        <v>8</v>
      </c>
      <c r="F27" s="964">
        <v>29</v>
      </c>
    </row>
    <row r="28" spans="2:7">
      <c r="B28" s="1967" t="s">
        <v>1298</v>
      </c>
      <c r="C28" s="1967"/>
      <c r="D28" s="1967"/>
      <c r="E28" s="964">
        <v>11</v>
      </c>
      <c r="F28" s="964">
        <v>29</v>
      </c>
    </row>
    <row r="29" spans="2:7">
      <c r="B29" s="1967" t="s">
        <v>1297</v>
      </c>
      <c r="C29" s="1967"/>
      <c r="D29" s="1967"/>
      <c r="E29" s="963">
        <v>240000</v>
      </c>
      <c r="F29" s="963">
        <v>300000</v>
      </c>
    </row>
    <row r="30" spans="2:7">
      <c r="B30" s="1967" t="s">
        <v>1296</v>
      </c>
      <c r="C30" s="1967"/>
      <c r="D30" s="1967"/>
      <c r="E30" s="963">
        <v>250000</v>
      </c>
      <c r="F30" s="963">
        <v>275000</v>
      </c>
    </row>
    <row r="31" spans="2:7">
      <c r="B31" s="1967" t="s">
        <v>1295</v>
      </c>
      <c r="C31" s="1967"/>
      <c r="D31" s="1967"/>
      <c r="E31" s="963">
        <v>230000</v>
      </c>
      <c r="F31" s="963">
        <v>260000</v>
      </c>
    </row>
    <row r="33" spans="1:9">
      <c r="B33" s="94" t="s">
        <v>1294</v>
      </c>
    </row>
    <row r="34" spans="1:9">
      <c r="B34" s="1970" t="s">
        <v>1293</v>
      </c>
      <c r="C34" s="1970"/>
      <c r="D34" s="1970"/>
      <c r="E34" s="1970"/>
      <c r="F34" s="962">
        <v>57300</v>
      </c>
    </row>
    <row r="35" spans="1:9">
      <c r="B35" s="1967" t="s">
        <v>1292</v>
      </c>
      <c r="C35" s="1967"/>
      <c r="D35" s="1967"/>
      <c r="E35" s="1967"/>
      <c r="F35" s="1969">
        <v>3130.22</v>
      </c>
    </row>
    <row r="36" spans="1:9">
      <c r="B36" s="1967"/>
      <c r="C36" s="1967"/>
      <c r="D36" s="1967"/>
      <c r="E36" s="1967"/>
      <c r="F36" s="1969"/>
    </row>
    <row r="37" spans="1:9">
      <c r="B37" s="93" t="s">
        <v>1291</v>
      </c>
      <c r="C37" s="93"/>
      <c r="D37" s="93"/>
      <c r="E37" s="93"/>
      <c r="F37" s="962">
        <v>1175.83</v>
      </c>
    </row>
    <row r="38" spans="1:9">
      <c r="B38" s="93" t="s">
        <v>1290</v>
      </c>
      <c r="C38" s="93"/>
      <c r="D38" s="93"/>
      <c r="E38" s="93"/>
      <c r="F38" s="962">
        <v>613.53</v>
      </c>
    </row>
    <row r="39" spans="1:9">
      <c r="B39" s="1970" t="s">
        <v>1289</v>
      </c>
      <c r="C39" s="1970"/>
      <c r="D39" s="1970"/>
      <c r="E39" s="1970"/>
      <c r="F39" s="1970"/>
    </row>
    <row r="41" spans="1:9">
      <c r="A41" s="90" t="s">
        <v>26</v>
      </c>
      <c r="B41" s="91" t="s">
        <v>71</v>
      </c>
      <c r="C41" s="90" t="s">
        <v>1288</v>
      </c>
    </row>
    <row r="43" spans="1:9">
      <c r="C43" s="1635" t="s">
        <v>153</v>
      </c>
      <c r="D43" s="1635"/>
      <c r="E43" s="1635"/>
      <c r="F43" s="1635"/>
      <c r="G43" s="1635"/>
      <c r="H43" s="1635"/>
      <c r="I43" s="1635"/>
    </row>
    <row r="45" spans="1:9">
      <c r="B45" s="960" t="s">
        <v>1287</v>
      </c>
    </row>
    <row r="46" spans="1:9">
      <c r="B46" s="1967" t="s">
        <v>1286</v>
      </c>
      <c r="C46" s="1967"/>
      <c r="D46" s="1967"/>
      <c r="E46" s="1967"/>
    </row>
    <row r="47" spans="1:9">
      <c r="B47" s="1967"/>
      <c r="C47" s="1967"/>
      <c r="D47" s="1967"/>
      <c r="E47" s="1967"/>
    </row>
    <row r="49" spans="1:9" ht="15.75" customHeight="1">
      <c r="B49" s="1971" t="s">
        <v>1285</v>
      </c>
      <c r="C49" s="1971"/>
      <c r="D49" s="1971"/>
      <c r="E49" s="959" t="s">
        <v>1284</v>
      </c>
    </row>
    <row r="50" spans="1:9">
      <c r="B50" s="1967" t="s">
        <v>1283</v>
      </c>
      <c r="C50" s="1967"/>
      <c r="D50" s="1967"/>
      <c r="E50" s="958">
        <v>15.17</v>
      </c>
    </row>
    <row r="51" spans="1:9">
      <c r="B51" s="1967" t="s">
        <v>1282</v>
      </c>
      <c r="C51" s="1967"/>
      <c r="D51" s="1967"/>
      <c r="E51" s="957">
        <v>16.779</v>
      </c>
    </row>
    <row r="52" spans="1:9">
      <c r="B52" s="1967" t="s">
        <v>1281</v>
      </c>
      <c r="C52" s="1967"/>
      <c r="D52" s="1967"/>
      <c r="E52" s="957">
        <v>17.850999999999999</v>
      </c>
    </row>
    <row r="53" spans="1:9">
      <c r="B53" s="1967" t="s">
        <v>1280</v>
      </c>
      <c r="C53" s="1967"/>
      <c r="D53" s="1967"/>
      <c r="E53" s="1968">
        <v>16.981000000000002</v>
      </c>
    </row>
    <row r="54" spans="1:9">
      <c r="B54" s="1967"/>
      <c r="C54" s="1967"/>
      <c r="D54" s="1967"/>
      <c r="E54" s="1968"/>
    </row>
    <row r="56" spans="1:9">
      <c r="A56" s="90" t="s">
        <v>34</v>
      </c>
      <c r="B56" s="91" t="s">
        <v>59</v>
      </c>
      <c r="C56" s="90" t="s">
        <v>1279</v>
      </c>
    </row>
    <row r="58" spans="1:9">
      <c r="C58" s="1635" t="s">
        <v>153</v>
      </c>
      <c r="D58" s="1635"/>
      <c r="E58" s="1635"/>
      <c r="F58" s="1635"/>
      <c r="G58" s="1635"/>
      <c r="H58" s="1635"/>
      <c r="I58" s="1635"/>
    </row>
  </sheetData>
  <mergeCells count="35">
    <mergeCell ref="B21:D21"/>
    <mergeCell ref="E21:G21"/>
    <mergeCell ref="B24:D24"/>
    <mergeCell ref="B10:D12"/>
    <mergeCell ref="E10:G12"/>
    <mergeCell ref="B13:D13"/>
    <mergeCell ref="E13:G13"/>
    <mergeCell ref="B14:D17"/>
    <mergeCell ref="E14:G17"/>
    <mergeCell ref="B18:D18"/>
    <mergeCell ref="E18:G18"/>
    <mergeCell ref="B19:D19"/>
    <mergeCell ref="E19:G19"/>
    <mergeCell ref="B20:D20"/>
    <mergeCell ref="E20:G20"/>
    <mergeCell ref="B25:D25"/>
    <mergeCell ref="B26:D26"/>
    <mergeCell ref="B50:D50"/>
    <mergeCell ref="B28:D28"/>
    <mergeCell ref="B29:D29"/>
    <mergeCell ref="B30:D30"/>
    <mergeCell ref="B31:D31"/>
    <mergeCell ref="B34:E34"/>
    <mergeCell ref="B35:E36"/>
    <mergeCell ref="B27:D27"/>
    <mergeCell ref="B52:D52"/>
    <mergeCell ref="B53:D54"/>
    <mergeCell ref="E53:E54"/>
    <mergeCell ref="C58:I58"/>
    <mergeCell ref="F35:F36"/>
    <mergeCell ref="B39:F39"/>
    <mergeCell ref="C43:I43"/>
    <mergeCell ref="B46:E47"/>
    <mergeCell ref="B49:D49"/>
    <mergeCell ref="B51:D51"/>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2E382-EC6A-4D6B-BBEB-A83D278073AE}">
  <dimension ref="A1:K68"/>
  <sheetViews>
    <sheetView workbookViewId="0">
      <selection activeCell="Q1" sqref="Q1"/>
    </sheetView>
  </sheetViews>
  <sheetFormatPr defaultColWidth="8.88671875" defaultRowHeight="15.6"/>
  <cols>
    <col min="1" max="1" width="3.5546875" style="90" customWidth="1"/>
    <col min="2" max="3" width="11.109375" style="90" customWidth="1"/>
    <col min="4" max="5" width="11.6640625" style="90" customWidth="1"/>
    <col min="6" max="6" width="15.88671875" style="90" customWidth="1"/>
    <col min="7" max="7" width="11.109375" style="90" customWidth="1"/>
    <col min="8" max="9" width="8.88671875" style="90"/>
    <col min="10" max="10" width="2.5546875" style="90" customWidth="1"/>
    <col min="11" max="16384" width="8.88671875" style="3"/>
  </cols>
  <sheetData>
    <row r="1" spans="1:11">
      <c r="A1" s="90" t="s">
        <v>1315</v>
      </c>
      <c r="K1" s="3" t="s">
        <v>1315</v>
      </c>
    </row>
    <row r="2" spans="1:11">
      <c r="A2" s="90" t="s">
        <v>1335</v>
      </c>
      <c r="K2" s="3" t="s">
        <v>1335</v>
      </c>
    </row>
    <row r="3" spans="1:11" ht="18.45" customHeight="1">
      <c r="A3" s="106"/>
    </row>
    <row r="4" spans="1:11" ht="18.45" customHeight="1">
      <c r="A4" s="105"/>
      <c r="K4" s="3" t="s">
        <v>203</v>
      </c>
    </row>
    <row r="5" spans="1:11">
      <c r="A5" s="105"/>
      <c r="B5" s="91" t="s">
        <v>402</v>
      </c>
      <c r="C5" s="90" t="s">
        <v>1334</v>
      </c>
    </row>
    <row r="6" spans="1:11">
      <c r="A6" s="966"/>
    </row>
    <row r="7" spans="1:11">
      <c r="B7" s="969" t="s">
        <v>1333</v>
      </c>
    </row>
    <row r="9" spans="1:11">
      <c r="B9" s="960" t="s">
        <v>1332</v>
      </c>
      <c r="C9" s="965"/>
      <c r="F9" s="965"/>
    </row>
    <row r="10" spans="1:11">
      <c r="B10" s="1967" t="s">
        <v>521</v>
      </c>
      <c r="C10" s="1967"/>
      <c r="D10" s="1967"/>
      <c r="E10" s="1967"/>
      <c r="F10" s="1967" t="s">
        <v>1331</v>
      </c>
      <c r="G10" s="1967"/>
      <c r="H10" s="1967"/>
    </row>
    <row r="11" spans="1:11">
      <c r="B11" s="1967"/>
      <c r="C11" s="1967"/>
      <c r="D11" s="1967"/>
      <c r="E11" s="1967"/>
      <c r="F11" s="1967"/>
      <c r="G11" s="1967"/>
      <c r="H11" s="1967"/>
    </row>
    <row r="12" spans="1:11">
      <c r="B12" s="1967" t="s">
        <v>258</v>
      </c>
      <c r="C12" s="1967"/>
      <c r="D12" s="1967"/>
      <c r="E12" s="1967"/>
      <c r="F12" s="1967" t="s">
        <v>1330</v>
      </c>
      <c r="G12" s="1967"/>
      <c r="H12" s="1967"/>
    </row>
    <row r="13" spans="1:11">
      <c r="B13" s="1967" t="s">
        <v>264</v>
      </c>
      <c r="C13" s="1967"/>
      <c r="D13" s="1967"/>
      <c r="E13" s="1967"/>
      <c r="F13" s="1967" t="s">
        <v>127</v>
      </c>
      <c r="G13" s="1967"/>
      <c r="H13" s="1967"/>
    </row>
    <row r="14" spans="1:11">
      <c r="B14" s="1967" t="s">
        <v>263</v>
      </c>
      <c r="C14" s="1967"/>
      <c r="D14" s="1967"/>
      <c r="E14" s="1967"/>
      <c r="F14" s="1967" t="s">
        <v>135</v>
      </c>
      <c r="G14" s="1967"/>
      <c r="H14" s="1967"/>
    </row>
    <row r="15" spans="1:11">
      <c r="B15" s="1967" t="s">
        <v>262</v>
      </c>
      <c r="C15" s="1967"/>
      <c r="D15" s="1967"/>
      <c r="E15" s="1967"/>
      <c r="F15" s="1967" t="s">
        <v>1329</v>
      </c>
      <c r="G15" s="1967"/>
      <c r="H15" s="1967"/>
    </row>
    <row r="16" spans="1:11">
      <c r="B16" s="1967"/>
      <c r="C16" s="1967"/>
      <c r="D16" s="1967"/>
      <c r="E16" s="1967"/>
      <c r="F16" s="1967"/>
      <c r="G16" s="1967"/>
      <c r="H16" s="1967"/>
    </row>
    <row r="17" spans="2:8">
      <c r="B17" s="1967" t="s">
        <v>260</v>
      </c>
      <c r="C17" s="1967"/>
      <c r="D17" s="1967"/>
      <c r="E17" s="1967"/>
      <c r="F17" s="1980" t="s">
        <v>1328</v>
      </c>
      <c r="G17" s="1980"/>
      <c r="H17" s="1980"/>
    </row>
    <row r="18" spans="2:8">
      <c r="B18" s="1967"/>
      <c r="C18" s="1967"/>
      <c r="D18" s="1967"/>
      <c r="E18" s="1967"/>
      <c r="F18" s="1981" t="s">
        <v>1327</v>
      </c>
      <c r="G18" s="1981"/>
      <c r="H18" s="1981"/>
    </row>
    <row r="19" spans="2:8">
      <c r="B19" s="1967"/>
      <c r="C19" s="1967"/>
      <c r="D19" s="1967"/>
      <c r="E19" s="1967"/>
      <c r="F19" s="1982" t="s">
        <v>1326</v>
      </c>
      <c r="G19" s="1982"/>
      <c r="H19" s="1982"/>
    </row>
    <row r="20" spans="2:8">
      <c r="B20" s="1967"/>
      <c r="C20" s="1967"/>
      <c r="D20" s="1967"/>
      <c r="E20" s="1967"/>
      <c r="F20" s="1981" t="s">
        <v>1325</v>
      </c>
      <c r="G20" s="1981"/>
      <c r="H20" s="1981"/>
    </row>
    <row r="21" spans="2:8">
      <c r="B21" s="1967"/>
      <c r="C21" s="1967"/>
      <c r="D21" s="1967"/>
      <c r="E21" s="1967"/>
      <c r="F21" s="1983"/>
      <c r="G21" s="1983"/>
      <c r="H21" s="1983"/>
    </row>
    <row r="22" spans="2:8">
      <c r="B22" s="1967" t="s">
        <v>512</v>
      </c>
      <c r="C22" s="1967"/>
      <c r="D22" s="1967"/>
      <c r="E22" s="1967"/>
      <c r="F22" s="1967" t="s">
        <v>1324</v>
      </c>
      <c r="G22" s="1967"/>
      <c r="H22" s="1967"/>
    </row>
    <row r="23" spans="2:8">
      <c r="B23" s="1967"/>
      <c r="C23" s="1967"/>
      <c r="D23" s="1967"/>
      <c r="E23" s="1967"/>
      <c r="F23" s="1967"/>
      <c r="G23" s="1967"/>
      <c r="H23" s="1967"/>
    </row>
    <row r="24" spans="2:8">
      <c r="B24" s="1967" t="s">
        <v>254</v>
      </c>
      <c r="C24" s="1967"/>
      <c r="D24" s="1967"/>
      <c r="E24" s="1967"/>
      <c r="F24" s="1967" t="s">
        <v>253</v>
      </c>
      <c r="G24" s="1967"/>
      <c r="H24" s="1967"/>
    </row>
    <row r="25" spans="2:8">
      <c r="B25" s="1967"/>
      <c r="C25" s="1967"/>
      <c r="D25" s="1967"/>
      <c r="E25" s="1967"/>
      <c r="F25" s="1967"/>
      <c r="G25" s="1967"/>
      <c r="H25" s="1967"/>
    </row>
    <row r="27" spans="2:8">
      <c r="B27" s="960" t="s">
        <v>1323</v>
      </c>
      <c r="C27" s="965"/>
      <c r="D27" s="965"/>
    </row>
    <row r="28" spans="2:8">
      <c r="B28" s="1967"/>
      <c r="C28" s="1967"/>
      <c r="D28" s="959" t="s">
        <v>96</v>
      </c>
      <c r="E28" s="959" t="s">
        <v>66</v>
      </c>
    </row>
    <row r="29" spans="2:8">
      <c r="B29" s="1967" t="s">
        <v>252</v>
      </c>
      <c r="C29" s="1967"/>
      <c r="D29" s="964">
        <v>40</v>
      </c>
      <c r="E29" s="964">
        <v>60</v>
      </c>
    </row>
    <row r="30" spans="2:8">
      <c r="B30" s="1967" t="s">
        <v>1322</v>
      </c>
      <c r="C30" s="1967"/>
      <c r="D30" s="963">
        <v>75000</v>
      </c>
      <c r="E30" s="963">
        <v>90000</v>
      </c>
    </row>
    <row r="31" spans="2:8">
      <c r="B31" s="1967" t="s">
        <v>1321</v>
      </c>
      <c r="C31" s="1967"/>
      <c r="D31" s="963">
        <v>69000</v>
      </c>
      <c r="E31" s="963">
        <v>85000</v>
      </c>
    </row>
    <row r="32" spans="2:8">
      <c r="B32" s="1967" t="s">
        <v>1320</v>
      </c>
      <c r="C32" s="1967"/>
      <c r="D32" s="963">
        <v>65000</v>
      </c>
      <c r="E32" s="963">
        <v>80000</v>
      </c>
    </row>
    <row r="33" spans="2:6">
      <c r="B33" s="1967" t="s">
        <v>1319</v>
      </c>
      <c r="C33" s="1967"/>
      <c r="D33" s="964">
        <v>16</v>
      </c>
      <c r="E33" s="964">
        <v>5</v>
      </c>
    </row>
    <row r="35" spans="2:6" ht="16.2" thickBot="1">
      <c r="B35" s="960" t="s">
        <v>1318</v>
      </c>
    </row>
    <row r="36" spans="2:6">
      <c r="B36" s="968"/>
      <c r="C36" s="1978" t="s">
        <v>426</v>
      </c>
      <c r="E36" s="968"/>
      <c r="F36" s="1978" t="s">
        <v>426</v>
      </c>
    </row>
    <row r="37" spans="2:6" ht="16.2" thickBot="1">
      <c r="B37" s="967" t="s">
        <v>96</v>
      </c>
      <c r="C37" s="1979"/>
      <c r="E37" s="967" t="s">
        <v>66</v>
      </c>
      <c r="F37" s="1979"/>
    </row>
    <row r="38" spans="2:6">
      <c r="B38" s="1973"/>
      <c r="C38" s="1973">
        <v>13.9</v>
      </c>
      <c r="E38" s="1978"/>
      <c r="F38" s="1973">
        <v>19.600000000000001</v>
      </c>
    </row>
    <row r="39" spans="2:6" ht="16.2" thickBot="1">
      <c r="B39" s="1974"/>
      <c r="C39" s="1974"/>
      <c r="E39" s="1979"/>
      <c r="F39" s="1974"/>
    </row>
    <row r="40" spans="2:6">
      <c r="B40" s="1973"/>
      <c r="C40" s="1973">
        <v>13.2</v>
      </c>
      <c r="E40" s="1973"/>
      <c r="F40" s="1977">
        <v>18.600000000000001</v>
      </c>
    </row>
    <row r="41" spans="2:6" ht="16.2" thickBot="1">
      <c r="B41" s="1974"/>
      <c r="C41" s="1974"/>
      <c r="E41" s="1974"/>
      <c r="F41" s="1974"/>
    </row>
    <row r="42" spans="2:6">
      <c r="B42" s="1973"/>
      <c r="C42" s="1973">
        <v>12.6</v>
      </c>
      <c r="E42" s="1973"/>
      <c r="F42" s="1973">
        <v>17.600000000000001</v>
      </c>
    </row>
    <row r="43" spans="2:6" ht="16.2" thickBot="1">
      <c r="B43" s="1974"/>
      <c r="C43" s="1974"/>
      <c r="E43" s="1974"/>
      <c r="F43" s="1974"/>
    </row>
    <row r="44" spans="2:6">
      <c r="B44" s="1973"/>
      <c r="C44" s="1975">
        <v>12</v>
      </c>
      <c r="E44" s="1973"/>
      <c r="F44" s="1973">
        <v>16.7</v>
      </c>
    </row>
    <row r="45" spans="2:6" ht="16.2" thickBot="1">
      <c r="B45" s="1974"/>
      <c r="C45" s="1976"/>
      <c r="E45" s="1974"/>
      <c r="F45" s="1974"/>
    </row>
    <row r="46" spans="2:6">
      <c r="B46" s="1973"/>
      <c r="C46" s="1973">
        <v>11.4</v>
      </c>
      <c r="E46" s="1973"/>
      <c r="F46" s="1973">
        <v>15.7</v>
      </c>
    </row>
    <row r="47" spans="2:6" ht="16.2" thickBot="1">
      <c r="B47" s="1974"/>
      <c r="C47" s="1974"/>
      <c r="E47" s="1974"/>
      <c r="F47" s="1974"/>
    </row>
    <row r="48" spans="2:6">
      <c r="B48" s="1973"/>
      <c r="C48" s="1973">
        <v>10.9</v>
      </c>
      <c r="E48" s="1973"/>
      <c r="F48" s="1973">
        <v>14.9</v>
      </c>
    </row>
    <row r="49" spans="1:9" ht="16.2" thickBot="1">
      <c r="B49" s="1974"/>
      <c r="C49" s="1974"/>
      <c r="E49" s="1974"/>
      <c r="F49" s="1974"/>
    </row>
    <row r="50" spans="1:9">
      <c r="B50" s="1973"/>
      <c r="C50" s="1973">
        <v>10.3</v>
      </c>
    </row>
    <row r="51" spans="1:9" ht="16.2" thickBot="1">
      <c r="B51" s="1974"/>
      <c r="C51" s="1974"/>
    </row>
    <row r="52" spans="1:9">
      <c r="B52" s="1973"/>
      <c r="C52" s="1973">
        <v>9.8000000000000007</v>
      </c>
    </row>
    <row r="53" spans="1:9" ht="16.2" thickBot="1">
      <c r="B53" s="1974"/>
      <c r="C53" s="1974"/>
    </row>
    <row r="54" spans="1:9">
      <c r="B54" s="1973"/>
      <c r="C54" s="1973">
        <v>9.3000000000000007</v>
      </c>
    </row>
    <row r="55" spans="1:9" ht="16.2" thickBot="1">
      <c r="B55" s="1974"/>
      <c r="C55" s="1974"/>
    </row>
    <row r="56" spans="1:9">
      <c r="B56" s="1973"/>
      <c r="C56" s="1973">
        <v>8.8000000000000007</v>
      </c>
    </row>
    <row r="57" spans="1:9" ht="16.2" thickBot="1">
      <c r="B57" s="1974"/>
      <c r="C57" s="1974"/>
    </row>
    <row r="58" spans="1:9">
      <c r="B58" s="1973"/>
      <c r="C58" s="1973">
        <v>8.4</v>
      </c>
    </row>
    <row r="59" spans="1:9" ht="16.2" thickBot="1">
      <c r="B59" s="1974"/>
      <c r="C59" s="1974"/>
    </row>
    <row r="61" spans="1:9">
      <c r="A61" s="90" t="s">
        <v>26</v>
      </c>
      <c r="B61" s="91" t="s">
        <v>27</v>
      </c>
      <c r="C61" s="90" t="s">
        <v>1317</v>
      </c>
    </row>
    <row r="63" spans="1:9">
      <c r="C63" s="1635" t="s">
        <v>153</v>
      </c>
      <c r="D63" s="1635"/>
      <c r="E63" s="1635"/>
      <c r="F63" s="1635"/>
      <c r="G63" s="1635"/>
      <c r="H63" s="1635"/>
      <c r="I63" s="1635"/>
    </row>
    <row r="65" spans="1:9">
      <c r="A65" s="90" t="s">
        <v>34</v>
      </c>
      <c r="B65" s="91" t="s">
        <v>27</v>
      </c>
      <c r="C65" s="1972" t="s">
        <v>1316</v>
      </c>
      <c r="D65" s="1972"/>
      <c r="E65" s="1972"/>
      <c r="F65" s="1972"/>
      <c r="G65" s="1972"/>
      <c r="H65" s="1972"/>
    </row>
    <row r="66" spans="1:9">
      <c r="C66" s="1972"/>
      <c r="D66" s="1972"/>
      <c r="E66" s="1972"/>
      <c r="F66" s="1972"/>
      <c r="G66" s="1972"/>
      <c r="H66" s="1972"/>
    </row>
    <row r="68" spans="1:9">
      <c r="C68" s="1635" t="s">
        <v>153</v>
      </c>
      <c r="D68" s="1635"/>
      <c r="E68" s="1635"/>
      <c r="F68" s="1635"/>
      <c r="G68" s="1635"/>
      <c r="H68" s="1635"/>
      <c r="I68" s="1635"/>
    </row>
  </sheetData>
  <mergeCells count="64">
    <mergeCell ref="B10:E11"/>
    <mergeCell ref="F10:H11"/>
    <mergeCell ref="B12:E12"/>
    <mergeCell ref="F12:H12"/>
    <mergeCell ref="B13:E13"/>
    <mergeCell ref="F13:H13"/>
    <mergeCell ref="B14:E14"/>
    <mergeCell ref="F14:H14"/>
    <mergeCell ref="B15:E16"/>
    <mergeCell ref="F15:H16"/>
    <mergeCell ref="B17:E21"/>
    <mergeCell ref="F17:H17"/>
    <mergeCell ref="F18:H18"/>
    <mergeCell ref="F19:H19"/>
    <mergeCell ref="F20:H21"/>
    <mergeCell ref="F38:F39"/>
    <mergeCell ref="F36:F37"/>
    <mergeCell ref="B22:E23"/>
    <mergeCell ref="F22:H23"/>
    <mergeCell ref="B24:E25"/>
    <mergeCell ref="F24:H25"/>
    <mergeCell ref="B28:C28"/>
    <mergeCell ref="B29:C29"/>
    <mergeCell ref="B30:C30"/>
    <mergeCell ref="B31:C31"/>
    <mergeCell ref="B32:C32"/>
    <mergeCell ref="B33:C33"/>
    <mergeCell ref="C36:C37"/>
    <mergeCell ref="B38:B39"/>
    <mergeCell ref="C38:C39"/>
    <mergeCell ref="E38:E39"/>
    <mergeCell ref="B40:B41"/>
    <mergeCell ref="C40:C41"/>
    <mergeCell ref="E40:E41"/>
    <mergeCell ref="F40:F41"/>
    <mergeCell ref="B42:B43"/>
    <mergeCell ref="C42:C43"/>
    <mergeCell ref="E42:E43"/>
    <mergeCell ref="F42:F43"/>
    <mergeCell ref="B44:B45"/>
    <mergeCell ref="C44:C45"/>
    <mergeCell ref="E44:E45"/>
    <mergeCell ref="F44:F45"/>
    <mergeCell ref="B46:B47"/>
    <mergeCell ref="C46:C47"/>
    <mergeCell ref="E46:E47"/>
    <mergeCell ref="F46:F47"/>
    <mergeCell ref="B48:B49"/>
    <mergeCell ref="C48:C49"/>
    <mergeCell ref="E48:E49"/>
    <mergeCell ref="F48:F49"/>
    <mergeCell ref="B50:B51"/>
    <mergeCell ref="C50:C51"/>
    <mergeCell ref="C68:I68"/>
    <mergeCell ref="B56:B57"/>
    <mergeCell ref="C56:C57"/>
    <mergeCell ref="B58:B59"/>
    <mergeCell ref="C58:C59"/>
    <mergeCell ref="C63:I63"/>
    <mergeCell ref="C65:H66"/>
    <mergeCell ref="B52:B53"/>
    <mergeCell ref="C52:C53"/>
    <mergeCell ref="B54:B55"/>
    <mergeCell ref="C54:C5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34B2-2BF1-45A8-92EB-6E5EB84166CF}">
  <dimension ref="A1:K72"/>
  <sheetViews>
    <sheetView workbookViewId="0">
      <selection activeCell="Q1" sqref="Q1"/>
    </sheetView>
  </sheetViews>
  <sheetFormatPr defaultColWidth="8.88671875" defaultRowHeight="15.6"/>
  <cols>
    <col min="1" max="1" width="3.5546875" style="90" customWidth="1"/>
    <col min="2" max="4" width="11.109375" style="90" customWidth="1"/>
    <col min="5" max="6" width="15.88671875" style="90" customWidth="1"/>
    <col min="7" max="7" width="11.109375" style="90" customWidth="1"/>
    <col min="8" max="9" width="8.88671875" style="90"/>
    <col min="10" max="10" width="2.5546875" style="90" customWidth="1"/>
    <col min="11" max="16384" width="8.88671875" style="3"/>
  </cols>
  <sheetData>
    <row r="1" spans="1:11">
      <c r="A1" s="90" t="s">
        <v>1315</v>
      </c>
      <c r="K1" s="3" t="s">
        <v>1315</v>
      </c>
    </row>
    <row r="2" spans="1:11">
      <c r="A2" s="90" t="s">
        <v>1358</v>
      </c>
      <c r="K2" s="3" t="s">
        <v>1358</v>
      </c>
    </row>
    <row r="3" spans="1:11" ht="18.45" customHeight="1">
      <c r="A3" s="106"/>
    </row>
    <row r="4" spans="1:11" ht="18.45" customHeight="1">
      <c r="A4" s="105"/>
      <c r="K4" s="3" t="s">
        <v>1357</v>
      </c>
    </row>
    <row r="5" spans="1:11">
      <c r="A5" s="105"/>
      <c r="B5" s="91" t="s">
        <v>1356</v>
      </c>
      <c r="C5" s="1972" t="s">
        <v>1355</v>
      </c>
      <c r="D5" s="1972"/>
      <c r="E5" s="1972"/>
      <c r="F5" s="1972"/>
      <c r="G5" s="1972"/>
      <c r="H5" s="1972"/>
    </row>
    <row r="6" spans="1:11">
      <c r="A6" s="966"/>
      <c r="C6" s="1972"/>
      <c r="D6" s="1972"/>
      <c r="E6" s="1972"/>
      <c r="F6" s="1972"/>
      <c r="G6" s="1972"/>
      <c r="H6" s="1972"/>
    </row>
    <row r="8" spans="1:11">
      <c r="B8" s="90" t="s">
        <v>323</v>
      </c>
    </row>
    <row r="9" spans="1:11">
      <c r="B9" s="960"/>
      <c r="C9" s="965"/>
    </row>
    <row r="10" spans="1:11">
      <c r="B10" s="1985" t="s">
        <v>563</v>
      </c>
      <c r="C10" s="1986" t="s">
        <v>1354</v>
      </c>
      <c r="D10" s="1986" t="s">
        <v>1353</v>
      </c>
      <c r="E10" s="1985" t="s">
        <v>1352</v>
      </c>
      <c r="F10" s="1986" t="s">
        <v>1351</v>
      </c>
    </row>
    <row r="11" spans="1:11">
      <c r="B11" s="1985"/>
      <c r="C11" s="1987"/>
      <c r="D11" s="1987"/>
      <c r="E11" s="1985"/>
      <c r="F11" s="1987"/>
    </row>
    <row r="12" spans="1:11">
      <c r="B12" s="1985"/>
      <c r="C12" s="1987"/>
      <c r="D12" s="1987"/>
      <c r="E12" s="1985"/>
      <c r="F12" s="1987"/>
    </row>
    <row r="13" spans="1:11">
      <c r="B13" s="1985"/>
      <c r="C13" s="980">
        <v>44104</v>
      </c>
      <c r="D13" s="979">
        <v>44104</v>
      </c>
      <c r="E13" s="1985"/>
      <c r="F13" s="978" t="s">
        <v>1350</v>
      </c>
    </row>
    <row r="14" spans="1:11">
      <c r="B14" s="1985"/>
      <c r="C14" s="977"/>
      <c r="D14" s="977"/>
      <c r="E14" s="1985"/>
      <c r="F14" s="976">
        <v>43830</v>
      </c>
    </row>
    <row r="15" spans="1:11">
      <c r="B15" s="957" t="s">
        <v>560</v>
      </c>
      <c r="C15" s="957">
        <v>66.400000000000006</v>
      </c>
      <c r="D15" s="972">
        <v>104000</v>
      </c>
      <c r="E15" s="957">
        <v>0.75</v>
      </c>
      <c r="F15" s="972">
        <v>72405</v>
      </c>
    </row>
    <row r="16" spans="1:11">
      <c r="B16" s="957" t="s">
        <v>559</v>
      </c>
      <c r="C16" s="957">
        <v>62.8</v>
      </c>
      <c r="D16" s="972">
        <v>128000</v>
      </c>
      <c r="E16" s="957">
        <v>0.75</v>
      </c>
      <c r="F16" s="972">
        <v>59455</v>
      </c>
    </row>
    <row r="18" spans="2:8">
      <c r="B18" s="1972" t="s">
        <v>1349</v>
      </c>
      <c r="C18" s="1972"/>
      <c r="D18" s="1972"/>
      <c r="E18" s="1972"/>
      <c r="F18" s="1972"/>
      <c r="G18" s="1972"/>
      <c r="H18" s="1972"/>
    </row>
    <row r="19" spans="2:8">
      <c r="B19" s="1972"/>
      <c r="C19" s="1972"/>
      <c r="D19" s="1972"/>
      <c r="E19" s="1972"/>
      <c r="F19" s="1972"/>
      <c r="G19" s="1972"/>
      <c r="H19" s="1972"/>
    </row>
    <row r="20" spans="2:8">
      <c r="B20" s="1972"/>
      <c r="C20" s="1972"/>
      <c r="D20" s="1972"/>
      <c r="E20" s="1972"/>
      <c r="F20" s="1972"/>
      <c r="G20" s="1972"/>
      <c r="H20" s="1972"/>
    </row>
    <row r="21" spans="2:8">
      <c r="B21" s="1972"/>
      <c r="C21" s="1972"/>
      <c r="D21" s="1972"/>
      <c r="E21" s="1972"/>
      <c r="F21" s="1972"/>
      <c r="G21" s="1972"/>
      <c r="H21" s="1972"/>
    </row>
    <row r="22" spans="2:8">
      <c r="B22" s="1972"/>
      <c r="C22" s="1972"/>
      <c r="D22" s="1972"/>
      <c r="E22" s="1972"/>
      <c r="F22" s="1972"/>
      <c r="G22" s="1972"/>
      <c r="H22" s="1972"/>
    </row>
    <row r="23" spans="2:8">
      <c r="B23" s="1972"/>
      <c r="C23" s="1972"/>
      <c r="D23" s="1972"/>
      <c r="E23" s="1972"/>
      <c r="F23" s="1972"/>
      <c r="G23" s="1972"/>
      <c r="H23" s="1972"/>
    </row>
    <row r="25" spans="2:8">
      <c r="B25" s="1985" t="s">
        <v>1348</v>
      </c>
      <c r="C25" s="1985" t="s">
        <v>94</v>
      </c>
    </row>
    <row r="26" spans="2:8">
      <c r="B26" s="1985"/>
      <c r="C26" s="1985"/>
    </row>
    <row r="27" spans="2:8">
      <c r="B27" s="957">
        <v>62</v>
      </c>
      <c r="C27" s="975">
        <v>12</v>
      </c>
    </row>
    <row r="28" spans="2:8">
      <c r="B28" s="957">
        <v>63</v>
      </c>
      <c r="C28" s="975">
        <v>12.2</v>
      </c>
    </row>
    <row r="29" spans="2:8">
      <c r="B29" s="957">
        <v>64</v>
      </c>
      <c r="C29" s="975">
        <v>12.4</v>
      </c>
    </row>
    <row r="30" spans="2:8">
      <c r="B30" s="957">
        <v>65</v>
      </c>
      <c r="C30" s="975">
        <v>12.4</v>
      </c>
    </row>
    <row r="31" spans="2:8">
      <c r="B31" s="957">
        <v>66</v>
      </c>
      <c r="C31" s="975">
        <v>12</v>
      </c>
    </row>
    <row r="32" spans="2:8">
      <c r="B32" s="957">
        <v>67</v>
      </c>
      <c r="C32" s="975">
        <v>11.7</v>
      </c>
    </row>
    <row r="34" spans="1:9">
      <c r="A34" s="90" t="s">
        <v>26</v>
      </c>
      <c r="B34" s="91" t="s">
        <v>210</v>
      </c>
      <c r="C34" s="90" t="s">
        <v>1347</v>
      </c>
    </row>
    <row r="36" spans="1:9">
      <c r="C36" s="1635" t="s">
        <v>153</v>
      </c>
      <c r="D36" s="1635"/>
      <c r="E36" s="1635"/>
      <c r="F36" s="1635"/>
      <c r="G36" s="1635"/>
      <c r="H36" s="1635"/>
      <c r="I36" s="1635"/>
    </row>
    <row r="38" spans="1:9">
      <c r="A38" s="90" t="s">
        <v>34</v>
      </c>
      <c r="B38" s="91" t="s">
        <v>210</v>
      </c>
      <c r="C38" s="970" t="s">
        <v>1346</v>
      </c>
    </row>
    <row r="40" spans="1:9">
      <c r="C40" s="1635" t="s">
        <v>153</v>
      </c>
      <c r="D40" s="1635"/>
      <c r="E40" s="1635"/>
      <c r="F40" s="1635"/>
      <c r="G40" s="1635"/>
      <c r="H40" s="1635"/>
      <c r="I40" s="1635"/>
    </row>
    <row r="42" spans="1:9">
      <c r="B42" s="90" t="s">
        <v>323</v>
      </c>
    </row>
    <row r="44" spans="1:9">
      <c r="B44" s="1985" t="s">
        <v>563</v>
      </c>
      <c r="C44" s="1985" t="s">
        <v>1345</v>
      </c>
      <c r="D44" s="1985"/>
      <c r="E44" s="1985" t="s">
        <v>1344</v>
      </c>
      <c r="F44" s="1985"/>
      <c r="G44" s="1985" t="s">
        <v>1343</v>
      </c>
      <c r="H44" s="1985"/>
    </row>
    <row r="45" spans="1:9">
      <c r="B45" s="1985"/>
      <c r="C45" s="1985"/>
      <c r="D45" s="1985"/>
      <c r="E45" s="1985"/>
      <c r="F45" s="1985"/>
      <c r="G45" s="1985"/>
      <c r="H45" s="1985"/>
    </row>
    <row r="46" spans="1:9">
      <c r="B46" s="1985"/>
      <c r="C46" s="1985"/>
      <c r="D46" s="1985"/>
      <c r="E46" s="1985"/>
      <c r="F46" s="1985"/>
      <c r="G46" s="1985"/>
      <c r="H46" s="1985"/>
    </row>
    <row r="47" spans="1:9">
      <c r="B47" s="957" t="s">
        <v>560</v>
      </c>
      <c r="C47" s="1984">
        <v>6400</v>
      </c>
      <c r="D47" s="1984"/>
      <c r="E47" s="1984">
        <v>2000</v>
      </c>
      <c r="F47" s="1984"/>
      <c r="G47" s="1984">
        <v>37000</v>
      </c>
      <c r="H47" s="1984"/>
    </row>
    <row r="48" spans="1:9">
      <c r="B48" s="957" t="s">
        <v>559</v>
      </c>
      <c r="C48" s="1984">
        <v>8600</v>
      </c>
      <c r="D48" s="1984"/>
      <c r="E48" s="1984">
        <v>0</v>
      </c>
      <c r="F48" s="1984"/>
      <c r="G48" s="1984">
        <v>46000</v>
      </c>
      <c r="H48" s="1984"/>
    </row>
    <row r="50" spans="1:9">
      <c r="A50" s="90" t="s">
        <v>38</v>
      </c>
      <c r="B50" s="91" t="s">
        <v>71</v>
      </c>
      <c r="C50" s="90" t="s">
        <v>1342</v>
      </c>
    </row>
    <row r="52" spans="1:9">
      <c r="C52" s="1635" t="s">
        <v>153</v>
      </c>
      <c r="D52" s="1635"/>
      <c r="E52" s="1635"/>
      <c r="F52" s="1635"/>
      <c r="G52" s="1635"/>
      <c r="H52" s="1635"/>
      <c r="I52" s="1635"/>
    </row>
    <row r="54" spans="1:9">
      <c r="B54" s="90" t="s">
        <v>323</v>
      </c>
    </row>
    <row r="56" spans="1:9">
      <c r="B56" s="974" t="s">
        <v>563</v>
      </c>
      <c r="C56" s="1985" t="s">
        <v>1341</v>
      </c>
      <c r="D56" s="1985"/>
    </row>
    <row r="57" spans="1:9">
      <c r="B57" s="973" t="s">
        <v>560</v>
      </c>
      <c r="C57" s="1984">
        <v>144000</v>
      </c>
      <c r="D57" s="1984"/>
    </row>
    <row r="58" spans="1:9">
      <c r="B58" s="973" t="s">
        <v>559</v>
      </c>
      <c r="C58" s="1984">
        <v>177000</v>
      </c>
      <c r="D58" s="1984"/>
    </row>
    <row r="60" spans="1:9">
      <c r="B60" s="1972" t="s">
        <v>1340</v>
      </c>
      <c r="C60" s="1972"/>
      <c r="D60" s="1972"/>
      <c r="E60" s="1972"/>
      <c r="F60" s="1972"/>
      <c r="G60" s="1972"/>
      <c r="H60" s="1972"/>
    </row>
    <row r="61" spans="1:9">
      <c r="B61" s="1972"/>
      <c r="C61" s="1972"/>
      <c r="D61" s="1972"/>
      <c r="E61" s="1972"/>
      <c r="F61" s="1972"/>
      <c r="G61" s="1972"/>
      <c r="H61" s="1972"/>
    </row>
    <row r="63" spans="1:9">
      <c r="A63" s="90" t="s">
        <v>211</v>
      </c>
      <c r="B63" s="91" t="s">
        <v>71</v>
      </c>
      <c r="C63" s="1972" t="s">
        <v>1339</v>
      </c>
      <c r="D63" s="1972"/>
      <c r="E63" s="1972"/>
      <c r="F63" s="1972"/>
      <c r="G63" s="1972"/>
      <c r="H63" s="1972"/>
    </row>
    <row r="64" spans="1:9">
      <c r="C64" s="1972"/>
      <c r="D64" s="1972"/>
      <c r="E64" s="1972"/>
      <c r="F64" s="1972"/>
      <c r="G64" s="1972"/>
      <c r="H64" s="1972"/>
    </row>
    <row r="66" spans="3:9">
      <c r="C66" s="970" t="s">
        <v>1338</v>
      </c>
    </row>
    <row r="67" spans="3:9">
      <c r="C67" s="971"/>
    </row>
    <row r="68" spans="3:9">
      <c r="C68" s="970" t="s">
        <v>1337</v>
      </c>
    </row>
    <row r="69" spans="3:9">
      <c r="C69" s="971"/>
    </row>
    <row r="70" spans="3:9">
      <c r="C70" s="970" t="s">
        <v>1336</v>
      </c>
    </row>
    <row r="72" spans="3:9">
      <c r="C72" s="1635" t="s">
        <v>153</v>
      </c>
      <c r="D72" s="1635"/>
      <c r="E72" s="1635"/>
      <c r="F72" s="1635"/>
      <c r="G72" s="1635"/>
      <c r="H72" s="1635"/>
      <c r="I72" s="1635"/>
    </row>
  </sheetData>
  <mergeCells count="28">
    <mergeCell ref="C5:H6"/>
    <mergeCell ref="B10:B14"/>
    <mergeCell ref="C10:C12"/>
    <mergeCell ref="D10:D12"/>
    <mergeCell ref="E10:E14"/>
    <mergeCell ref="F10:F12"/>
    <mergeCell ref="C47:D47"/>
    <mergeCell ref="E47:F47"/>
    <mergeCell ref="G47:H47"/>
    <mergeCell ref="B44:B46"/>
    <mergeCell ref="C44:D46"/>
    <mergeCell ref="E44:F46"/>
    <mergeCell ref="G44:H46"/>
    <mergeCell ref="B18:H23"/>
    <mergeCell ref="B25:B26"/>
    <mergeCell ref="C25:C26"/>
    <mergeCell ref="C36:I36"/>
    <mergeCell ref="C40:I40"/>
    <mergeCell ref="C48:D48"/>
    <mergeCell ref="E48:F48"/>
    <mergeCell ref="G48:H48"/>
    <mergeCell ref="C72:I72"/>
    <mergeCell ref="C52:I52"/>
    <mergeCell ref="C56:D56"/>
    <mergeCell ref="C57:D57"/>
    <mergeCell ref="C58:D58"/>
    <mergeCell ref="B60:H61"/>
    <mergeCell ref="C63:H6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3131-3D00-4730-A5A7-974F27CA38A8}">
  <dimension ref="A1:K46"/>
  <sheetViews>
    <sheetView workbookViewId="0">
      <selection activeCell="Q1" sqref="Q1"/>
    </sheetView>
  </sheetViews>
  <sheetFormatPr defaultColWidth="8.88671875" defaultRowHeight="15.6"/>
  <cols>
    <col min="1" max="1" width="3.5546875" style="90" customWidth="1"/>
    <col min="2" max="2" width="11.109375" style="90" customWidth="1"/>
    <col min="3" max="4" width="12" style="90" customWidth="1"/>
    <col min="5" max="5" width="17.33203125" style="90" customWidth="1"/>
    <col min="6" max="7" width="12" style="90" customWidth="1"/>
    <col min="8" max="9" width="8.88671875" style="90"/>
    <col min="10" max="10" width="8.6640625" style="90" customWidth="1"/>
    <col min="11" max="16384" width="8.88671875" style="3"/>
  </cols>
  <sheetData>
    <row r="1" spans="1:11">
      <c r="A1" s="90" t="s">
        <v>205</v>
      </c>
      <c r="K1" s="3" t="s">
        <v>205</v>
      </c>
    </row>
    <row r="2" spans="1:11">
      <c r="A2" s="90" t="s">
        <v>569</v>
      </c>
      <c r="K2" s="3" t="s">
        <v>569</v>
      </c>
    </row>
    <row r="3" spans="1:11" ht="18.45" customHeight="1">
      <c r="A3" s="106"/>
    </row>
    <row r="4" spans="1:11" ht="18.45" customHeight="1">
      <c r="A4" s="105"/>
      <c r="K4" s="3" t="s">
        <v>1394</v>
      </c>
    </row>
    <row r="5" spans="1:11">
      <c r="A5" s="105"/>
      <c r="B5" s="91" t="s">
        <v>402</v>
      </c>
      <c r="C5" s="90" t="s">
        <v>1393</v>
      </c>
    </row>
    <row r="7" spans="1:11">
      <c r="C7" s="90" t="s">
        <v>323</v>
      </c>
    </row>
    <row r="9" spans="1:11">
      <c r="C9" s="94" t="s">
        <v>1392</v>
      </c>
    </row>
    <row r="10" spans="1:11">
      <c r="C10" s="1991" t="s">
        <v>563</v>
      </c>
      <c r="D10" s="1993" t="s">
        <v>1391</v>
      </c>
      <c r="E10" s="1995" t="s">
        <v>1390</v>
      </c>
      <c r="F10" s="1993" t="s">
        <v>319</v>
      </c>
      <c r="G10" s="1997" t="s">
        <v>1389</v>
      </c>
    </row>
    <row r="11" spans="1:11">
      <c r="C11" s="1992"/>
      <c r="D11" s="1994"/>
      <c r="E11" s="1996"/>
      <c r="F11" s="1994"/>
      <c r="G11" s="1998"/>
    </row>
    <row r="12" spans="1:11">
      <c r="C12" s="961" t="s">
        <v>1388</v>
      </c>
      <c r="D12" s="99" t="s">
        <v>560</v>
      </c>
      <c r="E12" s="986" t="s">
        <v>1387</v>
      </c>
      <c r="F12" s="989">
        <v>90000</v>
      </c>
      <c r="G12" s="103">
        <v>18000</v>
      </c>
    </row>
    <row r="13" spans="1:11">
      <c r="C13" s="988" t="s">
        <v>1386</v>
      </c>
      <c r="D13" s="987" t="s">
        <v>560</v>
      </c>
      <c r="E13" s="986" t="s">
        <v>1385</v>
      </c>
      <c r="F13" s="985">
        <v>180000</v>
      </c>
      <c r="G13" s="984">
        <v>36000</v>
      </c>
    </row>
    <row r="15" spans="1:11">
      <c r="C15" s="94" t="s">
        <v>1384</v>
      </c>
    </row>
    <row r="16" spans="1:11">
      <c r="C16" s="1970" t="s">
        <v>1063</v>
      </c>
      <c r="D16" s="1970"/>
      <c r="E16" s="1990" t="s">
        <v>1383</v>
      </c>
      <c r="F16" s="1990"/>
      <c r="G16" s="1990"/>
    </row>
    <row r="17" spans="3:7">
      <c r="C17" s="1970"/>
      <c r="D17" s="1970"/>
      <c r="E17" s="1990"/>
      <c r="F17" s="1990"/>
      <c r="G17" s="1990"/>
    </row>
    <row r="18" spans="3:7">
      <c r="C18" s="1970" t="s">
        <v>564</v>
      </c>
      <c r="D18" s="1970"/>
      <c r="E18" s="1970" t="s">
        <v>1382</v>
      </c>
      <c r="F18" s="1970"/>
      <c r="G18" s="1970"/>
    </row>
    <row r="19" spans="3:7">
      <c r="C19" s="1970" t="s">
        <v>1381</v>
      </c>
      <c r="D19" s="1970"/>
      <c r="E19" s="1643" t="s">
        <v>1380</v>
      </c>
      <c r="F19" s="1643"/>
      <c r="G19" s="1643"/>
    </row>
    <row r="20" spans="3:7">
      <c r="C20" s="1970" t="s">
        <v>190</v>
      </c>
      <c r="D20" s="1970"/>
      <c r="E20" s="1643" t="s">
        <v>127</v>
      </c>
      <c r="F20" s="1643"/>
      <c r="G20" s="1643"/>
    </row>
    <row r="21" spans="3:7">
      <c r="C21" s="1970" t="s">
        <v>1379</v>
      </c>
      <c r="D21" s="1970"/>
      <c r="E21" s="1644" t="s">
        <v>1378</v>
      </c>
      <c r="F21" s="1644"/>
      <c r="G21" s="1644"/>
    </row>
    <row r="22" spans="3:7">
      <c r="C22" s="1970"/>
      <c r="D22" s="1970"/>
      <c r="E22" s="1644"/>
      <c r="F22" s="1644"/>
      <c r="G22" s="1644"/>
    </row>
    <row r="24" spans="3:7">
      <c r="C24" s="94" t="s">
        <v>1377</v>
      </c>
    </row>
    <row r="25" spans="3:7">
      <c r="C25" s="1988" t="s">
        <v>1376</v>
      </c>
      <c r="D25" s="1989"/>
      <c r="E25" s="983" t="s">
        <v>1375</v>
      </c>
    </row>
    <row r="26" spans="3:7">
      <c r="C26" s="1645" t="s">
        <v>1374</v>
      </c>
      <c r="D26" s="1647"/>
      <c r="E26" s="100" t="s">
        <v>1373</v>
      </c>
    </row>
    <row r="27" spans="3:7">
      <c r="C27" s="1645" t="s">
        <v>1372</v>
      </c>
      <c r="D27" s="1647"/>
      <c r="E27" s="100" t="s">
        <v>1371</v>
      </c>
    </row>
    <row r="28" spans="3:7">
      <c r="C28" s="1645" t="s">
        <v>1370</v>
      </c>
      <c r="D28" s="1647"/>
      <c r="E28" s="100" t="s">
        <v>1369</v>
      </c>
    </row>
    <row r="29" spans="3:7">
      <c r="C29" s="1645" t="s">
        <v>1368</v>
      </c>
      <c r="D29" s="1647"/>
      <c r="E29" s="982" t="s">
        <v>1367</v>
      </c>
    </row>
    <row r="31" spans="3:7">
      <c r="C31" s="94" t="s">
        <v>1366</v>
      </c>
    </row>
    <row r="33" spans="2:10">
      <c r="C33" s="94" t="s">
        <v>1365</v>
      </c>
      <c r="G33" s="981">
        <v>3092.22</v>
      </c>
    </row>
    <row r="35" spans="2:10">
      <c r="C35" s="90" t="s">
        <v>1364</v>
      </c>
    </row>
    <row r="36" spans="2:10">
      <c r="C36" s="90" t="s">
        <v>1363</v>
      </c>
    </row>
    <row r="37" spans="2:10">
      <c r="C37" s="90" t="s">
        <v>1362</v>
      </c>
    </row>
    <row r="39" spans="2:10">
      <c r="B39" s="90" t="s">
        <v>26</v>
      </c>
      <c r="C39" s="91" t="s">
        <v>27</v>
      </c>
      <c r="D39" s="90" t="s">
        <v>1361</v>
      </c>
    </row>
    <row r="41" spans="2:10">
      <c r="D41" s="1635" t="s">
        <v>153</v>
      </c>
      <c r="E41" s="1635"/>
      <c r="F41" s="1635"/>
      <c r="G41" s="1635"/>
      <c r="H41" s="1635"/>
      <c r="I41" s="1635"/>
      <c r="J41" s="1635"/>
    </row>
    <row r="43" spans="2:10">
      <c r="B43" s="90" t="s">
        <v>34</v>
      </c>
      <c r="C43" s="91" t="s">
        <v>27</v>
      </c>
      <c r="D43" s="90" t="s">
        <v>1360</v>
      </c>
    </row>
    <row r="44" spans="2:10">
      <c r="D44" s="90" t="s">
        <v>1359</v>
      </c>
    </row>
    <row r="46" spans="2:10">
      <c r="D46" s="1635" t="s">
        <v>206</v>
      </c>
      <c r="E46" s="1635"/>
      <c r="F46" s="1635"/>
      <c r="G46" s="1635"/>
      <c r="H46" s="1635"/>
      <c r="I46" s="1635"/>
      <c r="J46" s="1635"/>
    </row>
  </sheetData>
  <mergeCells count="22">
    <mergeCell ref="C16:D17"/>
    <mergeCell ref="E16:G17"/>
    <mergeCell ref="C10:C11"/>
    <mergeCell ref="D10:D11"/>
    <mergeCell ref="E10:E11"/>
    <mergeCell ref="F10:F11"/>
    <mergeCell ref="G10:G11"/>
    <mergeCell ref="C18:D18"/>
    <mergeCell ref="E18:G18"/>
    <mergeCell ref="C19:D19"/>
    <mergeCell ref="E19:G19"/>
    <mergeCell ref="C20:D20"/>
    <mergeCell ref="E20:G20"/>
    <mergeCell ref="C29:D29"/>
    <mergeCell ref="D41:J41"/>
    <mergeCell ref="D46:J46"/>
    <mergeCell ref="C21:D22"/>
    <mergeCell ref="E21:G22"/>
    <mergeCell ref="C25:D25"/>
    <mergeCell ref="C26:D26"/>
    <mergeCell ref="C27:D27"/>
    <mergeCell ref="C28:D28"/>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863CC-52EE-46FC-BCF1-DB473857BC72}">
  <dimension ref="A1:AA130"/>
  <sheetViews>
    <sheetView zoomScale="85" zoomScaleNormal="85" workbookViewId="0">
      <selection activeCell="Q1" sqref="Q1"/>
    </sheetView>
  </sheetViews>
  <sheetFormatPr defaultColWidth="9.109375" defaultRowHeight="15.6"/>
  <cols>
    <col min="1" max="1" width="3.6640625" style="993" customWidth="1"/>
    <col min="2" max="2" width="35.88671875" style="993" customWidth="1"/>
    <col min="3" max="3" width="24.33203125" style="993" customWidth="1"/>
    <col min="4" max="4" width="27.6640625" style="993" customWidth="1"/>
    <col min="5" max="5" width="6.88671875" style="993" bestFit="1" customWidth="1"/>
    <col min="6" max="6" width="10" style="993" hidden="1" customWidth="1"/>
    <col min="7" max="7" width="6.88671875" style="993" hidden="1" customWidth="1"/>
    <col min="8" max="8" width="10" style="993" hidden="1" customWidth="1"/>
    <col min="9" max="9" width="6.88671875" style="993" hidden="1" customWidth="1"/>
    <col min="10" max="10" width="10" style="993" hidden="1" customWidth="1"/>
    <col min="11" max="11" width="6.88671875" style="993" hidden="1" customWidth="1"/>
    <col min="12" max="12" width="10" style="993" hidden="1" customWidth="1"/>
    <col min="13" max="13" width="2.6640625" style="993" customWidth="1"/>
    <col min="14" max="14" width="1" style="991" customWidth="1"/>
    <col min="15" max="15" width="9.109375" style="992"/>
    <col min="16" max="16" width="12" style="992" customWidth="1"/>
    <col min="17" max="17" width="17.33203125" style="992" customWidth="1"/>
    <col min="18" max="18" width="13.44140625" style="992" customWidth="1"/>
    <col min="19" max="19" width="12.5546875" style="992" bestFit="1" customWidth="1"/>
    <col min="20" max="20" width="15" style="992" customWidth="1"/>
    <col min="21" max="21" width="9.109375" style="992"/>
    <col min="22" max="22" width="11" style="992" customWidth="1"/>
    <col min="23" max="23" width="9.109375" style="992"/>
    <col min="24" max="26" width="14.6640625" style="992" customWidth="1"/>
    <col min="27" max="27" width="1" style="991" customWidth="1"/>
    <col min="28" max="16384" width="9.109375" style="990"/>
  </cols>
  <sheetData>
    <row r="1" spans="1:26">
      <c r="A1" s="1029" t="s">
        <v>1434</v>
      </c>
      <c r="O1" s="1029" t="s">
        <v>1434</v>
      </c>
      <c r="P1" s="993"/>
      <c r="Q1" s="993"/>
      <c r="R1" s="993"/>
      <c r="S1" s="993"/>
      <c r="T1" s="993"/>
      <c r="U1" s="993"/>
      <c r="V1" s="993"/>
      <c r="W1" s="993"/>
      <c r="X1" s="993"/>
      <c r="Y1" s="993"/>
      <c r="Z1" s="993"/>
    </row>
    <row r="2" spans="1:26">
      <c r="A2" s="1029" t="s">
        <v>1433</v>
      </c>
      <c r="O2" s="1029" t="s">
        <v>1433</v>
      </c>
      <c r="P2" s="993"/>
      <c r="Q2" s="993"/>
      <c r="R2" s="993"/>
      <c r="S2" s="993"/>
      <c r="T2" s="993"/>
      <c r="U2" s="993"/>
      <c r="V2" s="993"/>
      <c r="W2" s="993"/>
      <c r="X2" s="993"/>
      <c r="Y2" s="993"/>
      <c r="Z2" s="993"/>
    </row>
    <row r="3" spans="1:26">
      <c r="A3" s="1029" t="s">
        <v>525</v>
      </c>
      <c r="O3" s="1029" t="s">
        <v>525</v>
      </c>
      <c r="P3" s="993"/>
      <c r="Q3" s="993"/>
      <c r="R3" s="993"/>
      <c r="S3" s="993"/>
      <c r="T3" s="993"/>
      <c r="U3" s="993"/>
      <c r="V3" s="993"/>
      <c r="W3" s="993"/>
      <c r="X3" s="993"/>
      <c r="Y3" s="993"/>
      <c r="Z3" s="993"/>
    </row>
    <row r="4" spans="1:26">
      <c r="O4" s="993"/>
      <c r="P4" s="993"/>
      <c r="Q4" s="993"/>
      <c r="R4" s="993"/>
      <c r="S4" s="993"/>
      <c r="T4" s="993"/>
      <c r="U4" s="993"/>
      <c r="V4" s="993"/>
      <c r="W4" s="993"/>
      <c r="X4" s="993"/>
      <c r="Y4" s="993"/>
      <c r="Z4" s="993"/>
    </row>
    <row r="5" spans="1:26" ht="16.2">
      <c r="A5" s="2000" t="s">
        <v>1432</v>
      </c>
      <c r="B5" s="2000"/>
      <c r="C5" s="2000"/>
      <c r="D5" s="2000"/>
      <c r="E5" s="2000"/>
      <c r="F5" s="2000"/>
      <c r="G5" s="2000"/>
      <c r="H5" s="2000"/>
      <c r="I5" s="2000"/>
      <c r="J5" s="2000"/>
      <c r="K5" s="2000"/>
      <c r="L5" s="2000"/>
      <c r="M5" s="2000"/>
      <c r="O5" s="1028" t="s">
        <v>1431</v>
      </c>
      <c r="P5" s="993"/>
      <c r="Q5" s="993"/>
      <c r="R5" s="993"/>
      <c r="S5" s="993"/>
      <c r="T5" s="993"/>
      <c r="U5" s="993"/>
      <c r="V5" s="993"/>
      <c r="W5" s="993"/>
      <c r="X5" s="993"/>
      <c r="Y5" s="993"/>
      <c r="Z5" s="993"/>
    </row>
    <row r="6" spans="1:26">
      <c r="A6" s="2000"/>
      <c r="B6" s="2000"/>
      <c r="C6" s="2000"/>
      <c r="D6" s="2000"/>
      <c r="E6" s="2000"/>
      <c r="F6" s="2000"/>
      <c r="G6" s="2000"/>
      <c r="H6" s="2000"/>
      <c r="I6" s="2000"/>
      <c r="J6" s="2000"/>
      <c r="K6" s="2000"/>
      <c r="L6" s="2000"/>
      <c r="M6" s="2000"/>
      <c r="O6" s="993"/>
      <c r="P6" s="993"/>
      <c r="Q6" s="993"/>
      <c r="R6" s="993"/>
      <c r="S6" s="993"/>
      <c r="T6" s="993"/>
      <c r="U6" s="993"/>
      <c r="V6" s="993"/>
      <c r="W6" s="993"/>
      <c r="X6" s="993"/>
      <c r="Y6" s="993"/>
      <c r="Z6" s="993"/>
    </row>
    <row r="7" spans="1:26" ht="16.2">
      <c r="A7" s="1028"/>
      <c r="O7" s="993" t="s">
        <v>34</v>
      </c>
      <c r="P7" s="2001" t="s">
        <v>1430</v>
      </c>
      <c r="Q7" s="2001"/>
      <c r="R7" s="2001"/>
      <c r="S7" s="2001"/>
      <c r="T7" s="2001"/>
      <c r="U7" s="2001"/>
      <c r="V7" s="2001"/>
      <c r="W7" s="2001"/>
      <c r="X7" s="2001"/>
      <c r="Y7" s="2001"/>
      <c r="Z7" s="2001"/>
    </row>
    <row r="8" spans="1:26" ht="16.2" thickBot="1">
      <c r="O8" s="993"/>
      <c r="P8" s="1024"/>
      <c r="Q8" s="1024"/>
      <c r="R8" s="1024"/>
      <c r="S8" s="1024"/>
      <c r="T8" s="1024"/>
      <c r="U8" s="1024"/>
      <c r="V8" s="1024"/>
      <c r="W8" s="1024"/>
      <c r="X8" s="1024"/>
      <c r="Y8" s="1024"/>
      <c r="Z8" s="1024"/>
    </row>
    <row r="9" spans="1:26" ht="16.2" thickBot="1">
      <c r="B9" s="1027" t="s">
        <v>1429</v>
      </c>
      <c r="C9" s="1026" t="s">
        <v>1428</v>
      </c>
      <c r="D9" s="1026" t="s">
        <v>1427</v>
      </c>
      <c r="O9" s="993"/>
      <c r="P9" s="1025" t="s">
        <v>1426</v>
      </c>
      <c r="Q9" s="1024"/>
      <c r="R9" s="1024"/>
      <c r="S9" s="1024"/>
      <c r="T9" s="1024"/>
      <c r="U9" s="1024"/>
      <c r="V9" s="1024"/>
      <c r="W9" s="1024"/>
      <c r="X9" s="1024"/>
      <c r="Y9" s="1024"/>
      <c r="Z9" s="1024"/>
    </row>
    <row r="10" spans="1:26" ht="31.8" thickBot="1">
      <c r="B10" s="1013" t="s">
        <v>1425</v>
      </c>
      <c r="C10" s="1022" t="s">
        <v>1424</v>
      </c>
      <c r="D10" s="1022" t="s">
        <v>1423</v>
      </c>
      <c r="E10" s="1019"/>
      <c r="F10" s="1019"/>
      <c r="G10" s="1019"/>
      <c r="H10" s="1019"/>
      <c r="I10" s="1019"/>
      <c r="J10" s="1019"/>
      <c r="K10" s="1019"/>
      <c r="L10" s="1019"/>
    </row>
    <row r="11" spans="1:26" ht="16.2" thickBot="1">
      <c r="B11" s="1013" t="s">
        <v>1422</v>
      </c>
      <c r="C11" s="1022" t="s">
        <v>1421</v>
      </c>
      <c r="D11" s="1022" t="s">
        <v>1420</v>
      </c>
      <c r="E11" s="1019"/>
      <c r="F11" s="1019"/>
      <c r="G11" s="1019"/>
      <c r="H11" s="1019"/>
      <c r="I11" s="1019"/>
      <c r="J11" s="1019"/>
      <c r="K11" s="1019"/>
      <c r="L11" s="1019"/>
    </row>
    <row r="12" spans="1:26">
      <c r="B12" s="1023" t="s">
        <v>1419</v>
      </c>
      <c r="C12" s="2002" t="s">
        <v>1418</v>
      </c>
      <c r="D12" s="2002" t="s">
        <v>1417</v>
      </c>
      <c r="E12" s="1019"/>
      <c r="F12" s="1019"/>
      <c r="G12" s="1019"/>
      <c r="H12" s="1019"/>
      <c r="I12" s="1019"/>
      <c r="J12" s="1019"/>
      <c r="K12" s="1019"/>
      <c r="L12" s="1019"/>
    </row>
    <row r="13" spans="1:26" ht="48" customHeight="1" thickBot="1">
      <c r="B13" s="1013" t="s">
        <v>1416</v>
      </c>
      <c r="C13" s="2003"/>
      <c r="D13" s="2003"/>
      <c r="E13" s="1019"/>
      <c r="F13" s="1019"/>
      <c r="G13" s="1019"/>
      <c r="H13" s="1019"/>
      <c r="I13" s="1019"/>
      <c r="J13" s="1019"/>
      <c r="K13" s="1019"/>
      <c r="L13" s="1019"/>
    </row>
    <row r="14" spans="1:26" ht="60" customHeight="1" thickBot="1">
      <c r="B14" s="1021" t="s">
        <v>1415</v>
      </c>
      <c r="C14" s="1022" t="s">
        <v>1414</v>
      </c>
      <c r="D14" s="1022" t="s">
        <v>1413</v>
      </c>
      <c r="E14" s="1019"/>
      <c r="F14" s="1019"/>
      <c r="G14" s="1019"/>
      <c r="H14" s="1019"/>
      <c r="I14" s="1019"/>
      <c r="J14" s="1019"/>
      <c r="K14" s="1019"/>
      <c r="L14" s="1019"/>
    </row>
    <row r="15" spans="1:26" ht="16.2" thickBot="1">
      <c r="B15" s="1021" t="s">
        <v>1412</v>
      </c>
      <c r="C15" s="1020">
        <v>1</v>
      </c>
      <c r="D15" s="1020">
        <v>0.75</v>
      </c>
      <c r="E15" s="1019"/>
      <c r="F15" s="1019"/>
      <c r="G15" s="1019"/>
      <c r="H15" s="1019"/>
      <c r="I15" s="1019"/>
      <c r="J15" s="1019"/>
      <c r="K15" s="1019"/>
      <c r="L15" s="1019"/>
    </row>
    <row r="16" spans="1:26">
      <c r="R16" s="1000"/>
    </row>
    <row r="17" spans="1:17">
      <c r="A17" s="993" t="s">
        <v>1411</v>
      </c>
      <c r="B17" s="1018"/>
      <c r="C17" s="1018"/>
      <c r="D17" s="1018"/>
      <c r="Q17" s="1000"/>
    </row>
    <row r="18" spans="1:17" ht="16.2" thickBot="1">
      <c r="Q18" s="1005"/>
    </row>
    <row r="19" spans="1:17" ht="16.2" thickBot="1">
      <c r="B19" s="1017" t="s">
        <v>1410</v>
      </c>
      <c r="C19" s="1016">
        <v>50</v>
      </c>
    </row>
    <row r="20" spans="1:17" ht="16.2" thickBot="1">
      <c r="B20" s="1013" t="s">
        <v>1409</v>
      </c>
      <c r="C20" s="1012">
        <v>65</v>
      </c>
    </row>
    <row r="21" spans="1:17" ht="16.2" thickBot="1">
      <c r="B21" s="1013" t="s">
        <v>1408</v>
      </c>
      <c r="C21" s="1012">
        <v>20</v>
      </c>
      <c r="Q21" s="1000"/>
    </row>
    <row r="22" spans="1:17" ht="16.2" thickBot="1">
      <c r="B22" s="1013" t="s">
        <v>1407</v>
      </c>
      <c r="C22" s="1015">
        <v>300000</v>
      </c>
    </row>
    <row r="23" spans="1:17" ht="31.8" thickBot="1">
      <c r="B23" s="1013" t="s">
        <v>1406</v>
      </c>
      <c r="C23" s="1015">
        <v>27830</v>
      </c>
    </row>
    <row r="24" spans="1:17" ht="31.8" thickBot="1">
      <c r="B24" s="1013" t="s">
        <v>1405</v>
      </c>
      <c r="C24" s="1015">
        <v>6000</v>
      </c>
      <c r="Q24" s="1005"/>
    </row>
    <row r="25" spans="1:17" ht="16.2" thickBot="1">
      <c r="B25" s="1013" t="s">
        <v>1404</v>
      </c>
      <c r="C25" s="1014">
        <v>0.05</v>
      </c>
    </row>
    <row r="26" spans="1:17" ht="16.2" thickBot="1">
      <c r="B26" s="1013" t="s">
        <v>1403</v>
      </c>
      <c r="C26" s="1014">
        <v>0.03</v>
      </c>
      <c r="Q26" s="1005"/>
    </row>
    <row r="27" spans="1:17" ht="31.8" thickBot="1">
      <c r="B27" s="1013" t="s">
        <v>1402</v>
      </c>
      <c r="C27" s="1014">
        <v>0.02</v>
      </c>
      <c r="Q27" s="1005"/>
    </row>
    <row r="28" spans="1:17" ht="31.8" thickBot="1">
      <c r="B28" s="1013" t="s">
        <v>1401</v>
      </c>
      <c r="C28" s="1014">
        <v>0.35</v>
      </c>
    </row>
    <row r="29" spans="1:17" ht="31.8" thickBot="1">
      <c r="B29" s="1013" t="s">
        <v>1400</v>
      </c>
      <c r="C29" s="1014">
        <v>0.25</v>
      </c>
    </row>
    <row r="30" spans="1:17" ht="16.2" thickBot="1">
      <c r="B30" s="1013" t="s">
        <v>1399</v>
      </c>
      <c r="C30" s="1012" t="s">
        <v>1398</v>
      </c>
      <c r="Q30" s="1005"/>
    </row>
    <row r="31" spans="1:17">
      <c r="B31" s="1011"/>
      <c r="C31" s="1010"/>
      <c r="Q31" s="1005"/>
    </row>
    <row r="32" spans="1:17">
      <c r="A32" s="2004" t="s">
        <v>1397</v>
      </c>
      <c r="B32" s="2004"/>
      <c r="C32" s="2004"/>
      <c r="D32" s="2004"/>
      <c r="E32" s="2004"/>
      <c r="F32" s="2004"/>
      <c r="G32" s="2004"/>
      <c r="H32" s="2004"/>
      <c r="I32" s="2004"/>
      <c r="J32" s="2004"/>
      <c r="K32" s="2004"/>
      <c r="L32" s="2004"/>
      <c r="M32" s="2004"/>
      <c r="Q32" s="1005"/>
    </row>
    <row r="33" spans="1:26">
      <c r="A33" s="2004"/>
      <c r="B33" s="2004"/>
      <c r="C33" s="2004"/>
      <c r="D33" s="2004"/>
      <c r="E33" s="2004"/>
      <c r="F33" s="2004"/>
      <c r="G33" s="2004"/>
      <c r="H33" s="2004"/>
      <c r="I33" s="2004"/>
      <c r="J33" s="2004"/>
      <c r="K33" s="2004"/>
      <c r="L33" s="2004"/>
      <c r="M33" s="2004"/>
      <c r="Q33" s="1005"/>
    </row>
    <row r="34" spans="1:26" ht="15.75" customHeight="1">
      <c r="A34" s="993" t="s">
        <v>34</v>
      </c>
      <c r="B34" s="2000" t="s">
        <v>1396</v>
      </c>
      <c r="C34" s="2000"/>
      <c r="D34" s="2000"/>
      <c r="E34" s="2000"/>
      <c r="F34" s="2000"/>
      <c r="G34" s="2000"/>
      <c r="H34" s="2000"/>
      <c r="I34" s="2000"/>
      <c r="J34" s="2000"/>
      <c r="K34" s="2000"/>
      <c r="L34" s="2000"/>
      <c r="M34" s="2000"/>
    </row>
    <row r="35" spans="1:26">
      <c r="B35" s="2000"/>
      <c r="C35" s="2000"/>
      <c r="D35" s="2000"/>
      <c r="E35" s="2000"/>
      <c r="F35" s="2000"/>
      <c r="G35" s="2000"/>
      <c r="H35" s="2000"/>
      <c r="I35" s="2000"/>
      <c r="J35" s="2000"/>
      <c r="K35" s="2000"/>
      <c r="L35" s="2000"/>
      <c r="M35" s="2000"/>
    </row>
    <row r="36" spans="1:26">
      <c r="B36" s="2000"/>
      <c r="C36" s="2000"/>
      <c r="D36" s="2000"/>
      <c r="E36" s="2000"/>
      <c r="F36" s="2000"/>
      <c r="G36" s="2000"/>
      <c r="H36" s="2000"/>
      <c r="I36" s="2000"/>
      <c r="J36" s="2000"/>
      <c r="K36" s="2000"/>
      <c r="L36" s="2000"/>
      <c r="M36" s="2000"/>
    </row>
    <row r="37" spans="1:26">
      <c r="B37" s="2000"/>
      <c r="C37" s="2000"/>
      <c r="D37" s="2000"/>
      <c r="E37" s="2000"/>
      <c r="F37" s="2000"/>
      <c r="G37" s="2000"/>
      <c r="H37" s="2000"/>
      <c r="I37" s="2000"/>
      <c r="J37" s="2000"/>
      <c r="K37" s="2000"/>
      <c r="L37" s="2000"/>
      <c r="M37" s="2000"/>
    </row>
    <row r="38" spans="1:26" ht="16.2">
      <c r="B38" s="1009" t="s">
        <v>1395</v>
      </c>
      <c r="Q38" s="1005"/>
    </row>
    <row r="39" spans="1:26">
      <c r="Q39" s="1005"/>
    </row>
    <row r="40" spans="1:26">
      <c r="Q40" s="1005"/>
    </row>
    <row r="41" spans="1:26">
      <c r="Q41" s="1005"/>
    </row>
    <row r="42" spans="1:26">
      <c r="Q42" s="1005"/>
    </row>
    <row r="43" spans="1:26">
      <c r="Q43" s="1005"/>
    </row>
    <row r="45" spans="1:26">
      <c r="Q45" s="1005"/>
    </row>
    <row r="46" spans="1:26">
      <c r="O46" s="1008"/>
      <c r="P46" s="1999"/>
      <c r="Q46" s="1999"/>
      <c r="R46" s="1999"/>
      <c r="S46" s="1999"/>
      <c r="T46" s="1999"/>
      <c r="U46" s="1999"/>
      <c r="V46" s="1999"/>
      <c r="W46" s="1999"/>
      <c r="X46" s="1999"/>
      <c r="Y46" s="1999"/>
      <c r="Z46" s="1999"/>
    </row>
    <row r="47" spans="1:26">
      <c r="O47" s="1008"/>
      <c r="P47" s="1006"/>
      <c r="Q47" s="1006"/>
      <c r="R47" s="1006"/>
      <c r="S47" s="1006"/>
      <c r="T47" s="1006"/>
      <c r="U47" s="1006"/>
      <c r="V47" s="1006"/>
      <c r="W47" s="1006"/>
      <c r="X47" s="1006"/>
      <c r="Y47" s="1006"/>
      <c r="Z47" s="1006"/>
    </row>
    <row r="48" spans="1:26">
      <c r="O48" s="1008"/>
      <c r="P48" s="1007"/>
      <c r="Q48" s="1006"/>
      <c r="R48" s="1006"/>
      <c r="S48" s="1006"/>
      <c r="T48" s="1006"/>
      <c r="U48" s="1006"/>
      <c r="V48" s="1006"/>
      <c r="W48" s="1006"/>
      <c r="X48" s="1006"/>
      <c r="Y48" s="1006"/>
      <c r="Z48" s="1006"/>
    </row>
    <row r="49" spans="15:26">
      <c r="O49" s="1008"/>
      <c r="P49" s="1007"/>
      <c r="Q49" s="1006"/>
      <c r="R49" s="1006"/>
      <c r="S49" s="1006"/>
      <c r="T49" s="1006"/>
      <c r="U49" s="1006"/>
      <c r="V49" s="1006"/>
      <c r="W49" s="1006"/>
      <c r="X49" s="1006"/>
      <c r="Y49" s="1006"/>
      <c r="Z49" s="1006"/>
    </row>
    <row r="54" spans="15:26">
      <c r="P54" s="1005"/>
    </row>
    <row r="58" spans="15:26">
      <c r="P58" s="1005"/>
    </row>
    <row r="65" spans="16:16">
      <c r="P65" s="1005"/>
    </row>
    <row r="68" spans="16:16">
      <c r="P68" s="1005"/>
    </row>
    <row r="69" spans="16:16">
      <c r="P69" s="1005"/>
    </row>
    <row r="70" spans="16:16">
      <c r="P70" s="1005"/>
    </row>
    <row r="71" spans="16:16">
      <c r="P71" s="1005"/>
    </row>
    <row r="72" spans="16:16">
      <c r="P72" s="1005"/>
    </row>
    <row r="73" spans="16:16">
      <c r="P73" s="1005"/>
    </row>
    <row r="74" spans="16:16">
      <c r="P74" s="1005"/>
    </row>
    <row r="75" spans="16:16">
      <c r="P75" s="1005"/>
    </row>
    <row r="76" spans="16:16">
      <c r="P76" s="1005"/>
    </row>
    <row r="77" spans="16:16">
      <c r="P77" s="1005"/>
    </row>
    <row r="78" spans="16:16">
      <c r="P78" s="1005"/>
    </row>
    <row r="79" spans="16:16">
      <c r="P79" s="1005"/>
    </row>
    <row r="80" spans="16:16">
      <c r="P80" s="1005"/>
    </row>
    <row r="81" spans="16:18">
      <c r="P81" s="1005"/>
    </row>
    <row r="82" spans="16:18">
      <c r="P82" s="1005"/>
    </row>
    <row r="90" spans="16:18">
      <c r="R90" s="1005"/>
    </row>
    <row r="92" spans="16:18">
      <c r="R92" s="1005"/>
    </row>
    <row r="93" spans="16:18">
      <c r="R93" s="1005"/>
    </row>
    <row r="96" spans="16:18">
      <c r="R96" s="1000"/>
    </row>
    <row r="97" spans="17:20">
      <c r="R97" s="1005"/>
    </row>
    <row r="100" spans="17:20">
      <c r="R100" s="1000"/>
    </row>
    <row r="101" spans="17:20">
      <c r="Q101" s="1005"/>
    </row>
    <row r="102" spans="17:20">
      <c r="Q102" s="1005"/>
    </row>
    <row r="104" spans="17:20">
      <c r="Q104" s="1004"/>
      <c r="R104" s="1003"/>
      <c r="T104" s="1003"/>
    </row>
    <row r="105" spans="17:20">
      <c r="S105" s="1000"/>
    </row>
    <row r="106" spans="17:20">
      <c r="S106" s="1000"/>
    </row>
    <row r="107" spans="17:20">
      <c r="S107" s="1000"/>
    </row>
    <row r="108" spans="17:20">
      <c r="Q108" s="1002"/>
      <c r="R108" s="1002"/>
      <c r="S108" s="1002"/>
      <c r="T108" s="1002"/>
    </row>
    <row r="113" spans="16:20">
      <c r="P113" s="1001"/>
    </row>
    <row r="122" spans="16:20">
      <c r="P122" s="1000"/>
      <c r="R122" s="999"/>
      <c r="S122" s="999"/>
      <c r="T122" s="998"/>
    </row>
    <row r="123" spans="16:20">
      <c r="S123" s="997"/>
    </row>
    <row r="124" spans="16:20">
      <c r="S124" s="997"/>
    </row>
    <row r="125" spans="16:20">
      <c r="R125" s="996"/>
      <c r="S125" s="995"/>
    </row>
    <row r="130" spans="15:15">
      <c r="O130" s="994"/>
    </row>
  </sheetData>
  <sheetProtection algorithmName="SHA-512" hashValue="NUBsY4go5se/E2FBnGpn6xBYN9SPQMmMpv9NhkUETf/Iy2hfIX+xKpZYuOFWhXXKxFRueHQeiGAknWbZwNKKmg==" saltValue="sC6YTNmZATuPHXkLjXUBWg==" spinCount="100000" sheet="1" objects="1" scenarios="1" formatCells="0" formatColumns="0" formatRows="0" insertColumns="0" insertRows="0"/>
  <mergeCells count="7">
    <mergeCell ref="P46:Z46"/>
    <mergeCell ref="A5:M6"/>
    <mergeCell ref="P7:Z7"/>
    <mergeCell ref="C12:C13"/>
    <mergeCell ref="D12:D13"/>
    <mergeCell ref="A32:M33"/>
    <mergeCell ref="B34:M37"/>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91ED3-1AA1-4435-B0DD-C822E1F08FF3}">
  <dimension ref="A1:AD56"/>
  <sheetViews>
    <sheetView zoomScale="85" zoomScaleNormal="85" zoomScaleSheetLayoutView="100" workbookViewId="0">
      <selection activeCell="Q1" sqref="Q1"/>
    </sheetView>
  </sheetViews>
  <sheetFormatPr defaultColWidth="9.33203125" defaultRowHeight="15.6"/>
  <cols>
    <col min="1" max="1" width="3.6640625" style="225" customWidth="1"/>
    <col min="2" max="2" width="41.33203125" style="225" customWidth="1"/>
    <col min="3" max="3" width="6.5546875" style="225" customWidth="1"/>
    <col min="4" max="4" width="24.88671875" style="225" customWidth="1"/>
    <col min="5" max="5" width="5.5546875" style="225" customWidth="1"/>
    <col min="6" max="6" width="19.5546875" style="225" customWidth="1"/>
    <col min="7" max="7" width="6.88671875" style="225" bestFit="1" customWidth="1"/>
    <col min="8" max="8" width="10" style="225" bestFit="1" customWidth="1"/>
    <col min="9" max="9" width="2.6640625" style="225" customWidth="1"/>
    <col min="10" max="10" width="1" style="1031" customWidth="1"/>
    <col min="11" max="11" width="4" style="1030" customWidth="1"/>
    <col min="12" max="12" width="9.44140625" style="1030" customWidth="1"/>
    <col min="13" max="13" width="13.33203125" style="1030" bestFit="1" customWidth="1"/>
    <col min="14" max="14" width="14.88671875" style="1030" bestFit="1" customWidth="1"/>
    <col min="15" max="16" width="16.109375" style="1030" bestFit="1" customWidth="1"/>
    <col min="17" max="17" width="16.33203125" style="1030" bestFit="1" customWidth="1"/>
    <col min="18" max="18" width="14.33203125" style="1030" customWidth="1"/>
    <col min="19" max="19" width="13.109375" style="1030" bestFit="1" customWidth="1"/>
    <col min="20" max="21" width="16" style="1030" bestFit="1" customWidth="1"/>
    <col min="22" max="22" width="15" style="1030" bestFit="1" customWidth="1"/>
    <col min="23" max="23" width="1" style="1030" customWidth="1"/>
    <col min="24" max="24" width="11.109375" style="1030" bestFit="1" customWidth="1"/>
    <col min="25" max="25" width="14.109375" style="1030" bestFit="1" customWidth="1"/>
    <col min="26" max="26" width="10.6640625" style="1030" bestFit="1" customWidth="1"/>
    <col min="27" max="27" width="13.109375" style="1030" customWidth="1"/>
    <col min="28" max="28" width="15.88671875" style="1030" customWidth="1"/>
    <col min="29" max="30" width="15.44140625" style="1030" customWidth="1"/>
    <col min="31" max="16384" width="9.33203125" style="1030"/>
  </cols>
  <sheetData>
    <row r="1" spans="1:30">
      <c r="A1" s="256" t="s">
        <v>1434</v>
      </c>
      <c r="K1" s="256" t="s">
        <v>1434</v>
      </c>
      <c r="L1" s="225"/>
      <c r="M1" s="225"/>
      <c r="N1" s="225"/>
      <c r="O1" s="225"/>
      <c r="P1" s="225"/>
      <c r="Q1" s="225"/>
      <c r="R1" s="225"/>
      <c r="S1" s="225"/>
      <c r="T1" s="225"/>
      <c r="U1" s="225"/>
      <c r="V1" s="225"/>
      <c r="W1" s="1067"/>
    </row>
    <row r="2" spans="1:30">
      <c r="A2" s="256" t="s">
        <v>1433</v>
      </c>
      <c r="K2" s="256" t="s">
        <v>1433</v>
      </c>
      <c r="L2" s="225"/>
      <c r="M2" s="225"/>
      <c r="N2" s="225"/>
      <c r="O2" s="225"/>
      <c r="P2" s="225"/>
      <c r="Q2" s="225"/>
      <c r="R2" s="225"/>
      <c r="S2" s="225"/>
      <c r="T2" s="225"/>
      <c r="U2" s="225"/>
      <c r="V2" s="225"/>
      <c r="W2" s="1067"/>
    </row>
    <row r="3" spans="1:30">
      <c r="A3" s="256" t="s">
        <v>525</v>
      </c>
      <c r="K3" s="256" t="s">
        <v>525</v>
      </c>
      <c r="L3" s="225"/>
      <c r="M3" s="225"/>
      <c r="N3" s="225"/>
      <c r="O3" s="225"/>
      <c r="P3" s="225"/>
      <c r="Q3" s="225"/>
      <c r="R3" s="225"/>
      <c r="S3" s="225"/>
      <c r="T3" s="225"/>
      <c r="U3" s="225"/>
      <c r="V3" s="225"/>
      <c r="W3" s="1067"/>
    </row>
    <row r="4" spans="1:30">
      <c r="K4" s="225"/>
      <c r="L4" s="225"/>
      <c r="M4" s="225"/>
      <c r="N4" s="225"/>
      <c r="O4" s="225"/>
      <c r="P4" s="225"/>
      <c r="Q4" s="225"/>
      <c r="R4" s="225"/>
      <c r="S4" s="225"/>
      <c r="T4" s="225"/>
      <c r="U4" s="225"/>
      <c r="V4" s="225"/>
      <c r="W4" s="1067"/>
    </row>
    <row r="5" spans="1:30" ht="16.2">
      <c r="A5" s="1074" t="s">
        <v>1467</v>
      </c>
      <c r="K5" s="1074" t="s">
        <v>1466</v>
      </c>
      <c r="L5" s="225"/>
      <c r="M5" s="225"/>
      <c r="N5" s="225"/>
      <c r="O5" s="225"/>
      <c r="P5" s="225"/>
      <c r="Q5" s="225"/>
      <c r="R5" s="225"/>
      <c r="S5" s="225"/>
      <c r="T5" s="225"/>
      <c r="U5" s="225"/>
      <c r="V5" s="225"/>
      <c r="W5" s="1067"/>
    </row>
    <row r="6" spans="1:30">
      <c r="A6" s="237"/>
      <c r="K6" s="225"/>
      <c r="L6" s="225"/>
      <c r="M6" s="225"/>
      <c r="N6" s="225"/>
      <c r="O6" s="225"/>
      <c r="P6" s="225"/>
      <c r="Q6" s="225"/>
      <c r="R6" s="225"/>
      <c r="S6" s="225"/>
      <c r="T6" s="225"/>
      <c r="U6" s="225"/>
      <c r="V6" s="225"/>
      <c r="W6" s="1067"/>
    </row>
    <row r="7" spans="1:30" ht="15.75" customHeight="1">
      <c r="A7" s="237" t="s">
        <v>1465</v>
      </c>
      <c r="K7" s="225" t="s">
        <v>1464</v>
      </c>
      <c r="L7" s="2009" t="s">
        <v>1463</v>
      </c>
      <c r="M7" s="2009"/>
      <c r="N7" s="2009"/>
      <c r="O7" s="2009"/>
      <c r="P7" s="2009"/>
      <c r="Q7" s="2009"/>
      <c r="R7" s="2009"/>
      <c r="S7" s="2009"/>
      <c r="T7" s="2009"/>
      <c r="U7" s="2009"/>
      <c r="V7" s="2009"/>
      <c r="W7" s="1067"/>
    </row>
    <row r="8" spans="1:30">
      <c r="B8" s="225" t="s">
        <v>1432</v>
      </c>
      <c r="K8" s="225"/>
      <c r="L8" s="1060"/>
      <c r="M8" s="225"/>
      <c r="N8" s="225"/>
      <c r="O8" s="225"/>
      <c r="P8" s="225"/>
      <c r="Q8" s="1072"/>
      <c r="R8" s="1068"/>
      <c r="S8" s="1068"/>
      <c r="T8" s="1068"/>
      <c r="U8" s="1068"/>
      <c r="V8" s="1068"/>
      <c r="W8" s="1067"/>
    </row>
    <row r="9" spans="1:30">
      <c r="B9" s="1073"/>
      <c r="C9" s="1073"/>
      <c r="D9" s="1073"/>
      <c r="E9" s="1073"/>
      <c r="F9" s="1073"/>
      <c r="G9" s="1073"/>
      <c r="H9" s="1073"/>
      <c r="K9" s="225"/>
      <c r="L9" s="1069" t="s">
        <v>1426</v>
      </c>
      <c r="M9" s="225"/>
      <c r="N9" s="225"/>
      <c r="O9" s="225"/>
      <c r="P9" s="225"/>
      <c r="Q9" s="1072"/>
      <c r="R9" s="1068"/>
      <c r="S9" s="1068"/>
      <c r="T9" s="1068"/>
      <c r="U9" s="1068"/>
      <c r="V9" s="1068"/>
      <c r="W9" s="1067"/>
    </row>
    <row r="10" spans="1:30">
      <c r="B10" s="1071" t="s">
        <v>1429</v>
      </c>
      <c r="C10" s="2010" t="s">
        <v>1428</v>
      </c>
      <c r="D10" s="2011"/>
      <c r="E10" s="2010" t="s">
        <v>1427</v>
      </c>
      <c r="F10" s="2011"/>
      <c r="G10" s="1062"/>
      <c r="H10" s="1062"/>
      <c r="K10" s="225"/>
      <c r="L10" s="1070"/>
      <c r="M10" s="1070"/>
      <c r="N10" s="1070"/>
      <c r="O10" s="1070"/>
      <c r="P10" s="225"/>
      <c r="Q10" s="255"/>
      <c r="R10" s="1068"/>
      <c r="S10" s="1068"/>
      <c r="T10" s="1068"/>
      <c r="U10" s="1068"/>
      <c r="V10" s="1068"/>
      <c r="W10" s="1067"/>
    </row>
    <row r="11" spans="1:30" ht="15.6" customHeight="1">
      <c r="B11" s="1054" t="s">
        <v>1425</v>
      </c>
      <c r="C11" s="2005" t="s">
        <v>1461</v>
      </c>
      <c r="D11" s="2006"/>
      <c r="E11" s="2005" t="s">
        <v>1460</v>
      </c>
      <c r="F11" s="2006"/>
      <c r="G11" s="1062"/>
      <c r="H11" s="1062"/>
      <c r="K11" s="225"/>
      <c r="L11" s="1069"/>
      <c r="M11" s="225"/>
      <c r="N11" s="225"/>
      <c r="O11" s="225"/>
      <c r="P11" s="225"/>
      <c r="Q11" s="255"/>
      <c r="R11" s="1068"/>
      <c r="S11" s="1068"/>
      <c r="T11" s="1068"/>
      <c r="U11" s="1068"/>
      <c r="V11" s="1068"/>
      <c r="W11" s="1067"/>
    </row>
    <row r="12" spans="1:30" ht="15.75" customHeight="1">
      <c r="B12" s="1054" t="s">
        <v>1422</v>
      </c>
      <c r="C12" s="2005" t="s">
        <v>1421</v>
      </c>
      <c r="D12" s="2006"/>
      <c r="E12" s="2005" t="s">
        <v>1420</v>
      </c>
      <c r="F12" s="2006"/>
      <c r="G12" s="1062"/>
      <c r="H12" s="1062"/>
    </row>
    <row r="13" spans="1:30" ht="47.1" customHeight="1">
      <c r="B13" s="1054" t="s">
        <v>1462</v>
      </c>
      <c r="C13" s="2005" t="s">
        <v>1418</v>
      </c>
      <c r="D13" s="2006"/>
      <c r="E13" s="2012" t="s">
        <v>1417</v>
      </c>
      <c r="F13" s="2013"/>
      <c r="G13" s="1062"/>
      <c r="H13" s="1062"/>
      <c r="L13" s="1066" t="s">
        <v>1461</v>
      </c>
      <c r="S13" s="1066" t="s">
        <v>1460</v>
      </c>
    </row>
    <row r="14" spans="1:30" ht="51" customHeight="1">
      <c r="B14" s="1054" t="s">
        <v>1415</v>
      </c>
      <c r="C14" s="2005" t="s">
        <v>498</v>
      </c>
      <c r="D14" s="2006"/>
      <c r="E14" s="2005" t="s">
        <v>1459</v>
      </c>
      <c r="F14" s="2006"/>
      <c r="G14" s="1062"/>
      <c r="H14" s="1062"/>
      <c r="L14" s="1030" t="s">
        <v>252</v>
      </c>
      <c r="M14" s="1030" t="s">
        <v>319</v>
      </c>
      <c r="N14" s="1030" t="s">
        <v>1458</v>
      </c>
      <c r="O14" s="1030" t="s">
        <v>1455</v>
      </c>
      <c r="P14" s="1030" t="s">
        <v>1454</v>
      </c>
      <c r="Q14" s="1065" t="s">
        <v>1457</v>
      </c>
      <c r="S14" s="1065" t="s">
        <v>1456</v>
      </c>
      <c r="T14" s="1030" t="s">
        <v>1455</v>
      </c>
      <c r="U14" s="1030" t="s">
        <v>1454</v>
      </c>
      <c r="V14" s="1030" t="s">
        <v>347</v>
      </c>
      <c r="X14" s="1030" t="s">
        <v>1453</v>
      </c>
      <c r="Y14" s="1030" t="s">
        <v>1452</v>
      </c>
      <c r="Z14" s="1030" t="s">
        <v>1451</v>
      </c>
      <c r="AA14" s="1065" t="s">
        <v>1450</v>
      </c>
      <c r="AB14" s="1065" t="s">
        <v>1449</v>
      </c>
      <c r="AC14" s="1065" t="s">
        <v>1448</v>
      </c>
      <c r="AD14" s="1065" t="s">
        <v>1447</v>
      </c>
    </row>
    <row r="15" spans="1:30">
      <c r="B15" s="1054" t="s">
        <v>1412</v>
      </c>
      <c r="C15" s="1064">
        <v>1</v>
      </c>
      <c r="D15" s="1063" t="s">
        <v>1446</v>
      </c>
      <c r="E15" s="1064">
        <v>0.75</v>
      </c>
      <c r="F15" s="1063" t="s">
        <v>1446</v>
      </c>
      <c r="G15" s="1062"/>
      <c r="H15" s="1062"/>
      <c r="L15" s="1030">
        <v>50</v>
      </c>
      <c r="M15" s="1052">
        <f>C22</f>
        <v>300000</v>
      </c>
      <c r="N15" s="1052">
        <f>C23</f>
        <v>27830</v>
      </c>
      <c r="O15" s="1052">
        <v>0</v>
      </c>
      <c r="P15" s="1052">
        <v>0</v>
      </c>
      <c r="Q15" s="1061">
        <f>O15+P15</f>
        <v>0</v>
      </c>
      <c r="S15" s="1053">
        <f t="shared" ref="S15:S29" si="0">M15*(1-$C$28)</f>
        <v>195000</v>
      </c>
      <c r="T15" s="1048">
        <f t="shared" ref="T15:T29" si="1">MIN(7%*S15,16000)</f>
        <v>13650.000000000002</v>
      </c>
      <c r="U15" s="1039">
        <f t="shared" ref="U15:U29" si="2">T15*0.75</f>
        <v>10237.500000000002</v>
      </c>
      <c r="V15" s="1039">
        <f t="shared" ref="V15:V29" si="3">T15+U15</f>
        <v>23887.500000000004</v>
      </c>
      <c r="X15" s="1052">
        <f>C24</f>
        <v>6000</v>
      </c>
      <c r="Y15" s="1052">
        <f>X15</f>
        <v>6000</v>
      </c>
      <c r="Z15" s="1052">
        <f t="shared" ref="Z15:Z29" si="4">MIN(Y15,V15)</f>
        <v>6000</v>
      </c>
      <c r="AA15" s="1052">
        <f>Z15</f>
        <v>6000</v>
      </c>
      <c r="AB15" s="1039">
        <f t="shared" ref="AB15:AB29" si="5">V15-Z15</f>
        <v>17887.500000000004</v>
      </c>
      <c r="AC15" s="1039">
        <f>AB15</f>
        <v>17887.500000000004</v>
      </c>
      <c r="AD15" s="1039">
        <f t="shared" ref="AD15:AD29" si="6">AC15+AA15</f>
        <v>23887.500000000004</v>
      </c>
    </row>
    <row r="16" spans="1:30">
      <c r="L16" s="1051">
        <f t="shared" ref="L16:L29" si="7">L15+1</f>
        <v>51</v>
      </c>
      <c r="M16" s="1053">
        <f t="shared" ref="M16:M29" si="8">M15*(1+$C$26)</f>
        <v>309000</v>
      </c>
      <c r="N16" s="1052">
        <f t="shared" ref="N16:N29" si="9">ROUND(N15*(1+$C$27),2)</f>
        <v>28386.6</v>
      </c>
      <c r="O16" s="1052">
        <f t="shared" ref="O16:O29" si="10">N16/2</f>
        <v>14193.3</v>
      </c>
      <c r="P16" s="1052">
        <f t="shared" ref="P16:P29" si="11">O16</f>
        <v>14193.3</v>
      </c>
      <c r="Q16" s="1044">
        <f t="shared" ref="Q16:Q29" si="12">(Q15*(1+$C$25))+O16+P16</f>
        <v>28386.6</v>
      </c>
      <c r="S16" s="1053">
        <f t="shared" si="0"/>
        <v>200850</v>
      </c>
      <c r="T16" s="1048">
        <f t="shared" si="1"/>
        <v>14059.500000000002</v>
      </c>
      <c r="U16" s="1039">
        <f t="shared" si="2"/>
        <v>10544.625000000002</v>
      </c>
      <c r="V16" s="1039">
        <f t="shared" si="3"/>
        <v>24604.125000000004</v>
      </c>
      <c r="X16" s="1052">
        <f t="shared" ref="X16:X29" si="13">X15*(1+$C$27)</f>
        <v>6120</v>
      </c>
      <c r="Y16" s="1052">
        <f t="shared" ref="Y16:Y29" si="14">ROUNDDOWN(X16*2,-3)/2</f>
        <v>6000</v>
      </c>
      <c r="Z16" s="1052">
        <f t="shared" si="4"/>
        <v>6000</v>
      </c>
      <c r="AA16" s="1052">
        <f t="shared" ref="AA16:AA29" si="15">Z16+(AA15)*(1+$C$25)</f>
        <v>12300</v>
      </c>
      <c r="AB16" s="1039">
        <f t="shared" si="5"/>
        <v>18604.125000000004</v>
      </c>
      <c r="AC16" s="1039">
        <f t="shared" ref="AC16:AC29" si="16">AB16+AC15*(1+$C$27*(1-$C$28))</f>
        <v>36724.162500000006</v>
      </c>
      <c r="AD16" s="1039">
        <f t="shared" si="6"/>
        <v>49024.162500000006</v>
      </c>
    </row>
    <row r="17" spans="2:30">
      <c r="B17" s="225" t="s">
        <v>1411</v>
      </c>
      <c r="L17" s="1051">
        <f t="shared" si="7"/>
        <v>52</v>
      </c>
      <c r="M17" s="1053">
        <f t="shared" si="8"/>
        <v>318270</v>
      </c>
      <c r="N17" s="1052">
        <f t="shared" si="9"/>
        <v>28954.33</v>
      </c>
      <c r="O17" s="1052">
        <f t="shared" si="10"/>
        <v>14477.165000000001</v>
      </c>
      <c r="P17" s="1052">
        <f t="shared" si="11"/>
        <v>14477.165000000001</v>
      </c>
      <c r="Q17" s="1044">
        <f t="shared" si="12"/>
        <v>58760.26</v>
      </c>
      <c r="S17" s="1053">
        <f t="shared" si="0"/>
        <v>206875.5</v>
      </c>
      <c r="T17" s="1048">
        <f t="shared" si="1"/>
        <v>14481.285000000002</v>
      </c>
      <c r="U17" s="1039">
        <f t="shared" si="2"/>
        <v>10860.963750000001</v>
      </c>
      <c r="V17" s="1039">
        <f t="shared" si="3"/>
        <v>25342.248750000002</v>
      </c>
      <c r="X17" s="1052">
        <f t="shared" si="13"/>
        <v>6242.4000000000005</v>
      </c>
      <c r="Y17" s="1052">
        <f t="shared" si="14"/>
        <v>6000</v>
      </c>
      <c r="Z17" s="1052">
        <f t="shared" si="4"/>
        <v>6000</v>
      </c>
      <c r="AA17" s="1052">
        <f t="shared" si="15"/>
        <v>18915</v>
      </c>
      <c r="AB17" s="1039">
        <f t="shared" si="5"/>
        <v>19342.248750000002</v>
      </c>
      <c r="AC17" s="1039">
        <f t="shared" si="16"/>
        <v>56543.825362500007</v>
      </c>
      <c r="AD17" s="1039">
        <f t="shared" si="6"/>
        <v>75458.825362500007</v>
      </c>
    </row>
    <row r="18" spans="2:30">
      <c r="B18" s="1060"/>
      <c r="C18" s="1060"/>
      <c r="D18" s="1060"/>
      <c r="E18" s="1060"/>
      <c r="F18" s="1060"/>
      <c r="G18" s="1060"/>
      <c r="H18" s="1060"/>
      <c r="L18" s="1051">
        <f t="shared" si="7"/>
        <v>53</v>
      </c>
      <c r="M18" s="1053">
        <f t="shared" si="8"/>
        <v>327818.10000000003</v>
      </c>
      <c r="N18" s="1052">
        <f t="shared" si="9"/>
        <v>29533.42</v>
      </c>
      <c r="O18" s="1052">
        <f t="shared" si="10"/>
        <v>14766.71</v>
      </c>
      <c r="P18" s="1052">
        <f t="shared" si="11"/>
        <v>14766.71</v>
      </c>
      <c r="Q18" s="1044">
        <f t="shared" si="12"/>
        <v>91231.692999999999</v>
      </c>
      <c r="S18" s="1053">
        <f t="shared" si="0"/>
        <v>213081.76500000004</v>
      </c>
      <c r="T18" s="1048">
        <f t="shared" si="1"/>
        <v>14915.723550000004</v>
      </c>
      <c r="U18" s="1039">
        <f t="shared" si="2"/>
        <v>11186.792662500004</v>
      </c>
      <c r="V18" s="1039">
        <f t="shared" si="3"/>
        <v>26102.516212500006</v>
      </c>
      <c r="X18" s="1052">
        <f t="shared" si="13"/>
        <v>6367.2480000000005</v>
      </c>
      <c r="Y18" s="1052">
        <f t="shared" si="14"/>
        <v>6000</v>
      </c>
      <c r="Z18" s="1052">
        <f t="shared" si="4"/>
        <v>6000</v>
      </c>
      <c r="AA18" s="1052">
        <f t="shared" si="15"/>
        <v>25860.75</v>
      </c>
      <c r="AB18" s="1039">
        <f t="shared" si="5"/>
        <v>20102.516212500006</v>
      </c>
      <c r="AC18" s="1039">
        <f t="shared" si="16"/>
        <v>77381.411304712499</v>
      </c>
      <c r="AD18" s="1039">
        <f t="shared" si="6"/>
        <v>103242.1613047125</v>
      </c>
    </row>
    <row r="19" spans="2:30">
      <c r="B19" s="1054" t="s">
        <v>1410</v>
      </c>
      <c r="C19" s="2007">
        <v>50</v>
      </c>
      <c r="D19" s="2008"/>
      <c r="E19" s="1060"/>
      <c r="F19" s="1060"/>
      <c r="G19" s="1060"/>
      <c r="H19" s="1060"/>
      <c r="L19" s="1051">
        <f t="shared" si="7"/>
        <v>54</v>
      </c>
      <c r="M19" s="1053">
        <f t="shared" si="8"/>
        <v>337652.64300000004</v>
      </c>
      <c r="N19" s="1052">
        <f t="shared" si="9"/>
        <v>30124.09</v>
      </c>
      <c r="O19" s="1052">
        <f t="shared" si="10"/>
        <v>15062.045</v>
      </c>
      <c r="P19" s="1052">
        <f t="shared" si="11"/>
        <v>15062.045</v>
      </c>
      <c r="Q19" s="1044">
        <f t="shared" si="12"/>
        <v>125917.36765</v>
      </c>
      <c r="S19" s="1053">
        <f t="shared" si="0"/>
        <v>219474.21795000002</v>
      </c>
      <c r="T19" s="1048">
        <f t="shared" si="1"/>
        <v>15363.195256500003</v>
      </c>
      <c r="U19" s="1039">
        <f t="shared" si="2"/>
        <v>11522.396442375002</v>
      </c>
      <c r="V19" s="1039">
        <f t="shared" si="3"/>
        <v>26885.591698875003</v>
      </c>
      <c r="X19" s="1052">
        <f t="shared" si="13"/>
        <v>6494.5929600000009</v>
      </c>
      <c r="Y19" s="1052">
        <f t="shared" si="14"/>
        <v>6000</v>
      </c>
      <c r="Z19" s="1052">
        <f t="shared" si="4"/>
        <v>6000</v>
      </c>
      <c r="AA19" s="1052">
        <f t="shared" si="15"/>
        <v>33153.787500000006</v>
      </c>
      <c r="AB19" s="1039">
        <f t="shared" si="5"/>
        <v>20885.591698875003</v>
      </c>
      <c r="AC19" s="1039">
        <f t="shared" si="16"/>
        <v>99272.96135054875</v>
      </c>
      <c r="AD19" s="1039">
        <f t="shared" si="6"/>
        <v>132426.74885054876</v>
      </c>
    </row>
    <row r="20" spans="2:30">
      <c r="B20" s="1054" t="s">
        <v>1409</v>
      </c>
      <c r="C20" s="2007">
        <v>65</v>
      </c>
      <c r="D20" s="2008"/>
      <c r="L20" s="1051">
        <f t="shared" si="7"/>
        <v>55</v>
      </c>
      <c r="M20" s="1053">
        <f t="shared" si="8"/>
        <v>347782.22229000006</v>
      </c>
      <c r="N20" s="1052">
        <f t="shared" si="9"/>
        <v>30726.57</v>
      </c>
      <c r="O20" s="1052">
        <f t="shared" si="10"/>
        <v>15363.285</v>
      </c>
      <c r="P20" s="1052">
        <f t="shared" si="11"/>
        <v>15363.285</v>
      </c>
      <c r="Q20" s="1044">
        <f t="shared" si="12"/>
        <v>162939.80603250003</v>
      </c>
      <c r="S20" s="1053">
        <f t="shared" si="0"/>
        <v>226058.44448850004</v>
      </c>
      <c r="T20" s="1048">
        <f t="shared" si="1"/>
        <v>15824.091114195004</v>
      </c>
      <c r="U20" s="1039">
        <f t="shared" si="2"/>
        <v>11868.068335646252</v>
      </c>
      <c r="V20" s="1039">
        <f t="shared" si="3"/>
        <v>27692.159449841256</v>
      </c>
      <c r="X20" s="1052">
        <f t="shared" si="13"/>
        <v>6624.4848192000009</v>
      </c>
      <c r="Y20" s="1052">
        <f t="shared" si="14"/>
        <v>6500</v>
      </c>
      <c r="Z20" s="1052">
        <f t="shared" si="4"/>
        <v>6500</v>
      </c>
      <c r="AA20" s="1052">
        <f t="shared" si="15"/>
        <v>41311.476875000008</v>
      </c>
      <c r="AB20" s="1039">
        <f t="shared" si="5"/>
        <v>21192.159449841256</v>
      </c>
      <c r="AC20" s="1039">
        <f t="shared" si="16"/>
        <v>121755.66929794714</v>
      </c>
      <c r="AD20" s="1039">
        <f t="shared" si="6"/>
        <v>163067.14617294713</v>
      </c>
    </row>
    <row r="21" spans="2:30">
      <c r="B21" s="1054" t="s">
        <v>1408</v>
      </c>
      <c r="C21" s="2007" t="s">
        <v>1445</v>
      </c>
      <c r="D21" s="2008"/>
      <c r="L21" s="1051">
        <f t="shared" si="7"/>
        <v>56</v>
      </c>
      <c r="M21" s="1053">
        <f t="shared" si="8"/>
        <v>358215.68895870005</v>
      </c>
      <c r="N21" s="1052">
        <f t="shared" si="9"/>
        <v>31341.1</v>
      </c>
      <c r="O21" s="1052">
        <f t="shared" si="10"/>
        <v>15670.55</v>
      </c>
      <c r="P21" s="1052">
        <f t="shared" si="11"/>
        <v>15670.55</v>
      </c>
      <c r="Q21" s="1044">
        <f t="shared" si="12"/>
        <v>202427.89633412502</v>
      </c>
      <c r="S21" s="1053">
        <f t="shared" si="0"/>
        <v>232840.19782315503</v>
      </c>
      <c r="T21" s="1048">
        <f t="shared" si="1"/>
        <v>16000</v>
      </c>
      <c r="U21" s="1039">
        <f t="shared" si="2"/>
        <v>12000</v>
      </c>
      <c r="V21" s="1039">
        <f t="shared" si="3"/>
        <v>28000</v>
      </c>
      <c r="X21" s="1052">
        <f t="shared" si="13"/>
        <v>6756.974515584001</v>
      </c>
      <c r="Y21" s="1052">
        <f t="shared" si="14"/>
        <v>6500</v>
      </c>
      <c r="Z21" s="1052">
        <f t="shared" si="4"/>
        <v>6500</v>
      </c>
      <c r="AA21" s="1052">
        <f t="shared" si="15"/>
        <v>49877.050718750012</v>
      </c>
      <c r="AB21" s="1039">
        <f t="shared" si="5"/>
        <v>21500</v>
      </c>
      <c r="AC21" s="1039">
        <f t="shared" si="16"/>
        <v>144838.49299882044</v>
      </c>
      <c r="AD21" s="1039">
        <f t="shared" si="6"/>
        <v>194715.54371757046</v>
      </c>
    </row>
    <row r="22" spans="2:30">
      <c r="B22" s="1054" t="s">
        <v>1407</v>
      </c>
      <c r="C22" s="2015">
        <v>300000</v>
      </c>
      <c r="D22" s="2008"/>
      <c r="L22" s="1051">
        <f t="shared" si="7"/>
        <v>57</v>
      </c>
      <c r="M22" s="1053">
        <f t="shared" si="8"/>
        <v>368962.15962746105</v>
      </c>
      <c r="N22" s="1052">
        <f t="shared" si="9"/>
        <v>31967.919999999998</v>
      </c>
      <c r="O22" s="1052">
        <f t="shared" si="10"/>
        <v>15983.96</v>
      </c>
      <c r="P22" s="1052">
        <f t="shared" si="11"/>
        <v>15983.96</v>
      </c>
      <c r="Q22" s="1044">
        <f t="shared" si="12"/>
        <v>244517.21115083125</v>
      </c>
      <c r="S22" s="1053">
        <f t="shared" si="0"/>
        <v>239825.40375784968</v>
      </c>
      <c r="T22" s="1048">
        <f t="shared" si="1"/>
        <v>16000</v>
      </c>
      <c r="U22" s="1039">
        <f t="shared" si="2"/>
        <v>12000</v>
      </c>
      <c r="V22" s="1039">
        <f t="shared" si="3"/>
        <v>28000</v>
      </c>
      <c r="X22" s="1052">
        <f t="shared" si="13"/>
        <v>6892.1140058956807</v>
      </c>
      <c r="Y22" s="1052">
        <f t="shared" si="14"/>
        <v>6500</v>
      </c>
      <c r="Z22" s="1052">
        <f t="shared" si="4"/>
        <v>6500</v>
      </c>
      <c r="AA22" s="1052">
        <f t="shared" si="15"/>
        <v>58870.903254687517</v>
      </c>
      <c r="AB22" s="1039">
        <f t="shared" si="5"/>
        <v>21500</v>
      </c>
      <c r="AC22" s="1039">
        <f t="shared" si="16"/>
        <v>168221.3934078051</v>
      </c>
      <c r="AD22" s="1039">
        <f t="shared" si="6"/>
        <v>227092.29666249262</v>
      </c>
    </row>
    <row r="23" spans="2:30" ht="31.2">
      <c r="B23" s="1054" t="s">
        <v>1406</v>
      </c>
      <c r="C23" s="2015">
        <v>27830</v>
      </c>
      <c r="D23" s="2008"/>
      <c r="L23" s="1051">
        <f t="shared" si="7"/>
        <v>58</v>
      </c>
      <c r="M23" s="1053">
        <f t="shared" si="8"/>
        <v>380031.02441628487</v>
      </c>
      <c r="N23" s="1052">
        <f t="shared" si="9"/>
        <v>32607.279999999999</v>
      </c>
      <c r="O23" s="1052">
        <f t="shared" si="10"/>
        <v>16303.64</v>
      </c>
      <c r="P23" s="1052">
        <f t="shared" si="11"/>
        <v>16303.64</v>
      </c>
      <c r="Q23" s="1044">
        <f t="shared" si="12"/>
        <v>289350.35170837282</v>
      </c>
      <c r="S23" s="1053">
        <f t="shared" si="0"/>
        <v>247020.16587058516</v>
      </c>
      <c r="T23" s="1048">
        <f t="shared" si="1"/>
        <v>16000</v>
      </c>
      <c r="U23" s="1039">
        <f t="shared" si="2"/>
        <v>12000</v>
      </c>
      <c r="V23" s="1039">
        <f t="shared" si="3"/>
        <v>28000</v>
      </c>
      <c r="X23" s="1052">
        <f t="shared" si="13"/>
        <v>7029.9562860135948</v>
      </c>
      <c r="Y23" s="1052">
        <f t="shared" si="14"/>
        <v>7000</v>
      </c>
      <c r="Z23" s="1052">
        <f t="shared" si="4"/>
        <v>7000</v>
      </c>
      <c r="AA23" s="1052">
        <f t="shared" si="15"/>
        <v>68814.448417421896</v>
      </c>
      <c r="AB23" s="1039">
        <f t="shared" si="5"/>
        <v>21000</v>
      </c>
      <c r="AC23" s="1039">
        <f t="shared" si="16"/>
        <v>191408.27152210654</v>
      </c>
      <c r="AD23" s="1039">
        <f t="shared" si="6"/>
        <v>260222.71993952844</v>
      </c>
    </row>
    <row r="24" spans="2:30" ht="31.2">
      <c r="B24" s="1054" t="s">
        <v>1405</v>
      </c>
      <c r="C24" s="2015">
        <v>6000</v>
      </c>
      <c r="D24" s="2008"/>
      <c r="L24" s="1051">
        <f t="shared" si="7"/>
        <v>59</v>
      </c>
      <c r="M24" s="1053">
        <f t="shared" si="8"/>
        <v>391431.95514877344</v>
      </c>
      <c r="N24" s="1052">
        <f t="shared" si="9"/>
        <v>33259.43</v>
      </c>
      <c r="O24" s="1052">
        <f t="shared" si="10"/>
        <v>16629.715</v>
      </c>
      <c r="P24" s="1052">
        <f t="shared" si="11"/>
        <v>16629.715</v>
      </c>
      <c r="Q24" s="1044">
        <f t="shared" si="12"/>
        <v>337077.29929379153</v>
      </c>
      <c r="S24" s="1053">
        <f t="shared" si="0"/>
        <v>254430.77084670274</v>
      </c>
      <c r="T24" s="1048">
        <f t="shared" si="1"/>
        <v>16000</v>
      </c>
      <c r="U24" s="1039">
        <f t="shared" si="2"/>
        <v>12000</v>
      </c>
      <c r="V24" s="1039">
        <f t="shared" si="3"/>
        <v>28000</v>
      </c>
      <c r="X24" s="1052">
        <f t="shared" si="13"/>
        <v>7170.555411733867</v>
      </c>
      <c r="Y24" s="1052">
        <f t="shared" si="14"/>
        <v>7000</v>
      </c>
      <c r="Z24" s="1052">
        <f t="shared" si="4"/>
        <v>7000</v>
      </c>
      <c r="AA24" s="1052">
        <f t="shared" si="15"/>
        <v>79255.170838292994</v>
      </c>
      <c r="AB24" s="1039">
        <f t="shared" si="5"/>
        <v>21000</v>
      </c>
      <c r="AC24" s="1039">
        <f t="shared" si="16"/>
        <v>214896.5790518939</v>
      </c>
      <c r="AD24" s="1039">
        <f t="shared" si="6"/>
        <v>294151.74989018688</v>
      </c>
    </row>
    <row r="25" spans="2:30">
      <c r="B25" s="1054" t="s">
        <v>1404</v>
      </c>
      <c r="C25" s="2014">
        <v>0.05</v>
      </c>
      <c r="D25" s="2008"/>
      <c r="L25" s="1051">
        <f t="shared" si="7"/>
        <v>60</v>
      </c>
      <c r="M25" s="1053">
        <f t="shared" si="8"/>
        <v>403174.91380323668</v>
      </c>
      <c r="N25" s="1052">
        <f t="shared" si="9"/>
        <v>33924.620000000003</v>
      </c>
      <c r="O25" s="1052">
        <f t="shared" si="10"/>
        <v>16962.310000000001</v>
      </c>
      <c r="P25" s="1052">
        <f t="shared" si="11"/>
        <v>16962.310000000001</v>
      </c>
      <c r="Q25" s="1044">
        <f t="shared" si="12"/>
        <v>387855.78425848112</v>
      </c>
      <c r="S25" s="1053">
        <f t="shared" si="0"/>
        <v>262063.69397210385</v>
      </c>
      <c r="T25" s="1048">
        <f t="shared" si="1"/>
        <v>16000</v>
      </c>
      <c r="U25" s="1039">
        <f t="shared" si="2"/>
        <v>12000</v>
      </c>
      <c r="V25" s="1039">
        <f t="shared" si="3"/>
        <v>28000</v>
      </c>
      <c r="X25" s="1052">
        <f t="shared" si="13"/>
        <v>7313.9665199685442</v>
      </c>
      <c r="Y25" s="1052">
        <f t="shared" si="14"/>
        <v>7000</v>
      </c>
      <c r="Z25" s="1052">
        <f t="shared" si="4"/>
        <v>7000</v>
      </c>
      <c r="AA25" s="1052">
        <f t="shared" si="15"/>
        <v>90217.929380207643</v>
      </c>
      <c r="AB25" s="1039">
        <f t="shared" si="5"/>
        <v>21000</v>
      </c>
      <c r="AC25" s="1039">
        <f t="shared" si="16"/>
        <v>238690.2345795685</v>
      </c>
      <c r="AD25" s="1039">
        <f t="shared" si="6"/>
        <v>328908.16395977617</v>
      </c>
    </row>
    <row r="26" spans="2:30">
      <c r="B26" s="1054" t="s">
        <v>1403</v>
      </c>
      <c r="C26" s="2014">
        <v>0.03</v>
      </c>
      <c r="D26" s="2008"/>
      <c r="L26" s="1051">
        <f t="shared" si="7"/>
        <v>61</v>
      </c>
      <c r="M26" s="1053">
        <f t="shared" si="8"/>
        <v>415270.16121733381</v>
      </c>
      <c r="N26" s="1052">
        <f t="shared" si="9"/>
        <v>34603.11</v>
      </c>
      <c r="O26" s="1052">
        <f t="shared" si="10"/>
        <v>17301.555</v>
      </c>
      <c r="P26" s="1052">
        <f t="shared" si="11"/>
        <v>17301.555</v>
      </c>
      <c r="Q26" s="1044">
        <f t="shared" si="12"/>
        <v>441851.68347140518</v>
      </c>
      <c r="S26" s="1053">
        <f t="shared" si="0"/>
        <v>269925.60479126696</v>
      </c>
      <c r="T26" s="1048">
        <f t="shared" si="1"/>
        <v>16000</v>
      </c>
      <c r="U26" s="1039">
        <f t="shared" si="2"/>
        <v>12000</v>
      </c>
      <c r="V26" s="1039">
        <f t="shared" si="3"/>
        <v>28000</v>
      </c>
      <c r="X26" s="1052">
        <f t="shared" si="13"/>
        <v>7460.2458503679154</v>
      </c>
      <c r="Y26" s="1052">
        <f t="shared" si="14"/>
        <v>7000</v>
      </c>
      <c r="Z26" s="1052">
        <f t="shared" si="4"/>
        <v>7000</v>
      </c>
      <c r="AA26" s="1052">
        <f t="shared" si="15"/>
        <v>101728.82584921803</v>
      </c>
      <c r="AB26" s="1039">
        <f t="shared" si="5"/>
        <v>21000</v>
      </c>
      <c r="AC26" s="1039">
        <f t="shared" si="16"/>
        <v>262793.20762910286</v>
      </c>
      <c r="AD26" s="1039">
        <f t="shared" si="6"/>
        <v>364522.03347832093</v>
      </c>
    </row>
    <row r="27" spans="2:30">
      <c r="B27" s="1054" t="s">
        <v>1402</v>
      </c>
      <c r="C27" s="2014">
        <v>0.02</v>
      </c>
      <c r="D27" s="2008"/>
      <c r="L27" s="1051">
        <f t="shared" si="7"/>
        <v>62</v>
      </c>
      <c r="M27" s="1053">
        <f t="shared" si="8"/>
        <v>427728.26605385385</v>
      </c>
      <c r="N27" s="1052">
        <f t="shared" si="9"/>
        <v>35295.17</v>
      </c>
      <c r="O27" s="1052">
        <f t="shared" si="10"/>
        <v>17647.584999999999</v>
      </c>
      <c r="P27" s="1052">
        <f t="shared" si="11"/>
        <v>17647.584999999999</v>
      </c>
      <c r="Q27" s="1044">
        <f t="shared" si="12"/>
        <v>499239.43764497549</v>
      </c>
      <c r="S27" s="1053">
        <f t="shared" si="0"/>
        <v>278023.372935005</v>
      </c>
      <c r="T27" s="1048">
        <f t="shared" si="1"/>
        <v>16000</v>
      </c>
      <c r="U27" s="1039">
        <f t="shared" si="2"/>
        <v>12000</v>
      </c>
      <c r="V27" s="1039">
        <f t="shared" si="3"/>
        <v>28000</v>
      </c>
      <c r="X27" s="1052">
        <f t="shared" si="13"/>
        <v>7609.4507673752742</v>
      </c>
      <c r="Y27" s="1052">
        <f t="shared" si="14"/>
        <v>7500</v>
      </c>
      <c r="Z27" s="1052">
        <f t="shared" si="4"/>
        <v>7500</v>
      </c>
      <c r="AA27" s="1052">
        <f t="shared" si="15"/>
        <v>114315.26714167894</v>
      </c>
      <c r="AB27" s="1039">
        <f t="shared" si="5"/>
        <v>20500</v>
      </c>
      <c r="AC27" s="1039">
        <f t="shared" si="16"/>
        <v>286709.51932828117</v>
      </c>
      <c r="AD27" s="1039">
        <f t="shared" si="6"/>
        <v>401024.78646996012</v>
      </c>
    </row>
    <row r="28" spans="2:30">
      <c r="B28" s="1054" t="s">
        <v>1401</v>
      </c>
      <c r="C28" s="2014">
        <v>0.35</v>
      </c>
      <c r="D28" s="2008"/>
      <c r="L28" s="1051">
        <f t="shared" si="7"/>
        <v>63</v>
      </c>
      <c r="M28" s="1053">
        <f t="shared" si="8"/>
        <v>440560.11403546948</v>
      </c>
      <c r="N28" s="1052">
        <f t="shared" si="9"/>
        <v>36001.07</v>
      </c>
      <c r="O28" s="1052">
        <f t="shared" si="10"/>
        <v>18000.535</v>
      </c>
      <c r="P28" s="1052">
        <f t="shared" si="11"/>
        <v>18000.535</v>
      </c>
      <c r="Q28" s="1044">
        <f t="shared" si="12"/>
        <v>560202.47952722432</v>
      </c>
      <c r="S28" s="1053">
        <f t="shared" si="0"/>
        <v>286364.07412305515</v>
      </c>
      <c r="T28" s="1048">
        <f t="shared" si="1"/>
        <v>16000</v>
      </c>
      <c r="U28" s="1039">
        <f t="shared" si="2"/>
        <v>12000</v>
      </c>
      <c r="V28" s="1039">
        <f t="shared" si="3"/>
        <v>28000</v>
      </c>
      <c r="X28" s="1052">
        <f t="shared" si="13"/>
        <v>7761.6397827227802</v>
      </c>
      <c r="Y28" s="1052">
        <f t="shared" si="14"/>
        <v>7500</v>
      </c>
      <c r="Z28" s="1052">
        <f t="shared" si="4"/>
        <v>7500</v>
      </c>
      <c r="AA28" s="1052">
        <f t="shared" si="15"/>
        <v>127531.03049876289</v>
      </c>
      <c r="AB28" s="1039">
        <f t="shared" si="5"/>
        <v>20500</v>
      </c>
      <c r="AC28" s="1039">
        <f t="shared" si="16"/>
        <v>310936.74307954882</v>
      </c>
      <c r="AD28" s="1039">
        <f t="shared" si="6"/>
        <v>438467.77357831172</v>
      </c>
    </row>
    <row r="29" spans="2:30">
      <c r="B29" s="1054" t="s">
        <v>1400</v>
      </c>
      <c r="C29" s="2014">
        <v>0.25</v>
      </c>
      <c r="D29" s="2008"/>
      <c r="L29" s="1059">
        <f t="shared" si="7"/>
        <v>64</v>
      </c>
      <c r="M29" s="1058">
        <f t="shared" si="8"/>
        <v>453776.91745653359</v>
      </c>
      <c r="N29" s="1056">
        <f t="shared" si="9"/>
        <v>36721.089999999997</v>
      </c>
      <c r="O29" s="1056">
        <f t="shared" si="10"/>
        <v>18360.544999999998</v>
      </c>
      <c r="P29" s="1056">
        <f t="shared" si="11"/>
        <v>18360.544999999998</v>
      </c>
      <c r="Q29" s="1040">
        <f t="shared" si="12"/>
        <v>624933.69350358564</v>
      </c>
      <c r="S29" s="1058">
        <f t="shared" si="0"/>
        <v>294954.99634674686</v>
      </c>
      <c r="T29" s="1057">
        <f t="shared" si="1"/>
        <v>16000</v>
      </c>
      <c r="U29" s="1055">
        <f t="shared" si="2"/>
        <v>12000</v>
      </c>
      <c r="V29" s="1055">
        <f t="shared" si="3"/>
        <v>28000</v>
      </c>
      <c r="W29" s="1041"/>
      <c r="X29" s="1056">
        <f t="shared" si="13"/>
        <v>7916.8725783772361</v>
      </c>
      <c r="Y29" s="1056">
        <f t="shared" si="14"/>
        <v>7500</v>
      </c>
      <c r="Z29" s="1056">
        <f t="shared" si="4"/>
        <v>7500</v>
      </c>
      <c r="AA29" s="1056">
        <f t="shared" si="15"/>
        <v>141407.58202370105</v>
      </c>
      <c r="AB29" s="1055">
        <f t="shared" si="5"/>
        <v>20500</v>
      </c>
      <c r="AC29" s="1055">
        <f t="shared" si="16"/>
        <v>335478.92073958291</v>
      </c>
      <c r="AD29" s="1055">
        <f t="shared" si="6"/>
        <v>476886.50276328396</v>
      </c>
    </row>
    <row r="30" spans="2:30">
      <c r="B30" s="1054" t="s">
        <v>1399</v>
      </c>
      <c r="C30" s="2007" t="s">
        <v>1398</v>
      </c>
      <c r="D30" s="2008"/>
      <c r="L30" s="1051" t="s">
        <v>347</v>
      </c>
      <c r="M30" s="1053"/>
      <c r="N30" s="1052"/>
      <c r="O30" s="1052"/>
      <c r="P30" s="1052"/>
      <c r="Q30" s="1044">
        <f>Q29</f>
        <v>624933.69350358564</v>
      </c>
      <c r="S30" s="1053"/>
      <c r="T30" s="1048"/>
      <c r="U30" s="1039"/>
      <c r="V30" s="1039"/>
      <c r="X30" s="1052"/>
      <c r="Y30" s="1052"/>
      <c r="Z30" s="1052"/>
      <c r="AA30" s="1048">
        <f>AA29</f>
        <v>141407.58202370105</v>
      </c>
      <c r="AB30" s="1039"/>
      <c r="AC30" s="1048">
        <f>AC29</f>
        <v>335478.92073958291</v>
      </c>
      <c r="AD30" s="1048">
        <f>AD29</f>
        <v>476886.50276328396</v>
      </c>
    </row>
    <row r="31" spans="2:30">
      <c r="L31" s="1051"/>
    </row>
    <row r="32" spans="2:30">
      <c r="L32" s="1050" t="s">
        <v>1444</v>
      </c>
      <c r="N32" s="1039">
        <f>Q30</f>
        <v>624933.69350358564</v>
      </c>
    </row>
    <row r="33" spans="12:22">
      <c r="L33" s="1030" t="s">
        <v>1443</v>
      </c>
      <c r="M33" s="1046"/>
      <c r="N33" s="1049">
        <f>AA30</f>
        <v>141407.58202370105</v>
      </c>
      <c r="O33" s="1046"/>
    </row>
    <row r="34" spans="12:22">
      <c r="L34" s="1030" t="s">
        <v>1442</v>
      </c>
      <c r="N34" s="1048">
        <f>AC30</f>
        <v>335478.92073958291</v>
      </c>
      <c r="U34" s="1047">
        <v>0.05</v>
      </c>
      <c r="V34" s="1045">
        <f>U34*(1-C28)</f>
        <v>3.2500000000000001E-2</v>
      </c>
    </row>
    <row r="35" spans="12:22">
      <c r="T35" s="1030">
        <v>65</v>
      </c>
      <c r="U35" s="1030">
        <f t="shared" ref="U35:U54" si="17">(1+$C$25)^(65-T35)</f>
        <v>1</v>
      </c>
      <c r="V35" s="1030">
        <f t="shared" ref="V35:V54" si="18">(1+$V$34)^(65-T35)</f>
        <v>1</v>
      </c>
    </row>
    <row r="36" spans="12:22">
      <c r="N36" s="1047">
        <v>0.05</v>
      </c>
      <c r="O36" s="1045">
        <f>V34</f>
        <v>3.2500000000000001E-2</v>
      </c>
      <c r="P36" s="1046"/>
      <c r="T36" s="1030">
        <f t="shared" ref="T36:T55" si="19">T35+1</f>
        <v>66</v>
      </c>
      <c r="U36" s="1030">
        <f t="shared" si="17"/>
        <v>0.95238095238095233</v>
      </c>
      <c r="V36" s="1030">
        <f t="shared" si="18"/>
        <v>0.96852300242130751</v>
      </c>
    </row>
    <row r="37" spans="12:22">
      <c r="L37" s="1030" t="s">
        <v>1441</v>
      </c>
      <c r="N37" s="1030">
        <f>U56</f>
        <v>13.085320859666986</v>
      </c>
      <c r="O37" s="1030">
        <f>V56</f>
        <v>15.011874896709593</v>
      </c>
      <c r="P37" s="1043"/>
      <c r="T37" s="1030">
        <f t="shared" si="19"/>
        <v>67</v>
      </c>
      <c r="U37" s="1030">
        <f t="shared" si="17"/>
        <v>0.90702947845804982</v>
      </c>
      <c r="V37" s="1030">
        <f t="shared" si="18"/>
        <v>0.93803680621918406</v>
      </c>
    </row>
    <row r="38" spans="12:22">
      <c r="O38" s="1045"/>
      <c r="P38" s="1043"/>
      <c r="T38" s="1030">
        <f t="shared" si="19"/>
        <v>68</v>
      </c>
      <c r="U38" s="1030">
        <f t="shared" si="17"/>
        <v>0.86383759853147601</v>
      </c>
      <c r="V38" s="1030">
        <f t="shared" si="18"/>
        <v>0.90851022394109848</v>
      </c>
    </row>
    <row r="39" spans="12:22">
      <c r="L39" s="1030" t="s">
        <v>1440</v>
      </c>
      <c r="N39" s="1044">
        <f>N32*(1-C29)/N37</f>
        <v>35818.783135258738</v>
      </c>
      <c r="P39" s="1043"/>
      <c r="T39" s="1030">
        <f t="shared" si="19"/>
        <v>69</v>
      </c>
      <c r="U39" s="1030">
        <f t="shared" si="17"/>
        <v>0.82270247479188197</v>
      </c>
      <c r="V39" s="1030">
        <f t="shared" si="18"/>
        <v>0.87991304982188712</v>
      </c>
    </row>
    <row r="40" spans="12:22">
      <c r="P40" s="1043"/>
      <c r="T40" s="1030">
        <f t="shared" si="19"/>
        <v>70</v>
      </c>
      <c r="U40" s="1030">
        <f t="shared" si="17"/>
        <v>0.78352616646845896</v>
      </c>
      <c r="V40" s="1030">
        <f t="shared" si="18"/>
        <v>0.85221602888318371</v>
      </c>
    </row>
    <row r="41" spans="12:22" ht="17.399999999999999">
      <c r="L41" s="1030" t="s">
        <v>1439</v>
      </c>
      <c r="N41" s="1039">
        <f>N33/N37</f>
        <v>10806.581171392063</v>
      </c>
      <c r="P41" s="1042"/>
      <c r="T41" s="1030">
        <f t="shared" si="19"/>
        <v>71</v>
      </c>
      <c r="U41" s="1030">
        <f t="shared" si="17"/>
        <v>0.74621539663662761</v>
      </c>
      <c r="V41" s="1030">
        <f t="shared" si="18"/>
        <v>0.82539082700550481</v>
      </c>
    </row>
    <row r="42" spans="12:22">
      <c r="L42" s="1041" t="s">
        <v>1438</v>
      </c>
      <c r="M42" s="1041"/>
      <c r="N42" s="1040">
        <f>N34/O37</f>
        <v>22347.569710504016</v>
      </c>
      <c r="P42" s="1038"/>
      <c r="T42" s="1030">
        <f t="shared" si="19"/>
        <v>72</v>
      </c>
      <c r="U42" s="1030">
        <f t="shared" si="17"/>
        <v>0.71068133013012147</v>
      </c>
      <c r="V42" s="1030">
        <f t="shared" si="18"/>
        <v>0.79941000194237755</v>
      </c>
    </row>
    <row r="43" spans="12:22">
      <c r="L43" s="1030" t="s">
        <v>1437</v>
      </c>
      <c r="N43" s="1039">
        <f>N41+N42</f>
        <v>33154.150881896079</v>
      </c>
      <c r="T43" s="1030">
        <f t="shared" si="19"/>
        <v>73</v>
      </c>
      <c r="U43" s="1030">
        <f t="shared" si="17"/>
        <v>0.67683936202868722</v>
      </c>
      <c r="V43" s="1030">
        <f t="shared" si="18"/>
        <v>0.77424697524685471</v>
      </c>
    </row>
    <row r="44" spans="12:22">
      <c r="P44" s="1038"/>
      <c r="T44" s="1030">
        <f t="shared" si="19"/>
        <v>74</v>
      </c>
      <c r="U44" s="1030">
        <f t="shared" si="17"/>
        <v>0.64460891621779726</v>
      </c>
      <c r="V44" s="1030">
        <f t="shared" si="18"/>
        <v>0.74987600508169938</v>
      </c>
    </row>
    <row r="45" spans="12:22" ht="16.2" thickBot="1">
      <c r="T45" s="1030">
        <f t="shared" si="19"/>
        <v>75</v>
      </c>
      <c r="U45" s="1030">
        <f t="shared" si="17"/>
        <v>0.61391325354075932</v>
      </c>
      <c r="V45" s="1030">
        <f t="shared" si="18"/>
        <v>0.72627215988542326</v>
      </c>
    </row>
    <row r="46" spans="12:22">
      <c r="L46" s="1037" t="s">
        <v>1436</v>
      </c>
      <c r="M46" s="1036"/>
      <c r="N46" s="1036"/>
      <c r="O46" s="1036"/>
      <c r="P46" s="1036"/>
      <c r="Q46" s="1036"/>
      <c r="R46" s="1035"/>
      <c r="T46" s="1030">
        <f t="shared" si="19"/>
        <v>76</v>
      </c>
      <c r="U46" s="1030">
        <f t="shared" si="17"/>
        <v>0.5846792890864374</v>
      </c>
      <c r="V46" s="1030">
        <f t="shared" si="18"/>
        <v>0.70341129286723802</v>
      </c>
    </row>
    <row r="47" spans="12:22" ht="16.2" thickBot="1">
      <c r="L47" s="1034" t="s">
        <v>1435</v>
      </c>
      <c r="M47" s="1033"/>
      <c r="N47" s="1033"/>
      <c r="O47" s="1033"/>
      <c r="P47" s="1033"/>
      <c r="Q47" s="1033"/>
      <c r="R47" s="1032"/>
      <c r="T47" s="1030">
        <f t="shared" si="19"/>
        <v>77</v>
      </c>
      <c r="U47" s="1030">
        <f t="shared" si="17"/>
        <v>0.5568374181775595</v>
      </c>
      <c r="V47" s="1030">
        <f t="shared" si="18"/>
        <v>0.68127001730483105</v>
      </c>
    </row>
    <row r="48" spans="12:22">
      <c r="T48" s="1030">
        <f t="shared" si="19"/>
        <v>78</v>
      </c>
      <c r="U48" s="1030">
        <f t="shared" si="17"/>
        <v>0.53032135064529462</v>
      </c>
      <c r="V48" s="1030">
        <f t="shared" si="18"/>
        <v>0.6598256826196911</v>
      </c>
    </row>
    <row r="49" spans="20:22">
      <c r="T49" s="1030">
        <f t="shared" si="19"/>
        <v>79</v>
      </c>
      <c r="U49" s="1030">
        <f t="shared" si="17"/>
        <v>0.50506795299551888</v>
      </c>
      <c r="V49" s="1030">
        <f t="shared" si="18"/>
        <v>0.63905635120551207</v>
      </c>
    </row>
    <row r="50" spans="20:22">
      <c r="T50" s="1030">
        <f t="shared" si="19"/>
        <v>80</v>
      </c>
      <c r="U50" s="1030">
        <f t="shared" si="17"/>
        <v>0.48101709809097021</v>
      </c>
      <c r="V50" s="1030">
        <f t="shared" si="18"/>
        <v>0.61894077598596808</v>
      </c>
    </row>
    <row r="51" spans="20:22">
      <c r="T51" s="1030">
        <f t="shared" si="19"/>
        <v>81</v>
      </c>
      <c r="U51" s="1030">
        <f t="shared" si="17"/>
        <v>0.45811152199140021</v>
      </c>
      <c r="V51" s="1030">
        <f t="shared" si="18"/>
        <v>0.59945837867890361</v>
      </c>
    </row>
    <row r="52" spans="20:22">
      <c r="T52" s="1030">
        <f t="shared" si="19"/>
        <v>82</v>
      </c>
      <c r="U52" s="1030">
        <f t="shared" si="17"/>
        <v>0.43629668761085727</v>
      </c>
      <c r="V52" s="1030">
        <f t="shared" si="18"/>
        <v>0.58058922874470087</v>
      </c>
    </row>
    <row r="53" spans="20:22">
      <c r="T53" s="1030">
        <f t="shared" si="19"/>
        <v>83</v>
      </c>
      <c r="U53" s="1030">
        <f t="shared" si="17"/>
        <v>0.41552065486748313</v>
      </c>
      <c r="V53" s="1030">
        <f t="shared" si="18"/>
        <v>0.56231402299728894</v>
      </c>
    </row>
    <row r="54" spans="20:22">
      <c r="T54" s="1030">
        <f t="shared" si="19"/>
        <v>84</v>
      </c>
      <c r="U54" s="1030">
        <f t="shared" si="17"/>
        <v>0.39573395701665059</v>
      </c>
      <c r="V54" s="1030">
        <f t="shared" si="18"/>
        <v>0.5446140658569385</v>
      </c>
    </row>
    <row r="55" spans="20:22">
      <c r="T55" s="1030">
        <f t="shared" si="19"/>
        <v>85</v>
      </c>
      <c r="U55" s="1030">
        <v>0</v>
      </c>
      <c r="V55" s="1030">
        <v>0</v>
      </c>
    </row>
    <row r="56" spans="20:22">
      <c r="U56" s="1030">
        <f>SUM(U35:U55)</f>
        <v>13.085320859666986</v>
      </c>
      <c r="V56" s="1030">
        <f>SUM(V35:V55)</f>
        <v>15.011874896709593</v>
      </c>
    </row>
  </sheetData>
  <sheetProtection formatCells="0" formatColumns="0" formatRows="0" insertColumns="0" insertRows="0"/>
  <mergeCells count="23">
    <mergeCell ref="C27:D27"/>
    <mergeCell ref="C28:D28"/>
    <mergeCell ref="C29:D29"/>
    <mergeCell ref="C30:D30"/>
    <mergeCell ref="C21:D21"/>
    <mergeCell ref="C22:D22"/>
    <mergeCell ref="C23:D23"/>
    <mergeCell ref="C24:D24"/>
    <mergeCell ref="C25:D25"/>
    <mergeCell ref="C26:D26"/>
    <mergeCell ref="C14:D14"/>
    <mergeCell ref="E14:F14"/>
    <mergeCell ref="C19:D19"/>
    <mergeCell ref="C20:D20"/>
    <mergeCell ref="L7:V7"/>
    <mergeCell ref="C10:D10"/>
    <mergeCell ref="E10:F10"/>
    <mergeCell ref="C11:D11"/>
    <mergeCell ref="E11:F11"/>
    <mergeCell ref="C12:D12"/>
    <mergeCell ref="E12:F12"/>
    <mergeCell ref="C13:D13"/>
    <mergeCell ref="E13:F13"/>
  </mergeCells>
  <pageMargins left="0.7" right="0.7" top="0.75" bottom="0.75" header="0.3" footer="0.3"/>
  <pageSetup scale="34" orientation="portrait" horizontalDpi="4294967293" verticalDpi="300" r:id="rId1"/>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8C99-9B9F-4F13-8F1B-891572BD7EF4}">
  <dimension ref="A1:K57"/>
  <sheetViews>
    <sheetView workbookViewId="0">
      <selection activeCell="Q1" sqref="Q1"/>
    </sheetView>
  </sheetViews>
  <sheetFormatPr defaultColWidth="8.88671875" defaultRowHeight="15.6"/>
  <cols>
    <col min="1" max="1" width="3.5546875" style="90" customWidth="1"/>
    <col min="2" max="2" width="11.109375" style="90" customWidth="1"/>
    <col min="3" max="3" width="16" style="90" customWidth="1"/>
    <col min="4" max="8" width="12.88671875" style="90" customWidth="1"/>
    <col min="9" max="9" width="8.88671875" style="90"/>
    <col min="10" max="10" width="2.5546875" style="90" customWidth="1"/>
    <col min="11" max="16384" width="8.88671875" style="3"/>
  </cols>
  <sheetData>
    <row r="1" spans="1:11">
      <c r="A1" s="90" t="s">
        <v>274</v>
      </c>
      <c r="K1" s="3" t="s">
        <v>274</v>
      </c>
    </row>
    <row r="2" spans="1:11">
      <c r="A2" s="90" t="s">
        <v>1487</v>
      </c>
      <c r="K2" s="3" t="s">
        <v>1487</v>
      </c>
    </row>
    <row r="3" spans="1:11" ht="18.45" customHeight="1">
      <c r="A3" s="106"/>
    </row>
    <row r="4" spans="1:11" ht="18.45" customHeight="1">
      <c r="A4" s="105"/>
      <c r="K4" s="3" t="s">
        <v>2</v>
      </c>
    </row>
    <row r="5" spans="1:11">
      <c r="A5" s="105"/>
      <c r="B5" s="91" t="s">
        <v>402</v>
      </c>
      <c r="C5" s="90" t="s">
        <v>1486</v>
      </c>
    </row>
    <row r="7" spans="1:11">
      <c r="C7" s="90" t="s">
        <v>323</v>
      </c>
    </row>
    <row r="9" spans="1:11">
      <c r="C9" s="94" t="s">
        <v>1384</v>
      </c>
    </row>
    <row r="10" spans="1:11" ht="15.6" customHeight="1">
      <c r="C10" s="2047" t="s">
        <v>1485</v>
      </c>
      <c r="D10" s="2048"/>
      <c r="E10" s="2053" t="s">
        <v>1484</v>
      </c>
      <c r="F10" s="2054"/>
      <c r="G10" s="2054"/>
      <c r="H10" s="2055"/>
    </row>
    <row r="11" spans="1:11" ht="15.6" customHeight="1">
      <c r="C11" s="2049"/>
      <c r="D11" s="2050"/>
      <c r="E11" s="2056"/>
      <c r="F11" s="1972"/>
      <c r="G11" s="1972"/>
      <c r="H11" s="2057"/>
    </row>
    <row r="12" spans="1:11" ht="15.6" customHeight="1">
      <c r="C12" s="2049"/>
      <c r="D12" s="2050"/>
      <c r="E12" s="2056"/>
      <c r="F12" s="1972"/>
      <c r="G12" s="1972"/>
      <c r="H12" s="2057"/>
    </row>
    <row r="13" spans="1:11" ht="15.6" customHeight="1">
      <c r="C13" s="2051"/>
      <c r="D13" s="2052"/>
      <c r="E13" s="2058"/>
      <c r="F13" s="2059"/>
      <c r="G13" s="2059"/>
      <c r="H13" s="2060"/>
    </row>
    <row r="14" spans="1:11" ht="15.6" customHeight="1">
      <c r="C14" s="1081" t="s">
        <v>1311</v>
      </c>
      <c r="D14" s="982"/>
      <c r="E14" s="2044" t="s">
        <v>127</v>
      </c>
      <c r="F14" s="2045"/>
      <c r="G14" s="2045"/>
      <c r="H14" s="2046"/>
    </row>
    <row r="15" spans="1:11" ht="15.6" customHeight="1">
      <c r="C15" s="1645" t="s">
        <v>1308</v>
      </c>
      <c r="D15" s="1647"/>
      <c r="E15" s="2044" t="s">
        <v>135</v>
      </c>
      <c r="F15" s="2045"/>
      <c r="G15" s="2045"/>
      <c r="H15" s="2046"/>
    </row>
    <row r="16" spans="1:11" ht="15.6" customHeight="1">
      <c r="C16" s="102" t="s">
        <v>1307</v>
      </c>
      <c r="D16" s="100"/>
      <c r="E16" s="2044" t="s">
        <v>1483</v>
      </c>
      <c r="F16" s="2045"/>
      <c r="G16" s="2045"/>
      <c r="H16" s="2046"/>
    </row>
    <row r="17" spans="3:8">
      <c r="C17" s="1970" t="s">
        <v>258</v>
      </c>
      <c r="D17" s="1970"/>
      <c r="E17" s="2041" t="s">
        <v>555</v>
      </c>
      <c r="F17" s="2042"/>
      <c r="G17" s="2042"/>
      <c r="H17" s="2043"/>
    </row>
    <row r="18" spans="3:8">
      <c r="C18" s="1970" t="s">
        <v>1482</v>
      </c>
      <c r="D18" s="1970"/>
      <c r="E18" s="1645" t="s">
        <v>1303</v>
      </c>
      <c r="F18" s="1646"/>
      <c r="G18" s="1646"/>
      <c r="H18" s="1647"/>
    </row>
    <row r="19" spans="3:8">
      <c r="C19" s="1970" t="s">
        <v>1481</v>
      </c>
      <c r="D19" s="1970"/>
      <c r="E19" s="1645" t="s">
        <v>1480</v>
      </c>
      <c r="F19" s="1646"/>
      <c r="G19" s="1646"/>
      <c r="H19" s="1647"/>
    </row>
    <row r="20" spans="3:8">
      <c r="C20" s="2018" t="s">
        <v>1479</v>
      </c>
      <c r="D20" s="2019"/>
      <c r="E20" s="2024" t="s">
        <v>1478</v>
      </c>
      <c r="F20" s="2025"/>
      <c r="G20" s="2025"/>
      <c r="H20" s="2026"/>
    </row>
    <row r="21" spans="3:8">
      <c r="C21" s="2020"/>
      <c r="D21" s="2021"/>
      <c r="E21" s="2027"/>
      <c r="F21" s="2028"/>
      <c r="G21" s="2028"/>
      <c r="H21" s="2029"/>
    </row>
    <row r="22" spans="3:8">
      <c r="C22" s="2020"/>
      <c r="D22" s="2021"/>
      <c r="E22" s="2027"/>
      <c r="F22" s="2028"/>
      <c r="G22" s="2028"/>
      <c r="H22" s="2029"/>
    </row>
    <row r="23" spans="3:8">
      <c r="C23" s="2020"/>
      <c r="D23" s="2021"/>
      <c r="E23" s="2027"/>
      <c r="F23" s="2028"/>
      <c r="G23" s="2028"/>
      <c r="H23" s="2029"/>
    </row>
    <row r="24" spans="3:8">
      <c r="C24" s="2022"/>
      <c r="D24" s="2023"/>
      <c r="E24" s="2030"/>
      <c r="F24" s="2031"/>
      <c r="G24" s="2031"/>
      <c r="H24" s="2032"/>
    </row>
    <row r="26" spans="3:8">
      <c r="C26" s="969" t="s">
        <v>1477</v>
      </c>
    </row>
    <row r="27" spans="3:8">
      <c r="C27" s="90" t="s">
        <v>1476</v>
      </c>
    </row>
    <row r="29" spans="3:8">
      <c r="C29" s="90" t="s">
        <v>1475</v>
      </c>
    </row>
    <row r="31" spans="3:8">
      <c r="C31" s="2033" t="s">
        <v>563</v>
      </c>
      <c r="D31" s="2036" t="s">
        <v>1474</v>
      </c>
    </row>
    <row r="32" spans="3:8">
      <c r="C32" s="2034"/>
      <c r="D32" s="2037"/>
    </row>
    <row r="33" spans="3:9">
      <c r="C33" s="2035"/>
      <c r="D33" s="2038"/>
    </row>
    <row r="34" spans="3:9">
      <c r="C34" s="957" t="s">
        <v>560</v>
      </c>
      <c r="D34" s="1079">
        <v>250000</v>
      </c>
    </row>
    <row r="35" spans="3:9">
      <c r="C35" s="957" t="s">
        <v>559</v>
      </c>
      <c r="D35" s="1079">
        <v>110000</v>
      </c>
    </row>
    <row r="36" spans="3:9">
      <c r="C36" s="957" t="s">
        <v>660</v>
      </c>
      <c r="D36" s="1079">
        <v>130000</v>
      </c>
    </row>
    <row r="37" spans="3:9">
      <c r="C37" s="957" t="s">
        <v>659</v>
      </c>
      <c r="D37" s="1079">
        <v>30000</v>
      </c>
    </row>
    <row r="39" spans="3:9">
      <c r="C39" s="90" t="s">
        <v>1473</v>
      </c>
    </row>
    <row r="41" spans="3:9">
      <c r="C41" s="2039" t="s">
        <v>1472</v>
      </c>
      <c r="D41" s="2039"/>
      <c r="E41" s="2039"/>
      <c r="F41" s="2039"/>
      <c r="G41" s="2039"/>
      <c r="H41" s="2039"/>
      <c r="I41" s="2039"/>
    </row>
    <row r="42" spans="3:9">
      <c r="C42" s="2039"/>
      <c r="D42" s="2039"/>
      <c r="E42" s="2039"/>
      <c r="F42" s="2039"/>
      <c r="G42" s="2039"/>
      <c r="H42" s="2039"/>
      <c r="I42" s="2039"/>
    </row>
    <row r="43" spans="3:9">
      <c r="C43" s="1078"/>
    </row>
    <row r="44" spans="3:9">
      <c r="C44" s="2040" t="s">
        <v>1471</v>
      </c>
      <c r="D44" s="2040"/>
      <c r="E44" s="2040"/>
      <c r="F44" s="2040"/>
      <c r="G44" s="2040"/>
      <c r="H44" s="2040"/>
      <c r="I44" s="2040"/>
    </row>
    <row r="45" spans="3:9" ht="31.2" customHeight="1">
      <c r="C45" s="2040"/>
      <c r="D45" s="2040"/>
      <c r="E45" s="2040"/>
      <c r="F45" s="2040"/>
      <c r="G45" s="2040"/>
      <c r="H45" s="2040"/>
      <c r="I45" s="2040"/>
    </row>
    <row r="46" spans="3:9">
      <c r="C46" s="1076"/>
    </row>
    <row r="47" spans="3:9">
      <c r="C47" s="2016" t="s">
        <v>1470</v>
      </c>
      <c r="D47" s="2016"/>
      <c r="E47" s="2016"/>
      <c r="F47" s="2016"/>
      <c r="G47" s="2016"/>
      <c r="H47" s="2016"/>
      <c r="I47" s="2016"/>
    </row>
    <row r="48" spans="3:9">
      <c r="C48" s="2016"/>
      <c r="D48" s="2016"/>
      <c r="E48" s="2016"/>
      <c r="F48" s="2016"/>
      <c r="G48" s="2016"/>
      <c r="H48" s="2016"/>
      <c r="I48" s="2016"/>
    </row>
    <row r="49" spans="3:10">
      <c r="C49" s="2016"/>
      <c r="D49" s="2016"/>
      <c r="E49" s="2016"/>
      <c r="F49" s="2016"/>
      <c r="G49" s="2016"/>
      <c r="H49" s="2016"/>
      <c r="I49" s="2016"/>
    </row>
    <row r="50" spans="3:10">
      <c r="C50" s="2016"/>
      <c r="D50" s="2016"/>
      <c r="E50" s="2016"/>
      <c r="F50" s="2016"/>
      <c r="G50" s="2016"/>
      <c r="H50" s="2016"/>
      <c r="I50" s="2016"/>
    </row>
    <row r="52" spans="3:10">
      <c r="C52" s="2017" t="s">
        <v>1469</v>
      </c>
      <c r="D52" s="2017"/>
      <c r="E52" s="2017"/>
      <c r="F52" s="2017"/>
      <c r="G52" s="2017"/>
      <c r="H52" s="113"/>
    </row>
    <row r="54" spans="3:10">
      <c r="C54" s="90" t="s">
        <v>1468</v>
      </c>
    </row>
    <row r="56" spans="3:10">
      <c r="C56" s="1655" t="s">
        <v>29</v>
      </c>
      <c r="D56" s="1656"/>
      <c r="E56" s="1656"/>
      <c r="F56" s="1656"/>
      <c r="G56" s="1656"/>
      <c r="H56" s="1656"/>
      <c r="I56" s="1657"/>
      <c r="J56" s="172"/>
    </row>
    <row r="57" spans="3:10">
      <c r="C57" s="1658"/>
      <c r="D57" s="1659"/>
      <c r="E57" s="1659"/>
      <c r="F57" s="1659"/>
      <c r="G57" s="1659"/>
      <c r="H57" s="1659"/>
      <c r="I57" s="1660"/>
    </row>
  </sheetData>
  <mergeCells count="21">
    <mergeCell ref="E16:H16"/>
    <mergeCell ref="C10:D13"/>
    <mergeCell ref="E10:H13"/>
    <mergeCell ref="E14:H14"/>
    <mergeCell ref="C15:D15"/>
    <mergeCell ref="E15:H15"/>
    <mergeCell ref="C17:D17"/>
    <mergeCell ref="E17:H17"/>
    <mergeCell ref="C18:D18"/>
    <mergeCell ref="E18:H18"/>
    <mergeCell ref="C19:D19"/>
    <mergeCell ref="E19:H19"/>
    <mergeCell ref="C47:I50"/>
    <mergeCell ref="C52:G52"/>
    <mergeCell ref="C56:I57"/>
    <mergeCell ref="C20:D24"/>
    <mergeCell ref="E20:H24"/>
    <mergeCell ref="C31:C33"/>
    <mergeCell ref="D31:D33"/>
    <mergeCell ref="C41:I42"/>
    <mergeCell ref="C44:I4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55A9F-4E3F-4477-9853-C6D8A84EA5B6}">
  <dimension ref="A1:U71"/>
  <sheetViews>
    <sheetView zoomScale="90" zoomScaleNormal="90" workbookViewId="0">
      <selection activeCell="G25" sqref="G25"/>
    </sheetView>
  </sheetViews>
  <sheetFormatPr defaultColWidth="8.88671875" defaultRowHeight="15.6"/>
  <cols>
    <col min="1" max="1" width="3.5546875" style="2" customWidth="1"/>
    <col min="2" max="2" width="11.109375" style="2" customWidth="1"/>
    <col min="3" max="3" width="20.44140625" style="2" customWidth="1"/>
    <col min="4" max="4" width="23.109375" style="2" customWidth="1"/>
    <col min="5" max="5" width="27.44140625" style="2" customWidth="1"/>
    <col min="6" max="7" width="12.88671875" style="2" customWidth="1"/>
    <col min="8" max="8" width="14.88671875" style="2" customWidth="1"/>
    <col min="9" max="9" width="11.88671875" style="2" customWidth="1"/>
    <col min="10" max="11" width="2.5546875" style="2" customWidth="1"/>
    <col min="12" max="12" width="8.88671875" style="3"/>
    <col min="13" max="13" width="11.109375" style="3" customWidth="1"/>
    <col min="15" max="15" width="13.109375" style="3" customWidth="1"/>
    <col min="16" max="16" width="11.5546875" style="3" customWidth="1"/>
    <col min="17" max="17" width="8.88671875" style="3"/>
    <col min="18" max="18" width="9.6640625" style="3" customWidth="1"/>
    <col min="19" max="16384" width="8.88671875" style="3"/>
  </cols>
  <sheetData>
    <row r="1" spans="1:21">
      <c r="A1" s="1" t="s">
        <v>0</v>
      </c>
      <c r="B1" s="1"/>
      <c r="L1" s="3" t="str">
        <f>A1</f>
        <v>RETFRC Spring 2024</v>
      </c>
    </row>
    <row r="2" spans="1:21">
      <c r="A2" s="1" t="s">
        <v>1</v>
      </c>
      <c r="B2" s="1"/>
      <c r="L2" s="3" t="str">
        <f>A2</f>
        <v>Question 3</v>
      </c>
    </row>
    <row r="3" spans="1:21" ht="18.600000000000001" customHeight="1">
      <c r="A3" s="4"/>
    </row>
    <row r="4" spans="1:21" ht="18.600000000000001" customHeight="1">
      <c r="A4" s="1"/>
      <c r="L4" s="3" t="s">
        <v>2</v>
      </c>
    </row>
    <row r="5" spans="1:21">
      <c r="A5" s="1"/>
      <c r="B5" s="5" t="s">
        <v>3</v>
      </c>
      <c r="C5" s="2" t="s">
        <v>4</v>
      </c>
      <c r="L5" s="6"/>
      <c r="M5" s="6"/>
      <c r="N5" s="7"/>
      <c r="O5" s="6"/>
      <c r="P5" s="6"/>
      <c r="Q5" s="6"/>
      <c r="R5" s="6"/>
      <c r="S5" s="6"/>
      <c r="T5" s="6"/>
      <c r="U5" s="6"/>
    </row>
    <row r="6" spans="1:21">
      <c r="A6" s="1"/>
      <c r="B6" s="5"/>
      <c r="C6" s="2" t="s">
        <v>5</v>
      </c>
      <c r="L6" s="6"/>
      <c r="M6" s="8"/>
      <c r="N6" s="8"/>
      <c r="O6" s="9"/>
      <c r="P6" s="6"/>
      <c r="Q6" s="6"/>
      <c r="R6" s="6"/>
      <c r="S6" s="6"/>
      <c r="T6" s="6"/>
      <c r="U6" s="6"/>
    </row>
    <row r="7" spans="1:21">
      <c r="A7" s="1"/>
      <c r="B7" s="5"/>
      <c r="L7" s="6"/>
      <c r="M7" s="6"/>
      <c r="N7" s="8"/>
      <c r="O7" s="9"/>
      <c r="P7" s="10"/>
      <c r="Q7" s="6"/>
      <c r="R7" s="6"/>
      <c r="S7" s="6"/>
      <c r="T7" s="11"/>
      <c r="U7" s="6"/>
    </row>
    <row r="8" spans="1:21">
      <c r="A8" s="1"/>
      <c r="B8" s="5"/>
      <c r="C8" s="2" t="s">
        <v>6</v>
      </c>
      <c r="L8" s="6"/>
      <c r="M8" s="6"/>
      <c r="N8" s="8"/>
      <c r="O8" s="12"/>
      <c r="P8" s="12"/>
      <c r="Q8" s="12"/>
      <c r="R8" s="12"/>
      <c r="S8" s="6"/>
      <c r="T8" s="6"/>
      <c r="U8" s="6"/>
    </row>
    <row r="9" spans="1:21">
      <c r="A9" s="1"/>
      <c r="B9" s="5"/>
      <c r="L9" s="6"/>
      <c r="M9" s="6"/>
      <c r="N9" s="8"/>
      <c r="O9" s="12"/>
      <c r="P9" s="13"/>
      <c r="Q9" s="10"/>
      <c r="R9" s="10"/>
      <c r="S9" s="6"/>
      <c r="T9" s="6"/>
      <c r="U9" s="6"/>
    </row>
    <row r="10" spans="1:21" ht="31.2">
      <c r="A10" s="1"/>
      <c r="B10" s="5"/>
      <c r="C10" s="14" t="s">
        <v>7</v>
      </c>
      <c r="D10" s="15" t="s">
        <v>8</v>
      </c>
      <c r="L10" s="6"/>
      <c r="M10" s="6"/>
      <c r="N10" s="8"/>
      <c r="O10" s="12"/>
      <c r="P10" s="13"/>
      <c r="Q10" s="10"/>
      <c r="R10" s="10"/>
      <c r="S10" s="6"/>
      <c r="T10" s="6"/>
      <c r="U10" s="6"/>
    </row>
    <row r="11" spans="1:21">
      <c r="A11" s="1"/>
      <c r="B11" s="5"/>
      <c r="C11" s="16" t="s">
        <v>9</v>
      </c>
      <c r="D11" s="17">
        <v>0.4</v>
      </c>
      <c r="L11" s="6"/>
      <c r="M11" s="6"/>
      <c r="N11" s="8"/>
      <c r="O11" s="12"/>
      <c r="P11" s="13"/>
      <c r="Q11" s="10"/>
      <c r="R11" s="10"/>
      <c r="S11" s="6"/>
      <c r="T11" s="6"/>
      <c r="U11" s="6"/>
    </row>
    <row r="12" spans="1:21">
      <c r="A12" s="1"/>
      <c r="B12" s="5"/>
      <c r="C12" s="16" t="s">
        <v>10</v>
      </c>
      <c r="D12" s="17">
        <v>0.25</v>
      </c>
      <c r="L12" s="6"/>
      <c r="M12" s="6"/>
      <c r="N12" s="8"/>
      <c r="O12" s="12"/>
      <c r="P12" s="13"/>
      <c r="Q12" s="10"/>
      <c r="R12" s="10"/>
      <c r="S12" s="6"/>
      <c r="T12" s="6"/>
      <c r="U12" s="6"/>
    </row>
    <row r="13" spans="1:21">
      <c r="A13" s="1"/>
      <c r="B13" s="5"/>
      <c r="C13" s="16" t="s">
        <v>11</v>
      </c>
      <c r="D13" s="17">
        <v>0.25</v>
      </c>
      <c r="L13" s="6"/>
      <c r="M13" s="6"/>
      <c r="N13" s="8"/>
      <c r="O13" s="6"/>
      <c r="P13" s="9"/>
      <c r="Q13" s="18"/>
      <c r="R13" s="18"/>
      <c r="S13" s="6"/>
      <c r="T13" s="6"/>
      <c r="U13" s="6"/>
    </row>
    <row r="14" spans="1:21">
      <c r="A14" s="1"/>
      <c r="B14" s="5"/>
      <c r="C14" s="16" t="s">
        <v>12</v>
      </c>
      <c r="D14" s="17">
        <v>0.1</v>
      </c>
      <c r="L14" s="6"/>
      <c r="M14" s="6"/>
      <c r="N14" s="8"/>
      <c r="O14" s="6"/>
      <c r="P14" s="6"/>
      <c r="Q14" s="6"/>
      <c r="R14" s="6"/>
      <c r="S14" s="6"/>
      <c r="T14" s="6"/>
      <c r="U14" s="6"/>
    </row>
    <row r="15" spans="1:21">
      <c r="A15" s="1"/>
      <c r="B15" s="5"/>
      <c r="C15" s="19"/>
      <c r="D15" s="20"/>
      <c r="L15" s="6"/>
      <c r="M15" s="6"/>
      <c r="N15" s="7"/>
      <c r="O15" s="12"/>
      <c r="P15" s="18"/>
      <c r="Q15" s="9"/>
      <c r="R15" s="6"/>
      <c r="S15" s="6"/>
      <c r="T15" s="6"/>
      <c r="U15" s="6"/>
    </row>
    <row r="16" spans="1:21">
      <c r="A16" s="1"/>
      <c r="B16" s="5"/>
      <c r="C16" s="21" t="s">
        <v>13</v>
      </c>
      <c r="D16" s="20"/>
      <c r="L16" s="6"/>
      <c r="M16" s="6"/>
      <c r="N16" s="7"/>
      <c r="O16" s="12"/>
      <c r="P16" s="18"/>
      <c r="Q16" s="9"/>
      <c r="R16" s="6"/>
      <c r="S16" s="6"/>
      <c r="T16" s="6"/>
      <c r="U16" s="6"/>
    </row>
    <row r="17" spans="1:21">
      <c r="A17" s="1"/>
      <c r="B17" s="5"/>
      <c r="C17" s="22"/>
      <c r="D17" s="20"/>
      <c r="L17" s="6"/>
      <c r="M17" s="6"/>
      <c r="N17" s="7"/>
      <c r="O17" s="12"/>
      <c r="P17" s="23"/>
      <c r="Q17" s="6"/>
      <c r="R17" s="6"/>
      <c r="S17" s="6"/>
      <c r="T17" s="6"/>
      <c r="U17" s="6"/>
    </row>
    <row r="18" spans="1:21" ht="24.9" customHeight="1">
      <c r="A18" s="1"/>
      <c r="B18" s="5"/>
      <c r="C18" s="1627" t="s">
        <v>14</v>
      </c>
      <c r="D18" s="1628"/>
      <c r="E18" s="1628"/>
      <c r="F18" s="1628"/>
      <c r="G18" s="1628"/>
      <c r="H18" s="1628"/>
      <c r="I18" s="1628"/>
      <c r="L18" s="6"/>
      <c r="M18" s="6"/>
      <c r="N18" s="7"/>
      <c r="O18" s="12"/>
      <c r="P18" s="18"/>
      <c r="Q18" s="6"/>
      <c r="R18" s="6"/>
      <c r="S18" s="6"/>
      <c r="T18" s="6"/>
      <c r="U18" s="6"/>
    </row>
    <row r="19" spans="1:21" ht="24.9" customHeight="1">
      <c r="A19" s="1"/>
      <c r="B19" s="5"/>
      <c r="C19" s="1627" t="s">
        <v>15</v>
      </c>
      <c r="D19" s="1628"/>
      <c r="E19" s="1628"/>
      <c r="F19" s="1628"/>
      <c r="G19" s="1628"/>
      <c r="H19" s="1628"/>
      <c r="I19" s="1628"/>
      <c r="L19" s="6"/>
      <c r="M19" s="6"/>
      <c r="N19" s="7"/>
      <c r="O19" s="12"/>
      <c r="P19" s="18"/>
      <c r="Q19" s="9"/>
      <c r="R19" s="6"/>
      <c r="S19" s="6"/>
      <c r="T19" s="6"/>
      <c r="U19" s="6"/>
    </row>
    <row r="20" spans="1:21" ht="24.9" customHeight="1">
      <c r="A20" s="1"/>
      <c r="B20" s="5"/>
      <c r="C20" s="1627" t="s">
        <v>16</v>
      </c>
      <c r="D20" s="1628"/>
      <c r="E20" s="1628"/>
      <c r="F20" s="1628"/>
      <c r="G20" s="1628"/>
      <c r="H20" s="1628"/>
      <c r="I20" s="1628"/>
      <c r="L20" s="6"/>
      <c r="M20" s="6"/>
      <c r="N20" s="7"/>
      <c r="O20" s="26"/>
      <c r="P20" s="27"/>
      <c r="Q20" s="9"/>
      <c r="R20" s="6"/>
      <c r="S20" s="6"/>
      <c r="T20" s="6"/>
      <c r="U20" s="6"/>
    </row>
    <row r="21" spans="1:21" ht="24.9" customHeight="1">
      <c r="A21" s="1"/>
      <c r="B21" s="5"/>
      <c r="C21" s="1627" t="s">
        <v>17</v>
      </c>
      <c r="D21" s="1628"/>
      <c r="E21" s="1628"/>
      <c r="F21" s="1628"/>
      <c r="G21" s="1628"/>
      <c r="H21" s="1628"/>
      <c r="I21" s="1628"/>
      <c r="L21" s="6"/>
      <c r="M21" s="6"/>
      <c r="N21" s="28"/>
      <c r="O21" s="6"/>
      <c r="P21" s="6"/>
      <c r="Q21" s="6"/>
      <c r="R21" s="6"/>
      <c r="S21" s="6"/>
      <c r="T21" s="6"/>
      <c r="U21" s="6"/>
    </row>
    <row r="22" spans="1:21" ht="28.5" customHeight="1">
      <c r="A22" s="1"/>
      <c r="B22" s="5"/>
      <c r="C22" s="24"/>
      <c r="D22" s="14" t="s">
        <v>7</v>
      </c>
      <c r="E22" s="15" t="s">
        <v>18</v>
      </c>
      <c r="F22" s="25"/>
      <c r="G22" s="25"/>
      <c r="H22" s="25"/>
      <c r="I22" s="25"/>
      <c r="L22" s="6"/>
      <c r="M22" s="6"/>
      <c r="N22" s="9"/>
      <c r="O22" s="6"/>
      <c r="P22" s="6"/>
      <c r="Q22" s="6"/>
      <c r="R22" s="6"/>
      <c r="S22" s="6"/>
      <c r="T22" s="6"/>
      <c r="U22" s="6"/>
    </row>
    <row r="23" spans="1:21" ht="15.6" customHeight="1">
      <c r="A23" s="1"/>
      <c r="B23" s="5"/>
      <c r="C23" s="24"/>
      <c r="D23" s="16" t="s">
        <v>9</v>
      </c>
      <c r="E23" s="29">
        <v>2.5000000000000001E-2</v>
      </c>
      <c r="F23" s="30"/>
      <c r="G23" s="30"/>
      <c r="H23" s="25"/>
      <c r="I23" s="25"/>
      <c r="L23" s="31"/>
      <c r="M23" s="6"/>
      <c r="N23" s="8"/>
      <c r="O23" s="9"/>
      <c r="P23" s="6"/>
      <c r="Q23" s="6"/>
      <c r="R23" s="6"/>
      <c r="S23" s="6"/>
      <c r="T23" s="6"/>
      <c r="U23" s="6"/>
    </row>
    <row r="24" spans="1:21" ht="15.6" customHeight="1">
      <c r="A24" s="1"/>
      <c r="B24" s="5"/>
      <c r="C24" s="24"/>
      <c r="D24" s="16" t="s">
        <v>10</v>
      </c>
      <c r="E24" s="29">
        <v>4.8000000000000001E-2</v>
      </c>
      <c r="F24" s="30"/>
      <c r="G24" s="30"/>
      <c r="H24" s="25"/>
      <c r="I24" s="25"/>
      <c r="L24" s="31"/>
      <c r="M24" s="6"/>
      <c r="N24" s="7"/>
      <c r="O24" s="12"/>
      <c r="P24" s="18"/>
      <c r="Q24" s="9"/>
      <c r="R24" s="6"/>
      <c r="S24" s="6"/>
      <c r="T24" s="6"/>
      <c r="U24" s="6"/>
    </row>
    <row r="25" spans="1:21" ht="15.6" customHeight="1">
      <c r="A25" s="1"/>
      <c r="B25" s="5"/>
      <c r="C25" s="24"/>
      <c r="D25" s="16" t="s">
        <v>11</v>
      </c>
      <c r="E25" s="29">
        <v>0.05</v>
      </c>
      <c r="F25" s="30"/>
      <c r="G25" s="30"/>
      <c r="H25" s="25"/>
      <c r="I25" s="25"/>
      <c r="L25" s="31"/>
      <c r="M25" s="6"/>
      <c r="N25" s="7"/>
      <c r="O25" s="12"/>
      <c r="P25" s="18"/>
      <c r="Q25" s="9"/>
      <c r="R25" s="6"/>
      <c r="S25" s="6"/>
      <c r="T25" s="6"/>
      <c r="U25" s="6"/>
    </row>
    <row r="26" spans="1:21" ht="15.6" customHeight="1">
      <c r="A26" s="1"/>
      <c r="B26" s="5"/>
      <c r="C26" s="24"/>
      <c r="D26" s="16" t="s">
        <v>12</v>
      </c>
      <c r="E26" s="29">
        <v>4.4999999999999998E-2</v>
      </c>
      <c r="F26" s="30"/>
      <c r="G26" s="30"/>
      <c r="H26" s="25"/>
      <c r="I26" s="25"/>
      <c r="L26" s="31"/>
      <c r="M26" s="6"/>
      <c r="N26" s="7"/>
      <c r="O26" s="12"/>
      <c r="P26" s="18"/>
      <c r="Q26" s="9"/>
      <c r="R26" s="6"/>
      <c r="S26" s="6"/>
      <c r="T26" s="6"/>
      <c r="U26" s="6"/>
    </row>
    <row r="27" spans="1:21" ht="24.9" customHeight="1">
      <c r="A27" s="1"/>
      <c r="B27" s="5"/>
      <c r="C27" s="1627" t="s">
        <v>19</v>
      </c>
      <c r="D27" s="1628"/>
      <c r="E27" s="1628"/>
      <c r="F27" s="1628"/>
      <c r="G27" s="1628"/>
      <c r="H27" s="1628"/>
      <c r="I27" s="1628"/>
      <c r="L27" s="6"/>
      <c r="M27" s="6"/>
      <c r="N27" s="7"/>
      <c r="O27" s="12"/>
      <c r="P27" s="18"/>
      <c r="Q27" s="6"/>
      <c r="R27" s="6"/>
      <c r="S27" s="6"/>
      <c r="T27" s="6"/>
      <c r="U27" s="6"/>
    </row>
    <row r="28" spans="1:21" ht="24.9" customHeight="1">
      <c r="A28" s="1"/>
      <c r="B28" s="5"/>
      <c r="C28" s="1627" t="s">
        <v>20</v>
      </c>
      <c r="D28" s="1628"/>
      <c r="E28" s="1628"/>
      <c r="F28" s="1628"/>
      <c r="G28" s="1628"/>
      <c r="H28" s="1628"/>
      <c r="I28" s="1628"/>
      <c r="L28" s="6"/>
      <c r="M28" s="6"/>
      <c r="N28" s="7"/>
      <c r="O28" s="12"/>
      <c r="P28" s="18"/>
      <c r="Q28" s="9"/>
      <c r="R28" s="6"/>
      <c r="S28" s="6"/>
      <c r="T28" s="6"/>
      <c r="U28" s="6"/>
    </row>
    <row r="29" spans="1:21">
      <c r="L29" s="6"/>
      <c r="M29" s="6"/>
      <c r="N29" s="7"/>
      <c r="O29" s="12"/>
      <c r="P29" s="18"/>
      <c r="Q29" s="9"/>
      <c r="R29" s="6"/>
      <c r="S29" s="6"/>
      <c r="T29" s="6"/>
      <c r="U29" s="6"/>
    </row>
    <row r="30" spans="1:21">
      <c r="C30" s="32" t="s">
        <v>21</v>
      </c>
      <c r="L30" s="6"/>
      <c r="M30" s="6"/>
      <c r="N30" s="7"/>
      <c r="O30" s="26"/>
      <c r="P30" s="27"/>
      <c r="Q30" s="6"/>
      <c r="R30" s="6"/>
      <c r="S30" s="6"/>
      <c r="T30" s="6"/>
      <c r="U30" s="6"/>
    </row>
    <row r="31" spans="1:21" ht="31.2">
      <c r="C31" s="16" t="s">
        <v>22</v>
      </c>
      <c r="D31" s="33" t="s">
        <v>23</v>
      </c>
      <c r="E31" s="33" t="s">
        <v>24</v>
      </c>
      <c r="F31" s="34"/>
      <c r="G31" s="34"/>
      <c r="L31" s="6"/>
      <c r="M31" s="6"/>
      <c r="N31" s="28"/>
      <c r="O31" s="6"/>
      <c r="P31" s="6"/>
      <c r="Q31" s="6"/>
      <c r="R31" s="6"/>
      <c r="S31" s="6"/>
      <c r="T31" s="6"/>
      <c r="U31" s="6"/>
    </row>
    <row r="32" spans="1:21">
      <c r="C32" s="35">
        <v>0</v>
      </c>
      <c r="D32" s="17">
        <v>0</v>
      </c>
      <c r="E32" s="17">
        <v>0</v>
      </c>
      <c r="F32" s="34"/>
      <c r="G32" s="34"/>
      <c r="L32" s="6"/>
      <c r="M32" s="6"/>
      <c r="N32" s="36"/>
      <c r="O32" s="6"/>
      <c r="P32" s="6"/>
      <c r="Q32" s="6"/>
      <c r="R32" s="6"/>
      <c r="S32" s="6"/>
      <c r="T32" s="6"/>
      <c r="U32" s="6"/>
    </row>
    <row r="33" spans="1:21">
      <c r="C33" s="35">
        <v>0.2</v>
      </c>
      <c r="D33" s="17">
        <v>0.02</v>
      </c>
      <c r="E33" s="17">
        <v>0.01</v>
      </c>
      <c r="F33" s="34"/>
      <c r="G33" s="34"/>
      <c r="L33" s="6"/>
      <c r="M33" s="6"/>
      <c r="N33" s="8"/>
      <c r="O33" s="6"/>
      <c r="P33" s="6"/>
      <c r="Q33" s="6"/>
      <c r="R33" s="6"/>
      <c r="S33" s="6"/>
      <c r="T33" s="6"/>
      <c r="U33" s="6"/>
    </row>
    <row r="34" spans="1:21">
      <c r="C34" s="35">
        <v>0.4</v>
      </c>
      <c r="D34" s="17">
        <v>0.04</v>
      </c>
      <c r="E34" s="17">
        <v>0.02</v>
      </c>
      <c r="F34" s="34"/>
      <c r="G34" s="34"/>
      <c r="L34" s="6"/>
      <c r="M34" s="8"/>
      <c r="N34" s="7"/>
      <c r="O34" s="9"/>
      <c r="P34" s="8"/>
      <c r="Q34" s="6"/>
      <c r="R34" s="6"/>
      <c r="S34" s="6"/>
      <c r="T34" s="6"/>
      <c r="U34" s="6"/>
    </row>
    <row r="35" spans="1:21">
      <c r="C35" s="35">
        <v>0.5</v>
      </c>
      <c r="D35" s="17">
        <v>0.05</v>
      </c>
      <c r="E35" s="17">
        <v>0.03</v>
      </c>
      <c r="F35" s="34"/>
      <c r="G35" s="34"/>
      <c r="L35" s="6"/>
      <c r="M35" s="37"/>
      <c r="N35" s="7"/>
      <c r="O35" s="9"/>
      <c r="P35" s="8"/>
      <c r="Q35" s="6"/>
      <c r="R35" s="6"/>
      <c r="S35" s="6"/>
      <c r="T35" s="6"/>
      <c r="U35" s="6"/>
    </row>
    <row r="36" spans="1:21">
      <c r="C36" s="38">
        <v>0.6</v>
      </c>
      <c r="D36" s="17">
        <v>7.0000000000000007E-2</v>
      </c>
      <c r="E36" s="17">
        <v>0.04</v>
      </c>
      <c r="F36" s="34"/>
      <c r="G36" s="34"/>
      <c r="L36" s="6"/>
      <c r="M36" s="37"/>
      <c r="N36" s="7"/>
      <c r="O36" s="9"/>
      <c r="P36" s="8"/>
      <c r="Q36" s="6"/>
      <c r="R36" s="6"/>
      <c r="S36" s="6"/>
      <c r="T36" s="6"/>
      <c r="U36" s="6"/>
    </row>
    <row r="37" spans="1:21">
      <c r="C37" s="35">
        <v>0.7</v>
      </c>
      <c r="D37" s="17">
        <v>0.11</v>
      </c>
      <c r="E37" s="17">
        <v>0.06</v>
      </c>
      <c r="F37" s="19"/>
      <c r="G37" s="19"/>
      <c r="L37" s="6"/>
      <c r="M37" s="37"/>
      <c r="N37" s="7"/>
      <c r="O37" s="9"/>
      <c r="P37" s="8"/>
      <c r="Q37" s="6"/>
      <c r="R37" s="6"/>
      <c r="S37" s="6"/>
      <c r="T37" s="6"/>
      <c r="U37" s="6"/>
    </row>
    <row r="38" spans="1:21">
      <c r="C38" s="35">
        <v>0.8</v>
      </c>
      <c r="D38" s="17">
        <v>0.15</v>
      </c>
      <c r="E38" s="17">
        <v>0.08</v>
      </c>
      <c r="F38" s="19"/>
      <c r="G38" s="19"/>
      <c r="L38" s="6"/>
      <c r="M38" s="6"/>
      <c r="N38" s="7"/>
      <c r="O38" s="8"/>
      <c r="P38" s="8"/>
      <c r="Q38" s="6"/>
      <c r="R38" s="6"/>
      <c r="S38" s="6"/>
      <c r="T38" s="6"/>
      <c r="U38" s="6"/>
    </row>
    <row r="39" spans="1:21">
      <c r="C39" s="35">
        <v>1</v>
      </c>
      <c r="D39" s="17">
        <v>0.23</v>
      </c>
      <c r="E39" s="17">
        <v>0.12</v>
      </c>
      <c r="F39" s="19"/>
      <c r="G39" s="19"/>
      <c r="L39" s="6"/>
      <c r="M39" s="6"/>
      <c r="N39" s="28"/>
      <c r="O39" s="36"/>
      <c r="P39" s="8"/>
      <c r="Q39" s="6"/>
      <c r="R39" s="6"/>
      <c r="S39" s="6"/>
      <c r="T39" s="6"/>
      <c r="U39" s="6"/>
    </row>
    <row r="40" spans="1:21">
      <c r="L40" s="6"/>
      <c r="M40" s="6"/>
      <c r="N40" s="36"/>
      <c r="O40" s="36"/>
      <c r="P40" s="8"/>
      <c r="Q40" s="6"/>
      <c r="R40" s="6"/>
      <c r="S40" s="6"/>
      <c r="T40" s="6"/>
      <c r="U40" s="6"/>
    </row>
    <row r="41" spans="1:21" ht="24.9" customHeight="1">
      <c r="A41" s="1"/>
      <c r="B41" s="5"/>
      <c r="C41" s="1627" t="s">
        <v>25</v>
      </c>
      <c r="D41" s="1628"/>
      <c r="E41" s="1628"/>
      <c r="F41" s="1628"/>
      <c r="G41" s="1628"/>
      <c r="H41" s="1628"/>
      <c r="I41" s="1628"/>
      <c r="L41" s="6"/>
      <c r="M41" s="8"/>
      <c r="N41" s="7"/>
      <c r="O41" s="9"/>
      <c r="P41" s="8"/>
      <c r="Q41" s="6"/>
      <c r="R41" s="6"/>
      <c r="S41" s="6"/>
      <c r="T41" s="6"/>
      <c r="U41" s="6"/>
    </row>
    <row r="42" spans="1:21">
      <c r="L42" s="6"/>
      <c r="M42" s="6"/>
      <c r="N42" s="7"/>
      <c r="O42" s="9"/>
      <c r="P42" s="39"/>
      <c r="Q42" s="8"/>
      <c r="R42" s="8"/>
      <c r="S42" s="6"/>
      <c r="T42" s="6"/>
      <c r="U42" s="6"/>
    </row>
    <row r="43" spans="1:21">
      <c r="B43" s="2" t="s">
        <v>26</v>
      </c>
      <c r="C43" s="5" t="s">
        <v>27</v>
      </c>
      <c r="D43" s="2" t="s">
        <v>28</v>
      </c>
      <c r="L43" s="6"/>
      <c r="M43" s="6"/>
      <c r="N43" s="7"/>
      <c r="O43" s="40"/>
      <c r="P43" s="39"/>
      <c r="Q43" s="41"/>
      <c r="R43" s="8"/>
      <c r="S43" s="6"/>
      <c r="T43" s="6"/>
      <c r="U43" s="6"/>
    </row>
    <row r="44" spans="1:21">
      <c r="C44" s="5"/>
      <c r="D44" s="42"/>
      <c r="L44" s="6"/>
      <c r="M44" s="6"/>
      <c r="N44" s="7"/>
      <c r="O44" s="40"/>
      <c r="P44" s="39"/>
      <c r="Q44" s="43"/>
      <c r="R44" s="8"/>
      <c r="S44" s="6"/>
      <c r="T44" s="6"/>
      <c r="U44" s="6"/>
    </row>
    <row r="45" spans="1:21">
      <c r="L45" s="6"/>
      <c r="M45" s="6"/>
      <c r="N45" s="7"/>
      <c r="O45" s="40"/>
      <c r="P45" s="39"/>
      <c r="Q45" s="43"/>
      <c r="R45" s="8"/>
      <c r="S45" s="6"/>
      <c r="T45" s="6"/>
      <c r="U45" s="6"/>
    </row>
    <row r="46" spans="1:21">
      <c r="D46" s="1629" t="s">
        <v>29</v>
      </c>
      <c r="E46" s="1630"/>
      <c r="F46" s="1630"/>
      <c r="G46" s="1630"/>
      <c r="H46" s="1630"/>
      <c r="I46" s="1630"/>
      <c r="J46" s="1631"/>
      <c r="K46" s="44"/>
      <c r="L46" s="6"/>
      <c r="M46" s="6"/>
      <c r="N46" s="26"/>
      <c r="O46" s="40"/>
      <c r="P46" s="39"/>
      <c r="Q46" s="43"/>
      <c r="R46" s="8"/>
      <c r="S46" s="6"/>
      <c r="T46" s="6"/>
      <c r="U46" s="6"/>
    </row>
    <row r="47" spans="1:21">
      <c r="D47" s="1632"/>
      <c r="E47" s="1633"/>
      <c r="F47" s="1633"/>
      <c r="G47" s="1633"/>
      <c r="H47" s="1633"/>
      <c r="I47" s="1633"/>
      <c r="J47" s="1634"/>
      <c r="K47" s="44"/>
      <c r="L47" s="6"/>
      <c r="M47" s="6"/>
      <c r="N47" s="7"/>
      <c r="O47" s="9"/>
      <c r="P47" s="39"/>
      <c r="Q47" s="45"/>
      <c r="R47" s="8"/>
      <c r="S47" s="6"/>
      <c r="T47" s="6"/>
      <c r="U47" s="6"/>
    </row>
    <row r="48" spans="1:21">
      <c r="L48" s="6"/>
      <c r="M48" s="6"/>
      <c r="N48" s="7"/>
      <c r="O48" s="40"/>
      <c r="P48" s="39"/>
      <c r="Q48" s="46"/>
      <c r="R48" s="47"/>
      <c r="S48" s="6"/>
      <c r="T48" s="6"/>
      <c r="U48" s="6"/>
    </row>
    <row r="49" spans="2:21">
      <c r="C49" s="2" t="s">
        <v>30</v>
      </c>
      <c r="L49" s="6"/>
      <c r="M49" s="6"/>
      <c r="N49" s="8"/>
      <c r="O49" s="40"/>
      <c r="P49" s="39"/>
      <c r="Q49" s="46"/>
      <c r="R49" s="31"/>
      <c r="S49" s="6"/>
      <c r="T49" s="6"/>
      <c r="U49" s="6"/>
    </row>
    <row r="50" spans="2:21">
      <c r="C50" s="2" t="s">
        <v>31</v>
      </c>
      <c r="L50" s="6"/>
      <c r="M50" s="6"/>
      <c r="N50" s="7"/>
      <c r="O50" s="40"/>
      <c r="P50" s="6"/>
      <c r="Q50" s="45"/>
      <c r="R50" s="6"/>
      <c r="S50" s="6"/>
      <c r="T50" s="6"/>
      <c r="U50" s="6"/>
    </row>
    <row r="51" spans="2:21">
      <c r="C51" s="2" t="s">
        <v>32</v>
      </c>
      <c r="L51" s="6"/>
      <c r="M51" s="6"/>
      <c r="N51" s="7"/>
      <c r="O51" s="40"/>
      <c r="P51" s="48"/>
      <c r="Q51" s="49"/>
      <c r="R51" s="50"/>
      <c r="S51" s="6"/>
      <c r="T51" s="6"/>
      <c r="U51" s="6"/>
    </row>
    <row r="52" spans="2:21">
      <c r="L52" s="6"/>
      <c r="M52" s="6"/>
      <c r="N52" s="7"/>
      <c r="O52" s="40"/>
      <c r="P52" s="48"/>
      <c r="Q52" s="51"/>
      <c r="R52" s="8"/>
      <c r="S52" s="6"/>
      <c r="T52" s="6"/>
      <c r="U52" s="6"/>
    </row>
    <row r="53" spans="2:21" ht="31.2">
      <c r="D53" s="14" t="s">
        <v>7</v>
      </c>
      <c r="E53" s="15" t="s">
        <v>33</v>
      </c>
      <c r="L53" s="6"/>
      <c r="M53" s="6"/>
      <c r="N53" s="7"/>
      <c r="O53" s="9"/>
      <c r="P53" s="39"/>
      <c r="Q53" s="8"/>
      <c r="R53" s="52"/>
      <c r="S53" s="6"/>
      <c r="T53" s="6"/>
      <c r="U53" s="6"/>
    </row>
    <row r="54" spans="2:21">
      <c r="D54" s="16" t="s">
        <v>9</v>
      </c>
      <c r="E54" s="29">
        <v>0.8</v>
      </c>
      <c r="L54" s="6"/>
      <c r="M54" s="6"/>
      <c r="N54" s="7"/>
      <c r="O54" s="53"/>
      <c r="P54" s="54"/>
      <c r="Q54" s="8"/>
      <c r="R54" s="8"/>
      <c r="S54" s="6"/>
      <c r="T54" s="6"/>
      <c r="U54" s="6"/>
    </row>
    <row r="55" spans="2:21">
      <c r="D55" s="16" t="s">
        <v>10</v>
      </c>
      <c r="E55" s="29">
        <v>2.5000000000000001E-2</v>
      </c>
      <c r="L55" s="6"/>
      <c r="M55" s="6"/>
      <c r="N55" s="28"/>
      <c r="O55" s="8"/>
      <c r="P55" s="8"/>
      <c r="Q55" s="8"/>
      <c r="R55" s="8"/>
      <c r="S55" s="6"/>
      <c r="T55" s="6"/>
      <c r="U55" s="6"/>
    </row>
    <row r="56" spans="2:21">
      <c r="D56" s="16" t="s">
        <v>11</v>
      </c>
      <c r="E56" s="29">
        <v>2.5000000000000001E-2</v>
      </c>
      <c r="L56" s="6"/>
      <c r="M56" s="6"/>
      <c r="N56" s="8"/>
      <c r="O56" s="6"/>
      <c r="P56" s="6"/>
      <c r="Q56" s="6"/>
      <c r="R56" s="6"/>
      <c r="S56" s="6"/>
      <c r="T56" s="6"/>
      <c r="U56" s="6"/>
    </row>
    <row r="57" spans="2:21">
      <c r="D57" s="16" t="s">
        <v>12</v>
      </c>
      <c r="E57" s="29">
        <v>0.15</v>
      </c>
      <c r="L57" s="6"/>
      <c r="M57" s="6"/>
      <c r="N57" s="8"/>
      <c r="O57" s="6"/>
      <c r="P57" s="6"/>
      <c r="Q57" s="6"/>
      <c r="R57" s="6"/>
      <c r="S57" s="6"/>
      <c r="T57" s="6"/>
      <c r="U57" s="6"/>
    </row>
    <row r="58" spans="2:21">
      <c r="L58" s="6"/>
      <c r="M58" s="6"/>
      <c r="N58" s="8"/>
      <c r="O58" s="6"/>
      <c r="P58" s="6"/>
      <c r="Q58" s="6"/>
      <c r="R58" s="6"/>
      <c r="S58" s="6"/>
      <c r="T58" s="6"/>
      <c r="U58" s="6"/>
    </row>
    <row r="59" spans="2:21">
      <c r="L59" s="6"/>
      <c r="M59" s="6"/>
      <c r="N59" s="8"/>
      <c r="O59" s="6"/>
      <c r="P59" s="6"/>
      <c r="Q59" s="6"/>
      <c r="R59" s="6"/>
      <c r="S59" s="6"/>
      <c r="T59" s="6"/>
      <c r="U59" s="6"/>
    </row>
    <row r="60" spans="2:21">
      <c r="B60" s="2" t="s">
        <v>34</v>
      </c>
      <c r="C60" s="5" t="s">
        <v>27</v>
      </c>
      <c r="D60" s="2" t="s">
        <v>35</v>
      </c>
    </row>
    <row r="61" spans="2:21">
      <c r="D61" s="2" t="s">
        <v>36</v>
      </c>
      <c r="O61"/>
      <c r="P61"/>
      <c r="Q61"/>
      <c r="R61"/>
    </row>
    <row r="63" spans="2:21">
      <c r="D63" s="55"/>
      <c r="E63" s="56"/>
      <c r="F63" s="56"/>
      <c r="G63" s="56"/>
      <c r="H63" s="56"/>
      <c r="I63" s="56"/>
      <c r="J63" s="57"/>
    </row>
    <row r="64" spans="2:21">
      <c r="D64" s="58" t="s">
        <v>37</v>
      </c>
      <c r="E64" s="59"/>
      <c r="F64" s="59"/>
      <c r="G64" s="59"/>
      <c r="H64" s="59"/>
      <c r="I64" s="59"/>
      <c r="J64" s="60"/>
    </row>
    <row r="65" spans="2:11" ht="15.6" customHeight="1"/>
    <row r="67" spans="2:11">
      <c r="B67" s="2" t="s">
        <v>38</v>
      </c>
      <c r="C67" s="5" t="s">
        <v>27</v>
      </c>
      <c r="D67" s="2" t="s">
        <v>39</v>
      </c>
    </row>
    <row r="68" spans="2:11">
      <c r="D68" s="2" t="s">
        <v>40</v>
      </c>
    </row>
    <row r="70" spans="2:11">
      <c r="D70" s="1629" t="s">
        <v>29</v>
      </c>
      <c r="E70" s="1630"/>
      <c r="F70" s="1630"/>
      <c r="G70" s="1630"/>
      <c r="H70" s="1630"/>
      <c r="I70" s="1630"/>
      <c r="J70" s="1631"/>
      <c r="K70" s="44"/>
    </row>
    <row r="71" spans="2:11">
      <c r="D71" s="1632"/>
      <c r="E71" s="1633"/>
      <c r="F71" s="1633"/>
      <c r="G71" s="1633"/>
      <c r="H71" s="1633"/>
      <c r="I71" s="1633"/>
      <c r="J71" s="1634"/>
      <c r="K71" s="44"/>
    </row>
  </sheetData>
  <mergeCells count="9">
    <mergeCell ref="C41:I41"/>
    <mergeCell ref="D46:J47"/>
    <mergeCell ref="D70:J71"/>
    <mergeCell ref="C18:I18"/>
    <mergeCell ref="C19:I19"/>
    <mergeCell ref="C20:I20"/>
    <mergeCell ref="C21:I21"/>
    <mergeCell ref="C27:I27"/>
    <mergeCell ref="C28:I28"/>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A659D-B56D-43AD-B849-D0F10327F9CD}">
  <dimension ref="A1:K80"/>
  <sheetViews>
    <sheetView workbookViewId="0">
      <selection activeCell="Q1" sqref="Q1"/>
    </sheetView>
  </sheetViews>
  <sheetFormatPr defaultColWidth="8.88671875" defaultRowHeight="15.6"/>
  <cols>
    <col min="1" max="1" width="3.5546875" style="2" customWidth="1"/>
    <col min="2" max="2" width="11.109375" style="2" customWidth="1"/>
    <col min="3" max="3" width="16" style="2" customWidth="1"/>
    <col min="4" max="4" width="16.5546875" style="2" customWidth="1"/>
    <col min="5" max="7" width="12.88671875" style="2" customWidth="1"/>
    <col min="8" max="8" width="15.44140625" style="2" customWidth="1"/>
    <col min="9" max="9" width="8.88671875" style="2"/>
    <col min="10" max="10" width="2.5546875" style="2" customWidth="1"/>
    <col min="11" max="16384" width="8.88671875" style="3"/>
  </cols>
  <sheetData>
    <row r="1" spans="1:11">
      <c r="A1" s="1" t="s">
        <v>152</v>
      </c>
      <c r="B1" s="1"/>
      <c r="K1" s="3" t="s">
        <v>152</v>
      </c>
    </row>
    <row r="2" spans="1:11">
      <c r="A2" s="1" t="s">
        <v>880</v>
      </c>
      <c r="B2" s="1"/>
      <c r="K2" s="3" t="s">
        <v>880</v>
      </c>
    </row>
    <row r="3" spans="1:11" ht="18.600000000000001" customHeight="1">
      <c r="A3" s="1"/>
    </row>
    <row r="4" spans="1:11" ht="18.600000000000001" customHeight="1">
      <c r="A4" s="1"/>
      <c r="K4" s="3" t="s">
        <v>2</v>
      </c>
    </row>
    <row r="5" spans="1:11">
      <c r="A5" s="1"/>
      <c r="B5" s="5" t="s">
        <v>402</v>
      </c>
      <c r="C5" s="2" t="s">
        <v>323</v>
      </c>
    </row>
    <row r="7" spans="1:11">
      <c r="C7" s="32" t="s">
        <v>872</v>
      </c>
    </row>
    <row r="8" spans="1:11" ht="15.6" customHeight="1">
      <c r="C8" s="2067" t="s">
        <v>268</v>
      </c>
      <c r="D8" s="2068"/>
      <c r="E8" s="1729" t="s">
        <v>1511</v>
      </c>
      <c r="F8" s="2073"/>
      <c r="G8" s="1730"/>
    </row>
    <row r="9" spans="1:11" ht="15.6" customHeight="1">
      <c r="C9" s="2069"/>
      <c r="D9" s="2070"/>
      <c r="E9" s="2074"/>
      <c r="F9" s="1747"/>
      <c r="G9" s="2075"/>
    </row>
    <row r="10" spans="1:11" ht="15.6" customHeight="1">
      <c r="C10" s="2069"/>
      <c r="D10" s="2070"/>
      <c r="E10" s="2074"/>
      <c r="F10" s="1747"/>
      <c r="G10" s="2075"/>
    </row>
    <row r="11" spans="1:11" ht="15.6" customHeight="1">
      <c r="C11" s="2069"/>
      <c r="D11" s="2070"/>
      <c r="E11" s="2074"/>
      <c r="F11" s="1747"/>
      <c r="G11" s="2075"/>
    </row>
    <row r="12" spans="1:11" ht="15.6" customHeight="1">
      <c r="C12" s="2069"/>
      <c r="D12" s="2070"/>
      <c r="E12" s="2074"/>
      <c r="F12" s="1747"/>
      <c r="G12" s="2075"/>
    </row>
    <row r="13" spans="1:11" ht="15.6" customHeight="1">
      <c r="C13" s="2069"/>
      <c r="D13" s="2070"/>
      <c r="E13" s="2074"/>
      <c r="F13" s="1747"/>
      <c r="G13" s="2075"/>
    </row>
    <row r="14" spans="1:11" ht="15.6" customHeight="1">
      <c r="C14" s="2069"/>
      <c r="D14" s="2070"/>
      <c r="E14" s="2074"/>
      <c r="F14" s="1747"/>
      <c r="G14" s="2075"/>
    </row>
    <row r="15" spans="1:11" ht="15.6" customHeight="1">
      <c r="C15" s="2069"/>
      <c r="D15" s="2070"/>
      <c r="E15" s="2074"/>
      <c r="F15" s="1747"/>
      <c r="G15" s="2075"/>
    </row>
    <row r="16" spans="1:11" ht="15.6" customHeight="1">
      <c r="C16" s="2069"/>
      <c r="D16" s="2070"/>
      <c r="E16" s="2074"/>
      <c r="F16" s="1747"/>
      <c r="G16" s="2075"/>
    </row>
    <row r="17" spans="3:7" ht="15.6" customHeight="1">
      <c r="C17" s="2069"/>
      <c r="D17" s="2070"/>
      <c r="E17" s="2074"/>
      <c r="F17" s="1747"/>
      <c r="G17" s="2075"/>
    </row>
    <row r="18" spans="3:7" ht="15.6" customHeight="1">
      <c r="C18" s="2069"/>
      <c r="D18" s="2070"/>
      <c r="E18" s="2074"/>
      <c r="F18" s="1747"/>
      <c r="G18" s="2075"/>
    </row>
    <row r="19" spans="3:7" ht="15.6" customHeight="1">
      <c r="C19" s="2069"/>
      <c r="D19" s="2070"/>
      <c r="E19" s="2074"/>
      <c r="F19" s="1747"/>
      <c r="G19" s="2075"/>
    </row>
    <row r="20" spans="3:7" ht="15.6" customHeight="1">
      <c r="C20" s="2071"/>
      <c r="D20" s="2072"/>
      <c r="E20" s="1731"/>
      <c r="F20" s="2076"/>
      <c r="G20" s="1732"/>
    </row>
    <row r="21" spans="3:7">
      <c r="C21" s="2077" t="s">
        <v>264</v>
      </c>
      <c r="D21" s="2077"/>
      <c r="E21" s="2077" t="s">
        <v>127</v>
      </c>
      <c r="F21" s="2077"/>
      <c r="G21" s="2077"/>
    </row>
    <row r="22" spans="3:7">
      <c r="C22" s="1721" t="s">
        <v>1510</v>
      </c>
      <c r="D22" s="1722"/>
      <c r="E22" s="1729" t="s">
        <v>1509</v>
      </c>
      <c r="F22" s="2073"/>
      <c r="G22" s="1730"/>
    </row>
    <row r="23" spans="3:7">
      <c r="C23" s="1743"/>
      <c r="D23" s="1744"/>
      <c r="E23" s="1731"/>
      <c r="F23" s="2076"/>
      <c r="G23" s="1732"/>
    </row>
    <row r="24" spans="3:7">
      <c r="C24" s="2062" t="s">
        <v>1508</v>
      </c>
      <c r="D24" s="2062"/>
      <c r="E24" s="2065" t="s">
        <v>1507</v>
      </c>
      <c r="F24" s="2065"/>
      <c r="G24" s="2065"/>
    </row>
    <row r="26" spans="3:7">
      <c r="C26" s="2" t="s">
        <v>1506</v>
      </c>
    </row>
    <row r="28" spans="3:7" ht="62.4">
      <c r="C28" s="213" t="s">
        <v>563</v>
      </c>
      <c r="D28" s="33" t="s">
        <v>1505</v>
      </c>
      <c r="E28" s="33" t="s">
        <v>1504</v>
      </c>
      <c r="F28" s="33" t="s">
        <v>1503</v>
      </c>
      <c r="G28" s="33" t="s">
        <v>1502</v>
      </c>
    </row>
    <row r="29" spans="3:7">
      <c r="C29" s="208">
        <v>1</v>
      </c>
      <c r="D29" s="146">
        <v>28</v>
      </c>
      <c r="E29" s="146">
        <v>1</v>
      </c>
      <c r="F29" s="146">
        <v>1</v>
      </c>
      <c r="G29" s="1082">
        <v>70000</v>
      </c>
    </row>
    <row r="30" spans="3:7">
      <c r="C30" s="208">
        <v>2</v>
      </c>
      <c r="D30" s="146">
        <v>58</v>
      </c>
      <c r="E30" s="146">
        <v>1</v>
      </c>
      <c r="F30" s="146">
        <v>35</v>
      </c>
      <c r="G30" s="1082">
        <v>280000</v>
      </c>
    </row>
    <row r="31" spans="3:7">
      <c r="C31" s="208">
        <v>3</v>
      </c>
      <c r="D31" s="146">
        <v>41</v>
      </c>
      <c r="E31" s="146">
        <v>1</v>
      </c>
      <c r="F31" s="146">
        <v>10</v>
      </c>
      <c r="G31" s="1082">
        <v>130000</v>
      </c>
    </row>
    <row r="32" spans="3:7">
      <c r="C32" s="208">
        <v>4</v>
      </c>
      <c r="D32" s="146">
        <v>59</v>
      </c>
      <c r="E32" s="146">
        <v>1</v>
      </c>
      <c r="F32" s="146">
        <v>9</v>
      </c>
      <c r="G32" s="1082">
        <v>75000</v>
      </c>
    </row>
    <row r="33" spans="3:8">
      <c r="C33" s="208">
        <v>5</v>
      </c>
      <c r="D33" s="146">
        <v>65</v>
      </c>
      <c r="E33" s="146">
        <v>1</v>
      </c>
      <c r="F33" s="146">
        <v>23</v>
      </c>
      <c r="G33" s="1082">
        <v>92000</v>
      </c>
    </row>
    <row r="34" spans="3:8">
      <c r="C34" s="208">
        <v>6</v>
      </c>
      <c r="D34" s="146">
        <v>36</v>
      </c>
      <c r="E34" s="146">
        <v>1</v>
      </c>
      <c r="F34" s="146">
        <v>4</v>
      </c>
      <c r="G34" s="1082">
        <v>115000</v>
      </c>
    </row>
    <row r="36" spans="3:8">
      <c r="C36" s="2" t="s">
        <v>1501</v>
      </c>
    </row>
    <row r="38" spans="3:8">
      <c r="C38" s="2061" t="s">
        <v>563</v>
      </c>
      <c r="D38" s="2066" t="s">
        <v>1500</v>
      </c>
      <c r="E38" s="2062" t="s">
        <v>1499</v>
      </c>
      <c r="F38" s="2062"/>
      <c r="G38" s="2062"/>
      <c r="H38" s="2062"/>
    </row>
    <row r="39" spans="3:8">
      <c r="C39" s="2061"/>
      <c r="D39" s="2066"/>
      <c r="E39" s="2062"/>
      <c r="F39" s="2062"/>
      <c r="G39" s="2062"/>
      <c r="H39" s="2062"/>
    </row>
    <row r="40" spans="3:8">
      <c r="C40" s="2061"/>
      <c r="D40" s="2066"/>
      <c r="E40" s="2062"/>
      <c r="F40" s="2062"/>
      <c r="G40" s="2062"/>
      <c r="H40" s="2062"/>
    </row>
    <row r="41" spans="3:8">
      <c r="C41" s="2062">
        <v>1</v>
      </c>
      <c r="D41" s="2064">
        <v>35000</v>
      </c>
      <c r="E41" s="2061" t="s">
        <v>1498</v>
      </c>
      <c r="F41" s="2061"/>
      <c r="G41" s="2061"/>
      <c r="H41" s="2061"/>
    </row>
    <row r="42" spans="3:8">
      <c r="C42" s="2062"/>
      <c r="D42" s="2064"/>
      <c r="E42" s="2061"/>
      <c r="F42" s="2061"/>
      <c r="G42" s="2061"/>
      <c r="H42" s="2061"/>
    </row>
    <row r="43" spans="3:8">
      <c r="C43" s="1083">
        <v>2</v>
      </c>
      <c r="D43" s="1084">
        <v>288500</v>
      </c>
      <c r="E43" s="2062" t="s">
        <v>1495</v>
      </c>
      <c r="F43" s="2062"/>
      <c r="G43" s="2062"/>
      <c r="H43" s="2062"/>
    </row>
    <row r="44" spans="3:8">
      <c r="C44" s="1083">
        <v>3</v>
      </c>
      <c r="D44" s="1084">
        <v>66000</v>
      </c>
      <c r="E44" s="2062" t="s">
        <v>1497</v>
      </c>
      <c r="F44" s="2062"/>
      <c r="G44" s="2062"/>
      <c r="H44" s="2062"/>
    </row>
    <row r="45" spans="3:8">
      <c r="C45" s="1083">
        <v>4</v>
      </c>
      <c r="D45" s="1084">
        <v>68750</v>
      </c>
      <c r="E45" s="2062" t="s">
        <v>1496</v>
      </c>
      <c r="F45" s="2062"/>
      <c r="G45" s="2062"/>
      <c r="H45" s="2062"/>
    </row>
    <row r="46" spans="3:8">
      <c r="C46" s="1083">
        <v>5</v>
      </c>
      <c r="D46" s="1084">
        <v>93000</v>
      </c>
      <c r="E46" s="2062" t="s">
        <v>1495</v>
      </c>
      <c r="F46" s="2062"/>
      <c r="G46" s="2062"/>
      <c r="H46" s="2062"/>
    </row>
    <row r="47" spans="3:8">
      <c r="C47" s="2062">
        <v>6</v>
      </c>
      <c r="D47" s="2064">
        <v>87000</v>
      </c>
      <c r="E47" s="2061" t="s">
        <v>1494</v>
      </c>
      <c r="F47" s="2062"/>
      <c r="G47" s="2062"/>
      <c r="H47" s="2062"/>
    </row>
    <row r="48" spans="3:8">
      <c r="C48" s="2062"/>
      <c r="D48" s="2064"/>
      <c r="E48" s="2062"/>
      <c r="F48" s="2062"/>
      <c r="G48" s="2062"/>
      <c r="H48" s="2062"/>
    </row>
    <row r="49" spans="3:8">
      <c r="C49" s="2062"/>
      <c r="D49" s="2064"/>
      <c r="E49" s="2062"/>
      <c r="F49" s="2062"/>
      <c r="G49" s="2062"/>
      <c r="H49" s="2062"/>
    </row>
    <row r="50" spans="3:8">
      <c r="C50" s="2062"/>
      <c r="D50" s="2064"/>
      <c r="E50" s="2062"/>
      <c r="F50" s="2062"/>
      <c r="G50" s="2062"/>
      <c r="H50" s="2062"/>
    </row>
    <row r="51" spans="3:8">
      <c r="C51" s="2062"/>
      <c r="D51" s="2064"/>
      <c r="E51" s="2062"/>
      <c r="F51" s="2062"/>
      <c r="G51" s="2062"/>
      <c r="H51" s="2062"/>
    </row>
    <row r="52" spans="3:8">
      <c r="C52" s="2062"/>
      <c r="D52" s="2064"/>
      <c r="E52" s="2062"/>
      <c r="F52" s="2062"/>
      <c r="G52" s="2062"/>
      <c r="H52" s="2062"/>
    </row>
    <row r="53" spans="3:8">
      <c r="C53" s="2062"/>
      <c r="D53" s="2064"/>
      <c r="E53" s="2062"/>
      <c r="F53" s="2062"/>
      <c r="G53" s="2062"/>
      <c r="H53" s="2062"/>
    </row>
    <row r="54" spans="3:8">
      <c r="C54" s="2062"/>
      <c r="D54" s="2064"/>
      <c r="E54" s="2062"/>
      <c r="F54" s="2062"/>
      <c r="G54" s="2062"/>
      <c r="H54" s="2062"/>
    </row>
    <row r="55" spans="3:8">
      <c r="C55" s="2062"/>
      <c r="D55" s="2064"/>
      <c r="E55" s="2062"/>
      <c r="F55" s="2062"/>
      <c r="G55" s="2062"/>
      <c r="H55" s="2062"/>
    </row>
    <row r="56" spans="3:8">
      <c r="C56" s="2062"/>
      <c r="D56" s="2064"/>
      <c r="E56" s="2062"/>
      <c r="F56" s="2062"/>
      <c r="G56" s="2062"/>
      <c r="H56" s="2062"/>
    </row>
    <row r="57" spans="3:8">
      <c r="C57" s="2062"/>
      <c r="D57" s="2064"/>
      <c r="E57" s="2062"/>
      <c r="F57" s="2062"/>
      <c r="G57" s="2062"/>
      <c r="H57" s="2062"/>
    </row>
    <row r="58" spans="3:8">
      <c r="C58" s="2062"/>
      <c r="D58" s="2064"/>
      <c r="E58" s="2062"/>
      <c r="F58" s="2062"/>
      <c r="G58" s="2062"/>
      <c r="H58" s="2062"/>
    </row>
    <row r="59" spans="3:8">
      <c r="C59" s="2062"/>
      <c r="D59" s="2064"/>
      <c r="E59" s="2062"/>
      <c r="F59" s="2062"/>
      <c r="G59" s="2062"/>
      <c r="H59" s="2062"/>
    </row>
    <row r="61" spans="3:8">
      <c r="C61" s="2" t="s">
        <v>1493</v>
      </c>
    </row>
    <row r="63" spans="3:8">
      <c r="C63" s="208" t="s">
        <v>322</v>
      </c>
      <c r="D63" s="146" t="s">
        <v>873</v>
      </c>
      <c r="E63" s="1686" t="s">
        <v>1492</v>
      </c>
      <c r="F63" s="1686"/>
      <c r="G63" s="1686"/>
      <c r="H63" s="1686"/>
    </row>
    <row r="64" spans="3:8">
      <c r="C64" s="208">
        <v>2021</v>
      </c>
      <c r="D64" s="1082">
        <v>61600</v>
      </c>
      <c r="E64" s="2063">
        <v>3245.56</v>
      </c>
      <c r="F64" s="2063"/>
      <c r="G64" s="2063"/>
      <c r="H64" s="2063"/>
    </row>
    <row r="65" spans="2:10">
      <c r="C65" s="208">
        <v>2022</v>
      </c>
      <c r="D65" s="1082">
        <v>64900</v>
      </c>
      <c r="E65" s="2063">
        <v>3420</v>
      </c>
      <c r="F65" s="2063"/>
      <c r="G65" s="2063"/>
      <c r="H65" s="2063"/>
    </row>
    <row r="67" spans="2:10">
      <c r="B67" s="2" t="s">
        <v>26</v>
      </c>
      <c r="C67" s="5" t="s">
        <v>1491</v>
      </c>
      <c r="D67" s="2" t="s">
        <v>1490</v>
      </c>
    </row>
    <row r="69" spans="2:10">
      <c r="D69" s="1629" t="s">
        <v>29</v>
      </c>
      <c r="E69" s="1630"/>
      <c r="F69" s="1630"/>
      <c r="G69" s="1630"/>
      <c r="H69" s="1630"/>
      <c r="I69" s="1630"/>
      <c r="J69" s="1631"/>
    </row>
    <row r="70" spans="2:10">
      <c r="D70" s="1632"/>
      <c r="E70" s="1633"/>
      <c r="F70" s="1633"/>
      <c r="G70" s="1633"/>
      <c r="H70" s="1633"/>
      <c r="I70" s="1633"/>
      <c r="J70" s="1634"/>
    </row>
    <row r="72" spans="2:10">
      <c r="B72" s="2" t="s">
        <v>34</v>
      </c>
      <c r="C72" s="5" t="s">
        <v>27</v>
      </c>
      <c r="D72" s="2" t="s">
        <v>1489</v>
      </c>
    </row>
    <row r="74" spans="2:10">
      <c r="D74" s="1629" t="s">
        <v>29</v>
      </c>
      <c r="E74" s="1630"/>
      <c r="F74" s="1630"/>
      <c r="G74" s="1630"/>
      <c r="H74" s="1630"/>
      <c r="I74" s="1630"/>
      <c r="J74" s="1631"/>
    </row>
    <row r="75" spans="2:10">
      <c r="D75" s="1632"/>
      <c r="E75" s="1633"/>
      <c r="F75" s="1633"/>
      <c r="G75" s="1633"/>
      <c r="H75" s="1633"/>
      <c r="I75" s="1633"/>
      <c r="J75" s="1634"/>
    </row>
    <row r="77" spans="2:10">
      <c r="B77" s="2" t="s">
        <v>38</v>
      </c>
      <c r="C77" s="5" t="s">
        <v>210</v>
      </c>
      <c r="D77" s="2" t="s">
        <v>1488</v>
      </c>
    </row>
    <row r="79" spans="2:10">
      <c r="D79" s="1629" t="s">
        <v>29</v>
      </c>
      <c r="E79" s="1630"/>
      <c r="F79" s="1630"/>
      <c r="G79" s="1630"/>
      <c r="H79" s="1630"/>
      <c r="I79" s="1630"/>
      <c r="J79" s="1631"/>
    </row>
    <row r="80" spans="2:10">
      <c r="D80" s="1632"/>
      <c r="E80" s="1633"/>
      <c r="F80" s="1633"/>
      <c r="G80" s="1633"/>
      <c r="H80" s="1633"/>
      <c r="I80" s="1633"/>
      <c r="J80" s="1634"/>
    </row>
  </sheetData>
  <mergeCells count="27">
    <mergeCell ref="C8:D20"/>
    <mergeCell ref="E8:G20"/>
    <mergeCell ref="C21:D21"/>
    <mergeCell ref="E21:G21"/>
    <mergeCell ref="C22:D23"/>
    <mergeCell ref="E22:G23"/>
    <mergeCell ref="C47:C59"/>
    <mergeCell ref="D47:D59"/>
    <mergeCell ref="E47:H59"/>
    <mergeCell ref="C24:D24"/>
    <mergeCell ref="E24:G24"/>
    <mergeCell ref="C38:C40"/>
    <mergeCell ref="D38:D40"/>
    <mergeCell ref="E38:H40"/>
    <mergeCell ref="C41:C42"/>
    <mergeCell ref="D41:D42"/>
    <mergeCell ref="D74:J75"/>
    <mergeCell ref="E41:H42"/>
    <mergeCell ref="D79:J80"/>
    <mergeCell ref="E43:H43"/>
    <mergeCell ref="E44:H44"/>
    <mergeCell ref="E45:H45"/>
    <mergeCell ref="E46:H46"/>
    <mergeCell ref="E63:H63"/>
    <mergeCell ref="E64:H64"/>
    <mergeCell ref="E65:H65"/>
    <mergeCell ref="D69:J70"/>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8E40-15EC-475F-B307-B49DDAB8CDE6}">
  <dimension ref="A1:K93"/>
  <sheetViews>
    <sheetView workbookViewId="0">
      <selection activeCell="Q1" sqref="Q1"/>
    </sheetView>
  </sheetViews>
  <sheetFormatPr defaultColWidth="8.88671875" defaultRowHeight="15.6"/>
  <cols>
    <col min="1" max="1" width="2.5546875" style="2" customWidth="1"/>
    <col min="2" max="2" width="9.44140625" style="2" customWidth="1"/>
    <col min="3" max="3" width="16.5546875" style="2" customWidth="1"/>
    <col min="4" max="4" width="19.5546875" style="2" customWidth="1"/>
    <col min="5" max="5" width="29.109375" style="2" customWidth="1"/>
    <col min="6" max="6" width="22.5546875" style="2" customWidth="1"/>
    <col min="7" max="7" width="28.88671875" style="2" customWidth="1"/>
    <col min="8" max="8" width="11.5546875" style="2" customWidth="1"/>
    <col min="9" max="12" width="9" style="3" customWidth="1"/>
    <col min="13" max="16384" width="8.88671875" style="3"/>
  </cols>
  <sheetData>
    <row r="1" spans="1:9">
      <c r="A1" s="1" t="s">
        <v>152</v>
      </c>
      <c r="C1" s="1"/>
      <c r="I1" s="3" t="s">
        <v>152</v>
      </c>
    </row>
    <row r="2" spans="1:9">
      <c r="A2" s="1" t="s">
        <v>204</v>
      </c>
      <c r="C2" s="1"/>
      <c r="I2" s="3" t="s">
        <v>204</v>
      </c>
    </row>
    <row r="3" spans="1:9" ht="18.600000000000001" customHeight="1">
      <c r="A3" s="1"/>
    </row>
    <row r="4" spans="1:9" ht="18.600000000000001" customHeight="1">
      <c r="A4" s="1"/>
      <c r="I4" s="3" t="s">
        <v>2</v>
      </c>
    </row>
    <row r="5" spans="1:9">
      <c r="A5" s="1"/>
      <c r="B5" s="5" t="s">
        <v>202</v>
      </c>
      <c r="C5" s="2" t="s">
        <v>1551</v>
      </c>
    </row>
    <row r="7" spans="1:9">
      <c r="C7" s="2" t="s">
        <v>269</v>
      </c>
    </row>
    <row r="9" spans="1:9">
      <c r="C9" s="32" t="s">
        <v>191</v>
      </c>
    </row>
    <row r="10" spans="1:9">
      <c r="C10" s="1745" t="s">
        <v>268</v>
      </c>
      <c r="D10" s="1746"/>
      <c r="E10" s="150" t="s">
        <v>1550</v>
      </c>
      <c r="F10" s="149"/>
      <c r="G10" s="148"/>
    </row>
    <row r="11" spans="1:9">
      <c r="C11" s="83" t="s">
        <v>1549</v>
      </c>
      <c r="D11" s="82"/>
      <c r="E11" s="83" t="s">
        <v>498</v>
      </c>
      <c r="F11" s="1103"/>
      <c r="G11" s="82"/>
      <c r="H11" s="69"/>
    </row>
    <row r="12" spans="1:9">
      <c r="C12" s="1745" t="s">
        <v>264</v>
      </c>
      <c r="D12" s="1746"/>
      <c r="E12" s="150" t="s">
        <v>127</v>
      </c>
      <c r="F12" s="149"/>
      <c r="G12" s="148"/>
    </row>
    <row r="13" spans="1:9">
      <c r="C13" s="1745" t="s">
        <v>263</v>
      </c>
      <c r="D13" s="1746"/>
      <c r="E13" s="150" t="s">
        <v>135</v>
      </c>
      <c r="F13" s="149"/>
      <c r="G13" s="148"/>
    </row>
    <row r="14" spans="1:9">
      <c r="C14" s="1745" t="s">
        <v>262</v>
      </c>
      <c r="D14" s="1746"/>
      <c r="E14" s="150" t="s">
        <v>1548</v>
      </c>
      <c r="F14" s="149"/>
      <c r="G14" s="148"/>
    </row>
    <row r="15" spans="1:9">
      <c r="C15" s="1721" t="s">
        <v>260</v>
      </c>
      <c r="D15" s="1722"/>
      <c r="E15" s="1102" t="s">
        <v>1547</v>
      </c>
      <c r="F15" s="56"/>
      <c r="G15" s="57"/>
    </row>
    <row r="16" spans="1:9">
      <c r="C16" s="1723"/>
      <c r="D16" s="1724"/>
      <c r="E16" s="86" t="s">
        <v>1546</v>
      </c>
      <c r="G16" s="1100"/>
    </row>
    <row r="17" spans="3:8">
      <c r="C17" s="1723"/>
      <c r="D17" s="1724"/>
      <c r="E17" s="86"/>
      <c r="G17" s="1100"/>
    </row>
    <row r="18" spans="3:8">
      <c r="C18" s="1723"/>
      <c r="D18" s="1724"/>
      <c r="E18" s="1101" t="s">
        <v>1545</v>
      </c>
      <c r="G18" s="1100"/>
    </row>
    <row r="19" spans="3:8">
      <c r="C19" s="1743"/>
      <c r="D19" s="1744"/>
      <c r="E19" s="1094" t="s">
        <v>1544</v>
      </c>
      <c r="F19" s="1093"/>
      <c r="G19" s="1092"/>
      <c r="H19" s="69"/>
    </row>
    <row r="20" spans="3:8">
      <c r="C20" s="1721" t="s">
        <v>1543</v>
      </c>
      <c r="D20" s="1722"/>
      <c r="E20" s="1099" t="s">
        <v>1542</v>
      </c>
      <c r="F20" s="1098"/>
      <c r="G20" s="1097"/>
      <c r="H20" s="69"/>
    </row>
    <row r="21" spans="3:8">
      <c r="C21" s="1723"/>
      <c r="D21" s="1724"/>
      <c r="E21" s="1096"/>
      <c r="F21" s="69"/>
      <c r="G21" s="1095"/>
      <c r="H21" s="69"/>
    </row>
    <row r="22" spans="3:8">
      <c r="C22" s="1723"/>
      <c r="D22" s="1724"/>
      <c r="E22" s="1096" t="s">
        <v>1541</v>
      </c>
      <c r="F22" s="69"/>
      <c r="G22" s="1095"/>
      <c r="H22" s="69"/>
    </row>
    <row r="23" spans="3:8">
      <c r="C23" s="1743"/>
      <c r="D23" s="1744"/>
      <c r="E23" s="1094" t="s">
        <v>1540</v>
      </c>
      <c r="F23" s="1093"/>
      <c r="G23" s="1092"/>
      <c r="H23" s="69"/>
    </row>
    <row r="24" spans="3:8">
      <c r="C24" s="1745" t="s">
        <v>258</v>
      </c>
      <c r="D24" s="1746"/>
      <c r="E24" s="150" t="s">
        <v>257</v>
      </c>
      <c r="F24" s="149"/>
      <c r="G24" s="148"/>
    </row>
    <row r="25" spans="3:8">
      <c r="C25" s="1729" t="s">
        <v>1539</v>
      </c>
      <c r="D25" s="1730"/>
      <c r="E25" s="1099" t="s">
        <v>1538</v>
      </c>
      <c r="F25" s="1098"/>
      <c r="G25" s="1097"/>
      <c r="H25" s="69"/>
    </row>
    <row r="26" spans="3:8">
      <c r="C26" s="2074"/>
      <c r="D26" s="2075"/>
      <c r="E26" s="1096"/>
      <c r="F26" s="69"/>
      <c r="G26" s="1095"/>
      <c r="H26" s="69"/>
    </row>
    <row r="27" spans="3:8">
      <c r="C27" s="1731"/>
      <c r="D27" s="1732"/>
      <c r="E27" s="1094" t="s">
        <v>1537</v>
      </c>
      <c r="F27" s="1093"/>
      <c r="G27" s="1092"/>
      <c r="H27" s="69"/>
    </row>
    <row r="28" spans="3:8">
      <c r="C28" s="1745" t="s">
        <v>1536</v>
      </c>
      <c r="D28" s="1746"/>
      <c r="E28" s="150" t="s">
        <v>498</v>
      </c>
      <c r="F28" s="149"/>
      <c r="G28" s="148"/>
    </row>
    <row r="30" spans="3:8">
      <c r="C30" s="32" t="s">
        <v>1535</v>
      </c>
    </row>
    <row r="31" spans="3:8">
      <c r="C31" s="83"/>
      <c r="D31" s="82"/>
      <c r="E31" s="161" t="s">
        <v>96</v>
      </c>
      <c r="F31" s="161" t="s">
        <v>66</v>
      </c>
      <c r="G31" s="161" t="s">
        <v>1534</v>
      </c>
    </row>
    <row r="32" spans="3:8">
      <c r="C32" s="1745" t="s">
        <v>1533</v>
      </c>
      <c r="D32" s="1746"/>
      <c r="E32" s="158">
        <v>61</v>
      </c>
      <c r="F32" s="158">
        <v>61</v>
      </c>
      <c r="G32" s="158">
        <v>66</v>
      </c>
    </row>
    <row r="33" spans="3:11">
      <c r="C33" s="1745" t="s">
        <v>1532</v>
      </c>
      <c r="D33" s="1746"/>
      <c r="E33" s="158">
        <v>46</v>
      </c>
      <c r="F33" s="158">
        <v>56</v>
      </c>
      <c r="G33" s="158">
        <v>66</v>
      </c>
    </row>
    <row r="34" spans="3:11">
      <c r="C34" s="83" t="s">
        <v>1531</v>
      </c>
      <c r="D34" s="82"/>
      <c r="E34" s="158">
        <v>20</v>
      </c>
      <c r="F34" s="158">
        <v>20</v>
      </c>
      <c r="G34" s="158">
        <v>19</v>
      </c>
    </row>
    <row r="35" spans="3:11">
      <c r="C35" s="83" t="s">
        <v>1530</v>
      </c>
      <c r="D35" s="82"/>
      <c r="E35" s="158">
        <v>0</v>
      </c>
      <c r="F35" s="158">
        <v>0</v>
      </c>
      <c r="G35" s="158">
        <v>1</v>
      </c>
    </row>
    <row r="36" spans="3:11">
      <c r="C36" s="83" t="s">
        <v>1529</v>
      </c>
      <c r="D36" s="82"/>
      <c r="E36" s="158">
        <v>20</v>
      </c>
      <c r="F36" s="158">
        <v>20</v>
      </c>
      <c r="G36" s="158">
        <v>20</v>
      </c>
    </row>
    <row r="37" spans="3:11">
      <c r="C37" s="2081" t="s">
        <v>1528</v>
      </c>
      <c r="D37" s="2081"/>
      <c r="E37" s="2086" t="s">
        <v>1527</v>
      </c>
      <c r="F37" s="2089" t="s">
        <v>1526</v>
      </c>
      <c r="G37" s="2086" t="s">
        <v>1522</v>
      </c>
    </row>
    <row r="38" spans="3:11">
      <c r="C38" s="2082"/>
      <c r="D38" s="2082"/>
      <c r="E38" s="2087"/>
      <c r="F38" s="2090"/>
      <c r="G38" s="2087"/>
    </row>
    <row r="39" spans="3:11">
      <c r="C39" s="2083"/>
      <c r="D39" s="2083"/>
      <c r="E39" s="2088"/>
      <c r="F39" s="2091"/>
      <c r="G39" s="2088"/>
    </row>
    <row r="41" spans="3:11">
      <c r="C41" s="32" t="s">
        <v>171</v>
      </c>
    </row>
    <row r="42" spans="3:11">
      <c r="C42" s="1089" t="s">
        <v>1186</v>
      </c>
      <c r="D42" s="2079" t="s">
        <v>1525</v>
      </c>
      <c r="E42" s="2092"/>
      <c r="F42" s="2080"/>
      <c r="G42" s="1091"/>
    </row>
    <row r="43" spans="3:11">
      <c r="C43" s="161" t="s">
        <v>252</v>
      </c>
      <c r="D43" s="1089" t="s">
        <v>555</v>
      </c>
      <c r="E43" s="1089" t="s">
        <v>1522</v>
      </c>
      <c r="F43" s="1089" t="s">
        <v>1524</v>
      </c>
      <c r="G43" s="1091"/>
    </row>
    <row r="44" spans="3:11">
      <c r="C44" s="1088">
        <v>55</v>
      </c>
      <c r="D44" s="1087">
        <v>19.3</v>
      </c>
      <c r="E44" s="1087">
        <v>19.5</v>
      </c>
      <c r="F44" s="1087">
        <v>8.2000000000000011</v>
      </c>
      <c r="G44" s="1090"/>
      <c r="I44" s="954"/>
      <c r="J44" s="953"/>
      <c r="K44" s="953"/>
    </row>
    <row r="45" spans="3:11">
      <c r="C45" s="158">
        <v>56</v>
      </c>
      <c r="D45" s="1087">
        <v>19.100000000000001</v>
      </c>
      <c r="E45" s="1087">
        <v>19.3</v>
      </c>
      <c r="F45" s="1087">
        <v>7.6000000000000014</v>
      </c>
      <c r="G45" s="1090"/>
      <c r="I45" s="954"/>
      <c r="J45" s="953"/>
      <c r="K45" s="953"/>
    </row>
    <row r="46" spans="3:11">
      <c r="C46" s="158">
        <v>57</v>
      </c>
      <c r="D46" s="1087">
        <v>18.8</v>
      </c>
      <c r="E46" s="1087">
        <v>19.100000000000001</v>
      </c>
      <c r="F46" s="1087">
        <v>6.8000000000000007</v>
      </c>
      <c r="G46" s="1090"/>
      <c r="I46" s="954"/>
      <c r="J46" s="953"/>
      <c r="K46" s="953"/>
    </row>
    <row r="47" spans="3:11">
      <c r="C47" s="158">
        <v>58</v>
      </c>
      <c r="D47" s="1087">
        <v>18.600000000000001</v>
      </c>
      <c r="E47" s="1087">
        <v>18.899999999999999</v>
      </c>
      <c r="F47" s="1087">
        <v>6.1000000000000014</v>
      </c>
      <c r="G47" s="1090"/>
      <c r="I47" s="954"/>
      <c r="J47" s="953"/>
      <c r="K47" s="953"/>
    </row>
    <row r="48" spans="3:11">
      <c r="C48" s="158">
        <v>59</v>
      </c>
      <c r="D48" s="1087">
        <v>18.3</v>
      </c>
      <c r="E48" s="1087">
        <v>18.600000000000001</v>
      </c>
      <c r="F48" s="1087">
        <v>5.3000000000000007</v>
      </c>
      <c r="G48" s="1090"/>
      <c r="I48" s="954"/>
      <c r="J48" s="953"/>
      <c r="K48" s="953"/>
    </row>
    <row r="49" spans="3:11">
      <c r="C49" s="158">
        <v>60</v>
      </c>
      <c r="D49" s="1087">
        <v>18</v>
      </c>
      <c r="E49" s="1087">
        <v>18.3</v>
      </c>
      <c r="F49" s="1087">
        <v>4.5</v>
      </c>
      <c r="G49" s="1090"/>
      <c r="I49" s="954"/>
      <c r="J49" s="953"/>
      <c r="K49" s="953"/>
    </row>
    <row r="50" spans="3:11">
      <c r="C50" s="158">
        <v>61</v>
      </c>
      <c r="D50" s="1087">
        <v>17.7</v>
      </c>
      <c r="E50" s="1087">
        <v>18</v>
      </c>
      <c r="F50" s="1087">
        <v>3.5999999999999996</v>
      </c>
      <c r="G50" s="1090"/>
      <c r="I50" s="954"/>
      <c r="J50" s="953"/>
      <c r="K50" s="953"/>
    </row>
    <row r="51" spans="3:11">
      <c r="C51" s="158">
        <v>62</v>
      </c>
      <c r="D51" s="1087">
        <v>17.399999999999999</v>
      </c>
      <c r="E51" s="1087">
        <v>17.8</v>
      </c>
      <c r="F51" s="1087">
        <v>2.7999999999999989</v>
      </c>
      <c r="G51" s="1090"/>
      <c r="I51" s="954"/>
      <c r="J51" s="953"/>
      <c r="K51" s="953"/>
    </row>
    <row r="52" spans="3:11">
      <c r="C52" s="158">
        <v>63</v>
      </c>
      <c r="D52" s="1087">
        <v>17.100000000000001</v>
      </c>
      <c r="E52" s="1087">
        <v>17.5</v>
      </c>
      <c r="F52" s="1087">
        <v>1.9000000000000021</v>
      </c>
      <c r="G52" s="1090"/>
      <c r="I52" s="954"/>
      <c r="J52" s="953"/>
      <c r="K52" s="953"/>
    </row>
    <row r="53" spans="3:11">
      <c r="C53" s="158">
        <v>64</v>
      </c>
      <c r="D53" s="1087">
        <v>16.8</v>
      </c>
      <c r="E53" s="1087">
        <v>17.2</v>
      </c>
      <c r="F53" s="1087">
        <v>1</v>
      </c>
      <c r="G53" s="1090"/>
      <c r="I53" s="954"/>
      <c r="J53" s="953"/>
      <c r="K53" s="953"/>
    </row>
    <row r="54" spans="3:11">
      <c r="C54" s="158">
        <v>65</v>
      </c>
      <c r="D54" s="1087">
        <v>16.5</v>
      </c>
      <c r="E54" s="1087">
        <v>17</v>
      </c>
      <c r="F54" s="1087">
        <v>0</v>
      </c>
      <c r="G54" s="86"/>
      <c r="I54" s="954"/>
      <c r="J54" s="953"/>
      <c r="K54" s="953"/>
    </row>
    <row r="55" spans="3:11">
      <c r="C55" s="158">
        <v>66</v>
      </c>
      <c r="D55" s="1087">
        <v>16.100000000000001</v>
      </c>
      <c r="E55" s="1087">
        <v>16.600000000000001</v>
      </c>
      <c r="F55" s="1087">
        <v>0</v>
      </c>
      <c r="G55" s="86"/>
      <c r="I55" s="954"/>
      <c r="J55" s="953"/>
      <c r="K55" s="953"/>
    </row>
    <row r="56" spans="3:11">
      <c r="C56" s="158">
        <v>67</v>
      </c>
      <c r="D56" s="1087">
        <v>15.8</v>
      </c>
      <c r="E56" s="1087">
        <v>16.399999999999999</v>
      </c>
      <c r="F56" s="1087">
        <v>0</v>
      </c>
      <c r="I56" s="954"/>
      <c r="J56" s="953"/>
      <c r="K56" s="953"/>
    </row>
    <row r="58" spans="3:11">
      <c r="C58" s="161" t="s">
        <v>1186</v>
      </c>
      <c r="D58" s="2079" t="s">
        <v>1523</v>
      </c>
      <c r="E58" s="2080"/>
    </row>
    <row r="59" spans="3:11">
      <c r="C59" s="161" t="s">
        <v>252</v>
      </c>
      <c r="D59" s="1089" t="s">
        <v>555</v>
      </c>
      <c r="E59" s="1089" t="s">
        <v>1522</v>
      </c>
    </row>
    <row r="60" spans="3:11">
      <c r="C60" s="1088">
        <v>55</v>
      </c>
      <c r="D60" s="1087">
        <v>11.1</v>
      </c>
      <c r="E60" s="1087">
        <v>11.2</v>
      </c>
    </row>
    <row r="61" spans="3:11">
      <c r="C61" s="158">
        <v>56</v>
      </c>
      <c r="D61" s="1087">
        <v>11.5</v>
      </c>
      <c r="E61" s="1087">
        <v>11.6</v>
      </c>
    </row>
    <row r="62" spans="3:11">
      <c r="C62" s="158">
        <v>57</v>
      </c>
      <c r="D62" s="1087">
        <v>12</v>
      </c>
      <c r="E62" s="1087">
        <v>12.2</v>
      </c>
    </row>
    <row r="63" spans="3:11">
      <c r="C63" s="158">
        <v>58</v>
      </c>
      <c r="D63" s="1087">
        <v>12.5</v>
      </c>
      <c r="E63" s="1087">
        <v>12.7</v>
      </c>
    </row>
    <row r="64" spans="3:11">
      <c r="C64" s="158">
        <v>59</v>
      </c>
      <c r="D64" s="1087">
        <v>13</v>
      </c>
      <c r="E64" s="1087">
        <v>13.2</v>
      </c>
    </row>
    <row r="65" spans="3:7">
      <c r="C65" s="158">
        <v>60</v>
      </c>
      <c r="D65" s="1087">
        <v>13.5</v>
      </c>
      <c r="E65" s="1087">
        <v>13.7</v>
      </c>
    </row>
    <row r="66" spans="3:7">
      <c r="C66" s="158">
        <v>61</v>
      </c>
      <c r="D66" s="1087">
        <v>14.1</v>
      </c>
      <c r="E66" s="1087">
        <v>14.4</v>
      </c>
    </row>
    <row r="67" spans="3:7">
      <c r="C67" s="158">
        <v>62</v>
      </c>
      <c r="D67" s="1087">
        <v>14.6</v>
      </c>
      <c r="E67" s="1087">
        <v>14.9</v>
      </c>
    </row>
    <row r="68" spans="3:7">
      <c r="C68" s="158">
        <v>63</v>
      </c>
      <c r="D68" s="1087">
        <v>15.2</v>
      </c>
      <c r="E68" s="1087">
        <v>15.6</v>
      </c>
    </row>
    <row r="69" spans="3:7">
      <c r="C69" s="158">
        <v>64</v>
      </c>
      <c r="D69" s="1087">
        <v>15.8</v>
      </c>
      <c r="E69" s="1087">
        <v>16.2</v>
      </c>
    </row>
    <row r="70" spans="3:7">
      <c r="C70" s="158">
        <v>65</v>
      </c>
      <c r="D70" s="1087">
        <v>16.5</v>
      </c>
      <c r="E70" s="1087">
        <v>17</v>
      </c>
    </row>
    <row r="71" spans="3:7">
      <c r="C71" s="158">
        <v>66</v>
      </c>
      <c r="D71" s="1087" t="s">
        <v>1521</v>
      </c>
      <c r="E71" s="1087" t="s">
        <v>1521</v>
      </c>
    </row>
    <row r="72" spans="3:7">
      <c r="C72" s="158">
        <v>67</v>
      </c>
      <c r="D72" s="1087" t="s">
        <v>1521</v>
      </c>
      <c r="E72" s="1087" t="s">
        <v>1521</v>
      </c>
    </row>
    <row r="75" spans="3:7">
      <c r="C75" s="32" t="s">
        <v>178</v>
      </c>
    </row>
    <row r="76" spans="3:7">
      <c r="C76" s="2078" t="s">
        <v>1520</v>
      </c>
      <c r="D76" s="2078"/>
      <c r="E76" s="2078"/>
      <c r="F76" s="1086">
        <v>1253.5899999999999</v>
      </c>
      <c r="G76" s="19"/>
    </row>
    <row r="77" spans="3:7">
      <c r="C77" s="2078" t="s">
        <v>1519</v>
      </c>
      <c r="D77" s="2078"/>
      <c r="E77" s="2078"/>
      <c r="F77" s="1086">
        <v>642.25</v>
      </c>
      <c r="G77" s="19"/>
    </row>
    <row r="78" spans="3:7">
      <c r="C78" s="2084" t="s">
        <v>1518</v>
      </c>
      <c r="D78" s="2084"/>
      <c r="E78" s="2084"/>
      <c r="F78" s="2085">
        <v>3420</v>
      </c>
      <c r="G78" s="19"/>
    </row>
    <row r="79" spans="3:7">
      <c r="C79" s="2084"/>
      <c r="D79" s="2084"/>
      <c r="E79" s="2084"/>
      <c r="F79" s="2085"/>
      <c r="G79" s="19"/>
    </row>
    <row r="80" spans="3:7">
      <c r="C80" s="2078" t="s">
        <v>1517</v>
      </c>
      <c r="D80" s="2078"/>
      <c r="E80" s="2078"/>
      <c r="F80" s="1086">
        <v>64900</v>
      </c>
    </row>
    <row r="81" spans="2:8">
      <c r="C81" s="1085"/>
      <c r="D81" s="883"/>
      <c r="E81" s="883"/>
      <c r="F81" s="883"/>
      <c r="G81" s="883"/>
    </row>
    <row r="83" spans="2:8">
      <c r="B83" s="2" t="s">
        <v>26</v>
      </c>
      <c r="C83" s="2" t="s">
        <v>1491</v>
      </c>
      <c r="D83" s="2" t="s">
        <v>1516</v>
      </c>
    </row>
    <row r="84" spans="2:8">
      <c r="C84" s="5"/>
      <c r="D84" s="2" t="s">
        <v>1515</v>
      </c>
    </row>
    <row r="85" spans="2:8">
      <c r="C85" s="5"/>
    </row>
    <row r="86" spans="2:8">
      <c r="C86" s="5"/>
      <c r="D86" s="1629" t="s">
        <v>29</v>
      </c>
      <c r="E86" s="1630"/>
      <c r="F86" s="1630"/>
      <c r="G86" s="1630"/>
      <c r="H86" s="1631"/>
    </row>
    <row r="87" spans="2:8">
      <c r="C87" s="5"/>
      <c r="D87" s="1632"/>
      <c r="E87" s="1633"/>
      <c r="F87" s="1633"/>
      <c r="G87" s="1633"/>
      <c r="H87" s="1634"/>
    </row>
    <row r="88" spans="2:8">
      <c r="C88" s="5"/>
    </row>
    <row r="89" spans="2:8">
      <c r="B89" s="2" t="s">
        <v>34</v>
      </c>
      <c r="C89" s="2" t="s">
        <v>1514</v>
      </c>
      <c r="D89" s="2" t="s">
        <v>1513</v>
      </c>
    </row>
    <row r="90" spans="2:8">
      <c r="C90" s="5"/>
      <c r="D90" s="2" t="s">
        <v>1512</v>
      </c>
    </row>
    <row r="92" spans="2:8">
      <c r="D92" s="1629" t="s">
        <v>29</v>
      </c>
      <c r="E92" s="1630"/>
      <c r="F92" s="1630"/>
      <c r="G92" s="1630"/>
      <c r="H92" s="1631"/>
    </row>
    <row r="93" spans="2:8">
      <c r="D93" s="1632"/>
      <c r="E93" s="1633"/>
      <c r="F93" s="1633"/>
      <c r="G93" s="1633"/>
      <c r="H93" s="1634"/>
    </row>
  </sheetData>
  <mergeCells count="24">
    <mergeCell ref="C20:D23"/>
    <mergeCell ref="C10:D10"/>
    <mergeCell ref="C12:D12"/>
    <mergeCell ref="C13:D13"/>
    <mergeCell ref="C14:D14"/>
    <mergeCell ref="C15:D19"/>
    <mergeCell ref="D92:H93"/>
    <mergeCell ref="E37:E39"/>
    <mergeCell ref="F37:F39"/>
    <mergeCell ref="G37:G39"/>
    <mergeCell ref="D42:F42"/>
    <mergeCell ref="C24:D24"/>
    <mergeCell ref="C25:D27"/>
    <mergeCell ref="C28:D28"/>
    <mergeCell ref="C32:D32"/>
    <mergeCell ref="C33:D33"/>
    <mergeCell ref="C80:E80"/>
    <mergeCell ref="D86:H87"/>
    <mergeCell ref="D58:E58"/>
    <mergeCell ref="C76:E76"/>
    <mergeCell ref="C37:D39"/>
    <mergeCell ref="C77:E77"/>
    <mergeCell ref="C78:E79"/>
    <mergeCell ref="F78:F79"/>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1DC3-516F-43E6-9D4D-079C9F537706}">
  <dimension ref="A1:X78"/>
  <sheetViews>
    <sheetView workbookViewId="0">
      <selection activeCell="Q1" sqref="Q1"/>
    </sheetView>
  </sheetViews>
  <sheetFormatPr defaultColWidth="8.88671875" defaultRowHeight="15.6"/>
  <cols>
    <col min="1" max="1" width="3.5546875" style="1104" customWidth="1"/>
    <col min="2" max="2" width="11.109375" style="1104" customWidth="1"/>
    <col min="3" max="3" width="15.109375" style="1104" customWidth="1"/>
    <col min="4" max="4" width="24" style="1104" customWidth="1"/>
    <col min="5" max="7" width="12.88671875" style="1104" customWidth="1"/>
    <col min="8" max="8" width="18.6640625" style="1104" customWidth="1"/>
    <col min="9" max="9" width="6.88671875" style="1104" customWidth="1"/>
    <col min="10" max="10" width="2.5546875" style="1104" customWidth="1"/>
    <col min="11" max="24" width="10" style="350" customWidth="1"/>
    <col min="25" max="16384" width="8.88671875" style="350"/>
  </cols>
  <sheetData>
    <row r="1" spans="1:24">
      <c r="A1" s="1132" t="s">
        <v>1584</v>
      </c>
      <c r="B1" s="1132"/>
      <c r="C1" s="1132"/>
      <c r="D1" s="1132"/>
      <c r="E1" s="1132"/>
      <c r="F1" s="1132"/>
      <c r="G1" s="1132"/>
      <c r="H1" s="1132"/>
      <c r="I1" s="1132"/>
      <c r="J1" s="1132"/>
      <c r="K1" s="352" t="s">
        <v>1584</v>
      </c>
    </row>
    <row r="2" spans="1:24">
      <c r="A2" s="1132" t="s">
        <v>1583</v>
      </c>
      <c r="B2" s="1132"/>
      <c r="C2" s="1132"/>
      <c r="D2" s="1132"/>
      <c r="E2" s="1132"/>
      <c r="F2" s="1132"/>
      <c r="G2" s="1132"/>
      <c r="H2" s="1132"/>
      <c r="I2" s="1132"/>
      <c r="J2" s="1132"/>
      <c r="K2" s="352" t="str">
        <f>A2</f>
        <v xml:space="preserve">Question 1 </v>
      </c>
    </row>
    <row r="3" spans="1:24" ht="18.45" customHeight="1">
      <c r="A3" s="1133"/>
      <c r="W3" s="1105"/>
      <c r="X3" s="1105"/>
    </row>
    <row r="4" spans="1:24">
      <c r="A4" s="1132"/>
      <c r="B4" s="1131" t="s">
        <v>402</v>
      </c>
      <c r="C4" s="1104" t="s">
        <v>1582</v>
      </c>
      <c r="K4" s="350" t="s">
        <v>2</v>
      </c>
      <c r="W4" s="1105"/>
      <c r="X4" s="1111"/>
    </row>
    <row r="5" spans="1:24">
      <c r="K5" s="1105"/>
      <c r="L5" s="1105"/>
      <c r="M5" s="1109"/>
      <c r="N5" s="1109"/>
      <c r="O5" s="1109"/>
      <c r="P5" s="1109"/>
      <c r="V5" s="1105"/>
      <c r="X5" s="1105"/>
    </row>
    <row r="6" spans="1:24">
      <c r="C6" s="1104" t="s">
        <v>323</v>
      </c>
      <c r="L6" s="1116"/>
      <c r="W6" s="1105"/>
      <c r="X6" s="1105"/>
    </row>
    <row r="7" spans="1:24">
      <c r="W7" s="1105"/>
      <c r="X7" s="1105"/>
    </row>
    <row r="8" spans="1:24">
      <c r="C8" s="1130" t="s">
        <v>1384</v>
      </c>
      <c r="L8" s="1125"/>
      <c r="M8" s="1129"/>
      <c r="N8" s="1129"/>
      <c r="O8" s="1129"/>
      <c r="P8" s="1129"/>
      <c r="Q8" s="1129"/>
      <c r="W8" s="1105"/>
      <c r="X8" s="1105"/>
    </row>
    <row r="9" spans="1:24" ht="15.6" customHeight="1">
      <c r="C9" s="2130" t="s">
        <v>1581</v>
      </c>
      <c r="D9" s="2131"/>
      <c r="E9" s="2121" t="s">
        <v>1580</v>
      </c>
      <c r="F9" s="2122"/>
      <c r="G9" s="2122"/>
      <c r="H9" s="2123"/>
      <c r="L9" s="1129"/>
      <c r="M9" s="1129"/>
      <c r="N9" s="1129"/>
      <c r="O9" s="1129"/>
      <c r="P9" s="1129"/>
      <c r="Q9" s="1129"/>
      <c r="W9" s="1105"/>
      <c r="X9" s="1105"/>
    </row>
    <row r="10" spans="1:24" ht="15.6" customHeight="1">
      <c r="C10" s="2132"/>
      <c r="D10" s="2133"/>
      <c r="E10" s="2124"/>
      <c r="F10" s="2125"/>
      <c r="G10" s="2125"/>
      <c r="H10" s="2126"/>
      <c r="L10" s="1107"/>
      <c r="M10" s="1129"/>
      <c r="N10" s="1129"/>
      <c r="P10" s="1129"/>
      <c r="Q10" s="1129"/>
      <c r="W10" s="1105"/>
      <c r="X10" s="1105"/>
    </row>
    <row r="11" spans="1:24" ht="15.6" customHeight="1">
      <c r="C11" s="2117" t="s">
        <v>1579</v>
      </c>
      <c r="D11" s="2118"/>
      <c r="E11" s="2121" t="s">
        <v>1578</v>
      </c>
      <c r="F11" s="2122"/>
      <c r="G11" s="2122"/>
      <c r="H11" s="2123"/>
      <c r="L11" s="1112"/>
      <c r="M11" s="1107"/>
      <c r="O11" s="1107"/>
      <c r="Q11" s="1107"/>
      <c r="R11" s="1107"/>
      <c r="S11" s="1107"/>
      <c r="T11" s="1107"/>
      <c r="U11" s="1107"/>
      <c r="W11" s="1105"/>
      <c r="X11" s="1105"/>
    </row>
    <row r="12" spans="1:24" ht="15.6" customHeight="1">
      <c r="C12" s="2119"/>
      <c r="D12" s="2120"/>
      <c r="E12" s="2124"/>
      <c r="F12" s="2125"/>
      <c r="G12" s="2125"/>
      <c r="H12" s="2126"/>
      <c r="L12" s="1107"/>
      <c r="M12" s="1107"/>
      <c r="O12" s="1107"/>
      <c r="Q12" s="1107"/>
      <c r="R12" s="1106"/>
      <c r="S12" s="1107"/>
      <c r="T12" s="1107"/>
      <c r="U12" s="1107"/>
      <c r="W12" s="1105"/>
      <c r="X12" s="1105"/>
    </row>
    <row r="13" spans="1:24" ht="15.6" customHeight="1">
      <c r="C13" s="2121" t="s">
        <v>1577</v>
      </c>
      <c r="D13" s="2123"/>
      <c r="E13" s="2121" t="s">
        <v>1576</v>
      </c>
      <c r="F13" s="2122"/>
      <c r="G13" s="2122"/>
      <c r="H13" s="2123"/>
      <c r="L13" s="1107"/>
      <c r="M13" s="1107"/>
      <c r="N13" s="1107"/>
      <c r="O13" s="1107"/>
      <c r="P13" s="1107"/>
      <c r="Q13" s="1107"/>
      <c r="R13" s="1106"/>
      <c r="S13" s="1107"/>
      <c r="T13" s="1107"/>
      <c r="U13" s="1107"/>
      <c r="W13" s="1105"/>
      <c r="X13" s="1105"/>
    </row>
    <row r="14" spans="1:24" ht="15.6" customHeight="1">
      <c r="C14" s="2124"/>
      <c r="D14" s="2126"/>
      <c r="E14" s="2124"/>
      <c r="F14" s="2125"/>
      <c r="G14" s="2125"/>
      <c r="H14" s="2126"/>
      <c r="S14" s="1107"/>
      <c r="T14" s="1107"/>
      <c r="U14" s="1107"/>
      <c r="W14" s="1105"/>
      <c r="X14" s="1105"/>
    </row>
    <row r="15" spans="1:24" s="1115" customFormat="1">
      <c r="A15" s="1104"/>
      <c r="B15" s="1104"/>
      <c r="C15" s="2117" t="s">
        <v>1575</v>
      </c>
      <c r="D15" s="2118"/>
      <c r="E15" s="2121" t="s">
        <v>1574</v>
      </c>
      <c r="F15" s="2122"/>
      <c r="G15" s="2122"/>
      <c r="H15" s="2123"/>
      <c r="I15" s="1104"/>
      <c r="J15" s="1104"/>
      <c r="K15" s="350"/>
      <c r="L15" s="1112"/>
      <c r="M15" s="1107"/>
      <c r="O15" s="1107"/>
      <c r="P15" s="1107"/>
      <c r="Q15" s="1107"/>
      <c r="R15" s="1107"/>
      <c r="S15" s="1107"/>
      <c r="T15" s="1107"/>
      <c r="U15" s="1107"/>
      <c r="W15" s="1105"/>
      <c r="X15" s="1105"/>
    </row>
    <row r="16" spans="1:24" s="1115" customFormat="1">
      <c r="A16" s="1104"/>
      <c r="B16" s="1104"/>
      <c r="C16" s="2119"/>
      <c r="D16" s="2120"/>
      <c r="E16" s="2124"/>
      <c r="F16" s="2125"/>
      <c r="G16" s="2125"/>
      <c r="H16" s="2126"/>
      <c r="I16" s="1104"/>
      <c r="J16" s="1104"/>
      <c r="K16" s="350"/>
      <c r="L16" s="1107"/>
      <c r="M16" s="1107"/>
      <c r="O16" s="1107"/>
      <c r="P16" s="1107"/>
      <c r="Q16" s="1107"/>
      <c r="R16" s="1106"/>
      <c r="S16" s="1107"/>
      <c r="T16" s="1107"/>
      <c r="U16" s="1107"/>
      <c r="W16" s="1105"/>
      <c r="X16" s="1105"/>
    </row>
    <row r="17" spans="1:24" s="1115" customFormat="1">
      <c r="A17" s="1104"/>
      <c r="B17" s="1104"/>
      <c r="C17" s="2105" t="s">
        <v>190</v>
      </c>
      <c r="D17" s="2105"/>
      <c r="E17" s="2127" t="s">
        <v>127</v>
      </c>
      <c r="F17" s="2128"/>
      <c r="G17" s="2128"/>
      <c r="H17" s="2129"/>
      <c r="I17" s="1104"/>
      <c r="J17" s="1104"/>
      <c r="K17" s="350"/>
      <c r="L17" s="1107"/>
      <c r="M17" s="1107"/>
      <c r="N17" s="1107"/>
      <c r="O17" s="1107"/>
      <c r="P17" s="1107"/>
      <c r="Q17" s="1107"/>
      <c r="R17" s="1106"/>
      <c r="S17" s="1107"/>
      <c r="T17" s="1107"/>
      <c r="U17" s="1107"/>
      <c r="W17" s="1105"/>
      <c r="X17" s="1105"/>
    </row>
    <row r="18" spans="1:24" s="1115" customFormat="1">
      <c r="A18" s="1104"/>
      <c r="B18" s="1104"/>
      <c r="C18" s="2105" t="s">
        <v>1181</v>
      </c>
      <c r="D18" s="2105"/>
      <c r="E18" s="2127" t="s">
        <v>135</v>
      </c>
      <c r="F18" s="2128"/>
      <c r="G18" s="2128"/>
      <c r="H18" s="2129"/>
      <c r="I18" s="1104"/>
      <c r="J18" s="1104"/>
      <c r="K18" s="350"/>
      <c r="S18" s="1107"/>
      <c r="T18" s="1107"/>
      <c r="U18" s="1107"/>
      <c r="W18" s="1105"/>
      <c r="X18" s="1105"/>
    </row>
    <row r="19" spans="1:24" s="1115" customFormat="1" ht="15.75" customHeight="1">
      <c r="A19" s="1104"/>
      <c r="B19" s="1104"/>
      <c r="C19" s="2106" t="s">
        <v>1573</v>
      </c>
      <c r="D19" s="2107"/>
      <c r="E19" s="2108" t="s">
        <v>1572</v>
      </c>
      <c r="F19" s="2109"/>
      <c r="G19" s="2109"/>
      <c r="H19" s="2110"/>
      <c r="I19" s="1104"/>
      <c r="J19" s="1104"/>
      <c r="K19" s="350"/>
      <c r="L19" s="1116"/>
      <c r="M19" s="1129"/>
      <c r="N19" s="1129"/>
      <c r="O19" s="1129"/>
      <c r="P19" s="1129"/>
      <c r="Q19" s="1129"/>
      <c r="S19" s="1107"/>
      <c r="T19" s="1107"/>
      <c r="U19" s="1107"/>
      <c r="W19" s="1105"/>
      <c r="X19" s="1105"/>
    </row>
    <row r="20" spans="1:24" s="1115" customFormat="1">
      <c r="A20" s="1104"/>
      <c r="B20" s="1104"/>
      <c r="C20" s="2111" t="s">
        <v>553</v>
      </c>
      <c r="D20" s="2112"/>
      <c r="E20" s="2101" t="s">
        <v>1571</v>
      </c>
      <c r="F20" s="2113"/>
      <c r="G20" s="2113"/>
      <c r="H20" s="2102"/>
      <c r="I20" s="1104"/>
      <c r="J20" s="1104"/>
      <c r="K20" s="350"/>
      <c r="L20" s="1107"/>
      <c r="M20" s="1129"/>
      <c r="N20" s="1129"/>
      <c r="O20" s="1129"/>
      <c r="P20" s="1129"/>
      <c r="Q20" s="1129"/>
      <c r="R20" s="350"/>
      <c r="S20" s="1107"/>
      <c r="T20" s="1107"/>
      <c r="U20" s="1107"/>
      <c r="W20" s="1105"/>
      <c r="X20" s="1105"/>
    </row>
    <row r="21" spans="1:24" s="1115" customFormat="1">
      <c r="A21" s="1104"/>
      <c r="B21" s="1104"/>
      <c r="C21" s="1104"/>
      <c r="D21" s="1104"/>
      <c r="E21" s="1104"/>
      <c r="F21" s="1104"/>
      <c r="G21" s="1104"/>
      <c r="H21" s="1104"/>
      <c r="I21" s="1104"/>
      <c r="J21" s="1104"/>
      <c r="K21" s="350"/>
      <c r="L21" s="1125"/>
      <c r="M21" s="1129"/>
      <c r="N21" s="1129"/>
      <c r="O21" s="1129"/>
      <c r="P21" s="1129"/>
      <c r="Q21" s="1129"/>
      <c r="W21" s="1105"/>
      <c r="X21" s="1105"/>
    </row>
    <row r="22" spans="1:24">
      <c r="C22" s="2114" t="s">
        <v>322</v>
      </c>
      <c r="D22" s="2114" t="s">
        <v>873</v>
      </c>
      <c r="E22" s="2114" t="s">
        <v>1570</v>
      </c>
      <c r="F22" s="2114" t="s">
        <v>1569</v>
      </c>
      <c r="G22" s="2114" t="s">
        <v>1568</v>
      </c>
      <c r="L22" s="1112"/>
      <c r="M22" s="1115"/>
      <c r="N22" s="1115"/>
      <c r="O22" s="1115"/>
      <c r="P22" s="1115"/>
      <c r="Q22" s="1115"/>
      <c r="R22" s="1115"/>
      <c r="W22" s="1105"/>
      <c r="X22" s="1105"/>
    </row>
    <row r="23" spans="1:24" s="1115" customFormat="1">
      <c r="A23" s="1104"/>
      <c r="B23" s="1104"/>
      <c r="C23" s="2115"/>
      <c r="D23" s="2115"/>
      <c r="E23" s="2115"/>
      <c r="F23" s="2115"/>
      <c r="G23" s="2115"/>
      <c r="H23" s="1104"/>
      <c r="I23" s="1104"/>
      <c r="J23" s="1104"/>
      <c r="K23" s="350"/>
      <c r="L23" s="1107"/>
      <c r="R23" s="1106"/>
      <c r="W23" s="1105"/>
      <c r="X23" s="1105"/>
    </row>
    <row r="24" spans="1:24" s="1115" customFormat="1">
      <c r="A24" s="1104"/>
      <c r="B24" s="1104"/>
      <c r="C24" s="2116"/>
      <c r="D24" s="2116"/>
      <c r="E24" s="2116"/>
      <c r="F24" s="2116"/>
      <c r="G24" s="2116"/>
      <c r="H24" s="1104"/>
      <c r="I24" s="1104"/>
      <c r="J24" s="1104"/>
      <c r="K24" s="350"/>
      <c r="R24" s="1106"/>
      <c r="W24" s="1105"/>
      <c r="X24" s="1105"/>
    </row>
    <row r="25" spans="1:24" s="1115" customFormat="1">
      <c r="A25" s="1104"/>
      <c r="B25" s="1104"/>
      <c r="C25" s="1127">
        <v>2022</v>
      </c>
      <c r="D25" s="1126">
        <v>64900</v>
      </c>
      <c r="E25" s="1128">
        <v>3420</v>
      </c>
      <c r="F25" s="1128">
        <v>642.25</v>
      </c>
      <c r="G25" s="1128">
        <v>1253.5899999999999</v>
      </c>
      <c r="H25" s="1104"/>
      <c r="I25" s="1104"/>
      <c r="J25" s="1104"/>
      <c r="K25" s="350"/>
      <c r="L25" s="1112"/>
      <c r="W25" s="1105"/>
      <c r="X25" s="1105"/>
    </row>
    <row r="26" spans="1:24" s="1115" customFormat="1">
      <c r="A26" s="1104"/>
      <c r="B26" s="1104"/>
      <c r="C26" s="1127">
        <v>2021</v>
      </c>
      <c r="D26" s="1126">
        <v>61600</v>
      </c>
      <c r="E26" s="1104"/>
      <c r="F26" s="1104"/>
      <c r="G26" s="1104"/>
      <c r="H26" s="1104"/>
      <c r="I26" s="1104"/>
      <c r="J26" s="1104"/>
      <c r="K26" s="350"/>
      <c r="L26" s="1107"/>
      <c r="R26" s="1106"/>
      <c r="W26" s="1105"/>
      <c r="X26" s="1105"/>
    </row>
    <row r="27" spans="1:24" s="1115" customFormat="1">
      <c r="A27" s="1104"/>
      <c r="B27" s="1104"/>
      <c r="C27" s="1127">
        <v>2020</v>
      </c>
      <c r="D27" s="1126">
        <v>58700</v>
      </c>
      <c r="E27" s="1104"/>
      <c r="F27" s="1104"/>
      <c r="G27" s="1104"/>
      <c r="H27" s="1104"/>
      <c r="I27" s="1104"/>
      <c r="J27" s="1104"/>
      <c r="K27" s="350"/>
      <c r="W27" s="1105"/>
      <c r="X27" s="1105"/>
    </row>
    <row r="28" spans="1:24" s="1115" customFormat="1">
      <c r="A28" s="1104"/>
      <c r="B28" s="1104"/>
      <c r="C28" s="1127">
        <v>2019</v>
      </c>
      <c r="D28" s="1126">
        <v>57400</v>
      </c>
      <c r="E28" s="1104"/>
      <c r="F28" s="1104"/>
      <c r="G28" s="1104"/>
      <c r="H28" s="1104"/>
      <c r="I28" s="1104"/>
      <c r="J28" s="1104"/>
      <c r="K28" s="350"/>
      <c r="L28" s="1116"/>
      <c r="W28" s="1105"/>
      <c r="X28" s="1105"/>
    </row>
    <row r="29" spans="1:24" s="1115" customFormat="1">
      <c r="A29" s="1104"/>
      <c r="B29" s="1104"/>
      <c r="C29" s="1127">
        <v>2018</v>
      </c>
      <c r="D29" s="1126">
        <v>55900</v>
      </c>
      <c r="E29" s="1104"/>
      <c r="F29" s="1104"/>
      <c r="G29" s="1104"/>
      <c r="H29" s="1104"/>
      <c r="I29" s="1104"/>
      <c r="J29" s="1104"/>
      <c r="K29" s="350"/>
      <c r="W29" s="1105"/>
      <c r="X29" s="1105"/>
    </row>
    <row r="30" spans="1:24" s="1115" customFormat="1">
      <c r="A30" s="1104"/>
      <c r="B30" s="1104"/>
      <c r="C30" s="1127">
        <v>2017</v>
      </c>
      <c r="D30" s="1126">
        <v>55300</v>
      </c>
      <c r="E30" s="1104"/>
      <c r="F30" s="1104"/>
      <c r="G30" s="1104"/>
      <c r="H30" s="1104"/>
      <c r="I30" s="1104"/>
      <c r="J30" s="1104"/>
      <c r="K30" s="350"/>
      <c r="L30" s="1125"/>
      <c r="W30" s="1105"/>
      <c r="X30" s="1105"/>
    </row>
    <row r="31" spans="1:24" s="1115" customFormat="1">
      <c r="A31" s="1104"/>
      <c r="B31" s="1104"/>
      <c r="C31" s="1104"/>
      <c r="D31" s="1104"/>
      <c r="E31" s="1104"/>
      <c r="F31" s="1104"/>
      <c r="G31" s="1104"/>
      <c r="H31" s="1104"/>
      <c r="I31" s="1104"/>
      <c r="J31" s="1104"/>
      <c r="K31" s="350"/>
      <c r="L31" s="1107"/>
      <c r="R31" s="1106"/>
      <c r="W31" s="1105"/>
      <c r="X31" s="1105"/>
    </row>
    <row r="32" spans="1:24">
      <c r="C32" s="1114" t="s">
        <v>1567</v>
      </c>
      <c r="D32" s="1114"/>
      <c r="E32" s="1114"/>
      <c r="F32" s="1114"/>
      <c r="G32" s="1114"/>
      <c r="H32" s="1114"/>
      <c r="I32" s="1114"/>
      <c r="L32" s="1112"/>
      <c r="W32" s="1105"/>
      <c r="X32" s="1105"/>
    </row>
    <row r="33" spans="1:24" s="1115" customFormat="1">
      <c r="A33" s="1104"/>
      <c r="B33" s="1104"/>
      <c r="C33" s="2101"/>
      <c r="D33" s="2102"/>
      <c r="E33" s="1124" t="s">
        <v>96</v>
      </c>
      <c r="F33" s="1124" t="s">
        <v>66</v>
      </c>
      <c r="G33" s="1114"/>
      <c r="H33" s="1114"/>
      <c r="I33" s="1114"/>
      <c r="J33" s="1104"/>
      <c r="K33" s="350"/>
      <c r="L33" s="1107"/>
      <c r="M33" s="350"/>
      <c r="N33" s="350"/>
      <c r="O33" s="350"/>
      <c r="P33" s="350"/>
      <c r="Q33" s="350"/>
      <c r="R33" s="1106"/>
      <c r="W33" s="1105"/>
      <c r="X33" s="1105"/>
    </row>
    <row r="34" spans="1:24">
      <c r="C34" s="2103" t="s">
        <v>1566</v>
      </c>
      <c r="D34" s="2103"/>
      <c r="E34" s="1123">
        <v>56</v>
      </c>
      <c r="F34" s="1123">
        <v>59</v>
      </c>
      <c r="G34" s="1122"/>
      <c r="H34" s="1122"/>
      <c r="I34" s="1122"/>
      <c r="W34" s="1105"/>
      <c r="X34" s="1105"/>
    </row>
    <row r="35" spans="1:24" s="1115" customFormat="1" ht="14.7" customHeight="1">
      <c r="A35" s="1104"/>
      <c r="B35" s="1104"/>
      <c r="C35" s="2103" t="s">
        <v>1565</v>
      </c>
      <c r="D35" s="2103"/>
      <c r="E35" s="1123">
        <v>9</v>
      </c>
      <c r="F35" s="1123">
        <v>31</v>
      </c>
      <c r="G35" s="1122"/>
      <c r="H35" s="1122"/>
      <c r="I35" s="1122"/>
      <c r="J35" s="1104"/>
      <c r="K35" s="350"/>
      <c r="L35" s="1112"/>
      <c r="W35" s="1105"/>
      <c r="X35" s="1105"/>
    </row>
    <row r="36" spans="1:24" s="1115" customFormat="1" ht="14.7" customHeight="1">
      <c r="A36" s="1104"/>
      <c r="B36" s="1104"/>
      <c r="C36" s="2103" t="s">
        <v>1564</v>
      </c>
      <c r="D36" s="2103"/>
      <c r="E36" s="1123">
        <v>8</v>
      </c>
      <c r="F36" s="1123">
        <v>30.25</v>
      </c>
      <c r="G36" s="1122"/>
      <c r="H36" s="1122"/>
      <c r="I36" s="1122"/>
      <c r="J36" s="1104"/>
      <c r="K36" s="350"/>
      <c r="L36" s="1112"/>
      <c r="W36" s="1105"/>
      <c r="X36" s="1105"/>
    </row>
    <row r="37" spans="1:24" s="1115" customFormat="1">
      <c r="A37" s="1104"/>
      <c r="B37" s="1104"/>
      <c r="C37" s="2104" t="s">
        <v>1563</v>
      </c>
      <c r="D37" s="2104"/>
      <c r="E37" s="1119">
        <v>300000</v>
      </c>
      <c r="F37" s="1119">
        <v>100000</v>
      </c>
      <c r="G37" s="1121"/>
      <c r="H37" s="1120"/>
      <c r="I37" s="1120"/>
      <c r="J37" s="1104"/>
      <c r="K37" s="350"/>
      <c r="L37" s="1107"/>
      <c r="R37" s="1106"/>
      <c r="W37" s="1105"/>
      <c r="X37" s="1105"/>
    </row>
    <row r="38" spans="1:24" s="1115" customFormat="1">
      <c r="A38" s="1104"/>
      <c r="B38" s="1104"/>
      <c r="C38" s="2104" t="s">
        <v>1562</v>
      </c>
      <c r="D38" s="2104"/>
      <c r="E38" s="1119">
        <v>320000</v>
      </c>
      <c r="F38" s="1119">
        <v>98039</v>
      </c>
      <c r="G38" s="1120"/>
      <c r="H38" s="1120"/>
      <c r="I38" s="1120"/>
      <c r="J38" s="1104"/>
      <c r="K38" s="350"/>
      <c r="W38" s="1105"/>
      <c r="X38" s="1105"/>
    </row>
    <row r="39" spans="1:24" s="1115" customFormat="1">
      <c r="A39" s="1104"/>
      <c r="B39" s="1104"/>
      <c r="C39" s="2104" t="s">
        <v>1561</v>
      </c>
      <c r="D39" s="2104"/>
      <c r="E39" s="1119">
        <v>313725</v>
      </c>
      <c r="F39" s="1119">
        <v>96117</v>
      </c>
      <c r="G39" s="1120"/>
      <c r="H39" s="1120"/>
      <c r="I39" s="1120"/>
      <c r="J39" s="1104"/>
      <c r="K39" s="350"/>
      <c r="L39" s="1116"/>
      <c r="M39" s="350"/>
      <c r="N39" s="350"/>
      <c r="O39" s="350"/>
      <c r="P39" s="350"/>
      <c r="Q39" s="350"/>
      <c r="R39" s="1106"/>
      <c r="W39" s="1105"/>
      <c r="X39" s="1105"/>
    </row>
    <row r="40" spans="1:24" s="1115" customFormat="1">
      <c r="A40" s="1104"/>
      <c r="B40" s="1104"/>
      <c r="C40" s="2105" t="s">
        <v>1560</v>
      </c>
      <c r="D40" s="2105"/>
      <c r="E40" s="1119">
        <v>307574</v>
      </c>
      <c r="F40" s="1119">
        <v>94232</v>
      </c>
      <c r="G40" s="1114"/>
      <c r="H40" s="1114"/>
      <c r="I40" s="1114"/>
      <c r="J40" s="1104"/>
      <c r="K40" s="350"/>
      <c r="L40" s="1112"/>
      <c r="R40" s="1106"/>
      <c r="W40" s="1105"/>
      <c r="X40" s="1105"/>
    </row>
    <row r="41" spans="1:24" s="1115" customFormat="1">
      <c r="A41" s="1104"/>
      <c r="B41" s="1104"/>
      <c r="C41" s="2094" t="s">
        <v>1559</v>
      </c>
      <c r="D41" s="2094"/>
      <c r="E41" s="1119">
        <v>301543</v>
      </c>
      <c r="F41" s="1119">
        <v>92385</v>
      </c>
      <c r="G41" s="1117"/>
      <c r="H41" s="1117"/>
      <c r="I41" s="1117"/>
      <c r="J41" s="1104"/>
      <c r="K41" s="350"/>
      <c r="L41" s="1107"/>
      <c r="R41" s="1106"/>
      <c r="W41" s="1105"/>
      <c r="X41" s="1105"/>
    </row>
    <row r="42" spans="1:24" s="1115" customFormat="1">
      <c r="A42" s="1104"/>
      <c r="B42" s="1104"/>
      <c r="C42" s="2094" t="s">
        <v>1558</v>
      </c>
      <c r="D42" s="2094"/>
      <c r="E42" s="1119">
        <v>295631</v>
      </c>
      <c r="F42" s="1119">
        <v>90573</v>
      </c>
      <c r="G42" s="1117"/>
      <c r="H42" s="1117"/>
      <c r="I42" s="1117"/>
      <c r="J42" s="1104"/>
      <c r="K42" s="350"/>
      <c r="L42" s="1107"/>
      <c r="R42" s="1106"/>
      <c r="W42" s="1105"/>
      <c r="X42" s="1105"/>
    </row>
    <row r="43" spans="1:24" s="1115" customFormat="1">
      <c r="A43" s="1104"/>
      <c r="B43" s="1104"/>
      <c r="C43" s="2094" t="s">
        <v>1557</v>
      </c>
      <c r="D43" s="2094"/>
      <c r="E43" s="1118">
        <v>18.3</v>
      </c>
      <c r="F43" s="1118">
        <v>17.399999999999999</v>
      </c>
      <c r="G43" s="1117"/>
      <c r="H43" s="1117"/>
      <c r="I43" s="1117"/>
      <c r="J43" s="1104"/>
      <c r="K43" s="350"/>
      <c r="L43" s="350"/>
      <c r="W43" s="1105"/>
      <c r="X43" s="1105"/>
    </row>
    <row r="44" spans="1:24">
      <c r="C44" s="2094" t="s">
        <v>1556</v>
      </c>
      <c r="D44" s="2094"/>
      <c r="E44" s="1118">
        <v>10.7</v>
      </c>
      <c r="F44" s="1118">
        <v>12</v>
      </c>
      <c r="G44" s="1117"/>
      <c r="H44" s="1117"/>
      <c r="I44" s="1117"/>
      <c r="L44" s="1112"/>
      <c r="W44" s="1105"/>
      <c r="X44" s="1105"/>
    </row>
    <row r="45" spans="1:24">
      <c r="C45" s="1114"/>
      <c r="D45" s="1114"/>
      <c r="E45" s="1114"/>
      <c r="F45" s="1114"/>
      <c r="G45" s="1114"/>
      <c r="H45" s="1114"/>
      <c r="I45" s="1114"/>
      <c r="L45" s="1107"/>
      <c r="R45" s="1106"/>
      <c r="W45" s="1105"/>
      <c r="X45" s="1105"/>
    </row>
    <row r="46" spans="1:24">
      <c r="B46" s="1114" t="s">
        <v>26</v>
      </c>
      <c r="C46" s="1113" t="s">
        <v>71</v>
      </c>
      <c r="D46" s="2093" t="s">
        <v>1555</v>
      </c>
      <c r="E46" s="2093"/>
      <c r="F46" s="2093"/>
      <c r="G46" s="2093"/>
      <c r="H46" s="2093"/>
      <c r="I46" s="2093"/>
      <c r="L46" s="1107"/>
      <c r="R46" s="1106"/>
      <c r="W46" s="1105"/>
      <c r="X46" s="1105"/>
    </row>
    <row r="47" spans="1:24">
      <c r="L47" s="1115"/>
      <c r="R47" s="1106"/>
      <c r="W47" s="1105"/>
      <c r="X47" s="1105"/>
    </row>
    <row r="48" spans="1:24">
      <c r="C48" s="2095" t="s">
        <v>29</v>
      </c>
      <c r="D48" s="2096"/>
      <c r="E48" s="2096"/>
      <c r="F48" s="2096"/>
      <c r="G48" s="2096"/>
      <c r="H48" s="2096"/>
      <c r="I48" s="2097"/>
      <c r="L48" s="1116"/>
      <c r="R48" s="1106"/>
      <c r="W48" s="1105"/>
      <c r="X48" s="1105"/>
    </row>
    <row r="49" spans="2:24">
      <c r="C49" s="2098"/>
      <c r="D49" s="2099"/>
      <c r="E49" s="2099"/>
      <c r="F49" s="2099"/>
      <c r="G49" s="2099"/>
      <c r="H49" s="2099"/>
      <c r="I49" s="2100"/>
      <c r="L49" s="1112"/>
      <c r="M49" s="1115"/>
      <c r="R49" s="1106"/>
      <c r="W49" s="1105"/>
      <c r="X49" s="1105"/>
    </row>
    <row r="50" spans="2:24">
      <c r="L50" s="1107"/>
      <c r="M50" s="1115"/>
      <c r="R50" s="1106"/>
      <c r="W50" s="1105"/>
      <c r="X50" s="1105"/>
    </row>
    <row r="51" spans="2:24">
      <c r="B51" s="1114" t="s">
        <v>34</v>
      </c>
      <c r="C51" s="1113" t="s">
        <v>1491</v>
      </c>
      <c r="D51" s="2093" t="s">
        <v>1554</v>
      </c>
      <c r="E51" s="2093"/>
      <c r="F51" s="2093"/>
      <c r="G51" s="2093"/>
      <c r="H51" s="2093"/>
      <c r="I51" s="2093"/>
      <c r="L51" s="1107"/>
      <c r="M51" s="1115"/>
      <c r="R51" s="1106"/>
      <c r="W51" s="1105"/>
      <c r="X51" s="1105"/>
    </row>
    <row r="52" spans="2:24">
      <c r="M52" s="1115"/>
      <c r="R52" s="1106"/>
      <c r="W52" s="1105"/>
      <c r="X52" s="1105"/>
    </row>
    <row r="53" spans="2:24">
      <c r="C53" s="2095" t="s">
        <v>29</v>
      </c>
      <c r="D53" s="2096"/>
      <c r="E53" s="2096"/>
      <c r="F53" s="2096"/>
      <c r="G53" s="2096"/>
      <c r="H53" s="2096"/>
      <c r="I53" s="2097"/>
      <c r="L53" s="1112"/>
      <c r="M53" s="1115"/>
      <c r="R53" s="1106"/>
      <c r="W53" s="1105"/>
      <c r="X53" s="1105"/>
    </row>
    <row r="54" spans="2:24">
      <c r="C54" s="2098"/>
      <c r="D54" s="2099"/>
      <c r="E54" s="2099"/>
      <c r="F54" s="2099"/>
      <c r="G54" s="2099"/>
      <c r="H54" s="2099"/>
      <c r="I54" s="2100"/>
      <c r="L54" s="1107"/>
      <c r="M54" s="1115"/>
      <c r="R54" s="1106"/>
      <c r="W54" s="1105"/>
      <c r="X54" s="1105"/>
    </row>
    <row r="55" spans="2:24">
      <c r="L55" s="1107"/>
      <c r="R55" s="1106"/>
      <c r="W55" s="1105"/>
      <c r="X55" s="1105"/>
    </row>
    <row r="56" spans="2:24">
      <c r="B56" s="1114" t="s">
        <v>38</v>
      </c>
      <c r="C56" s="1113" t="s">
        <v>1553</v>
      </c>
      <c r="D56" s="2093" t="s">
        <v>1552</v>
      </c>
      <c r="E56" s="2093"/>
      <c r="F56" s="2093"/>
      <c r="G56" s="2093"/>
      <c r="H56" s="2093"/>
      <c r="I56" s="2093"/>
      <c r="R56" s="1106"/>
      <c r="W56" s="1105"/>
      <c r="X56" s="1105"/>
    </row>
    <row r="57" spans="2:24">
      <c r="W57" s="1105"/>
      <c r="X57" s="1111"/>
    </row>
    <row r="58" spans="2:24">
      <c r="C58" s="2095" t="s">
        <v>29</v>
      </c>
      <c r="D58" s="2096"/>
      <c r="E58" s="2096"/>
      <c r="F58" s="2096"/>
      <c r="G58" s="2096"/>
      <c r="H58" s="2096"/>
      <c r="I58" s="2097"/>
      <c r="K58" s="1105"/>
      <c r="L58" s="1105"/>
      <c r="M58" s="1109"/>
      <c r="N58" s="1109"/>
      <c r="O58" s="1109"/>
      <c r="P58" s="1109"/>
      <c r="V58" s="1105"/>
      <c r="W58" s="1105"/>
      <c r="X58" s="1105"/>
    </row>
    <row r="59" spans="2:24">
      <c r="C59" s="2098"/>
      <c r="D59" s="2099"/>
      <c r="E59" s="2099"/>
      <c r="F59" s="2099"/>
      <c r="G59" s="2099"/>
      <c r="H59" s="2099"/>
      <c r="I59" s="2100"/>
      <c r="W59" s="1105"/>
      <c r="X59" s="1105"/>
    </row>
    <row r="60" spans="2:24">
      <c r="L60" s="1107"/>
    </row>
    <row r="61" spans="2:24">
      <c r="L61" s="1112"/>
    </row>
    <row r="62" spans="2:24">
      <c r="L62" s="1107"/>
      <c r="R62" s="1106"/>
      <c r="X62" s="1105"/>
    </row>
    <row r="63" spans="2:24">
      <c r="L63" s="1107"/>
      <c r="R63" s="1106"/>
      <c r="X63" s="1105"/>
    </row>
    <row r="65" spans="11:24">
      <c r="L65" s="1112"/>
    </row>
    <row r="66" spans="11:24">
      <c r="L66" s="1107"/>
      <c r="R66" s="1106"/>
      <c r="X66" s="1105"/>
    </row>
    <row r="67" spans="11:24">
      <c r="L67" s="1107"/>
      <c r="R67" s="1106"/>
      <c r="X67" s="1105"/>
    </row>
    <row r="68" spans="11:24">
      <c r="L68" s="1112"/>
    </row>
    <row r="69" spans="11:24">
      <c r="L69" s="1112"/>
    </row>
    <row r="70" spans="11:24">
      <c r="X70" s="1111"/>
    </row>
    <row r="71" spans="11:24">
      <c r="K71" s="1110"/>
      <c r="L71" s="1105"/>
      <c r="M71" s="1109"/>
      <c r="V71" s="1105"/>
      <c r="W71" s="1105"/>
      <c r="X71" s="1105"/>
    </row>
    <row r="73" spans="11:24">
      <c r="L73" s="1107"/>
      <c r="R73" s="1106"/>
      <c r="S73" s="1108"/>
      <c r="X73" s="1105"/>
    </row>
    <row r="74" spans="11:24">
      <c r="L74" s="1107"/>
      <c r="R74" s="1106"/>
      <c r="X74" s="1105"/>
    </row>
    <row r="75" spans="11:24">
      <c r="L75" s="1107"/>
      <c r="R75" s="1106"/>
      <c r="X75" s="1105"/>
    </row>
    <row r="78" spans="11:24">
      <c r="K78" s="1105"/>
    </row>
  </sheetData>
  <mergeCells count="39">
    <mergeCell ref="C9:D10"/>
    <mergeCell ref="E9:H10"/>
    <mergeCell ref="C11:D12"/>
    <mergeCell ref="E11:H12"/>
    <mergeCell ref="C13:D14"/>
    <mergeCell ref="E13:H14"/>
    <mergeCell ref="C15:D16"/>
    <mergeCell ref="E15:H16"/>
    <mergeCell ref="C17:D17"/>
    <mergeCell ref="E17:H17"/>
    <mergeCell ref="C18:D18"/>
    <mergeCell ref="E18:H18"/>
    <mergeCell ref="C38:D38"/>
    <mergeCell ref="C19:D19"/>
    <mergeCell ref="E19:H19"/>
    <mergeCell ref="C20:D20"/>
    <mergeCell ref="E20:H20"/>
    <mergeCell ref="C22:C24"/>
    <mergeCell ref="D22:D24"/>
    <mergeCell ref="E22:E24"/>
    <mergeCell ref="F22:F24"/>
    <mergeCell ref="G22:G24"/>
    <mergeCell ref="C58:I59"/>
    <mergeCell ref="C39:D39"/>
    <mergeCell ref="C40:D40"/>
    <mergeCell ref="C41:D41"/>
    <mergeCell ref="C42:D42"/>
    <mergeCell ref="C33:D33"/>
    <mergeCell ref="C34:D34"/>
    <mergeCell ref="C35:D35"/>
    <mergeCell ref="C36:D36"/>
    <mergeCell ref="C37:D37"/>
    <mergeCell ref="D56:I56"/>
    <mergeCell ref="C43:D43"/>
    <mergeCell ref="C44:D44"/>
    <mergeCell ref="D46:I46"/>
    <mergeCell ref="C48:I49"/>
    <mergeCell ref="D51:I51"/>
    <mergeCell ref="C53:I54"/>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F3608-7675-46D1-B4EA-C4B1415873AA}">
  <dimension ref="A1:Y2211"/>
  <sheetViews>
    <sheetView zoomScaleNormal="100" workbookViewId="0">
      <selection activeCell="Q1" sqref="Q1"/>
    </sheetView>
  </sheetViews>
  <sheetFormatPr defaultColWidth="8.6640625" defaultRowHeight="15.6"/>
  <cols>
    <col min="1" max="1" width="11.109375" style="871" customWidth="1"/>
    <col min="2" max="3" width="22.33203125" style="2" customWidth="1"/>
    <col min="4" max="4" width="26.5546875" style="2" customWidth="1"/>
    <col min="5" max="5" width="8.6640625" style="2"/>
    <col min="6" max="6" width="9.33203125" style="2" customWidth="1"/>
    <col min="7" max="7" width="23.5546875" style="2" customWidth="1"/>
    <col min="8" max="8" width="14.88671875" style="2" customWidth="1"/>
    <col min="9" max="9" width="15.33203125" style="2" customWidth="1"/>
    <col min="10" max="11" width="0.109375" style="871" customWidth="1"/>
    <col min="12" max="12" width="4.6640625" style="871" customWidth="1"/>
    <col min="13" max="16384" width="8.6640625" style="871"/>
  </cols>
  <sheetData>
    <row r="1" spans="1:25">
      <c r="A1" s="1" t="s">
        <v>1066</v>
      </c>
      <c r="D1" s="2" t="s">
        <v>1186</v>
      </c>
      <c r="M1" s="3" t="s">
        <v>1066</v>
      </c>
    </row>
    <row r="2" spans="1:25">
      <c r="A2" s="1" t="s">
        <v>273</v>
      </c>
      <c r="M2" s="3" t="s">
        <v>273</v>
      </c>
    </row>
    <row r="3" spans="1:25">
      <c r="A3" s="5"/>
      <c r="M3" s="3"/>
    </row>
    <row r="4" spans="1:25">
      <c r="A4" s="5" t="s">
        <v>202</v>
      </c>
      <c r="B4" s="2" t="s">
        <v>1596</v>
      </c>
      <c r="M4" s="3" t="s">
        <v>2</v>
      </c>
    </row>
    <row r="5" spans="1:25">
      <c r="A5" s="5"/>
      <c r="B5" s="2" t="s">
        <v>1595</v>
      </c>
      <c r="L5" s="872"/>
      <c r="M5" s="872"/>
      <c r="N5" s="872"/>
      <c r="O5" s="872"/>
      <c r="P5" s="872"/>
      <c r="Q5" s="872"/>
      <c r="R5" s="872"/>
      <c r="S5" s="872"/>
      <c r="T5" s="872"/>
      <c r="U5" s="872"/>
      <c r="V5" s="872"/>
      <c r="W5" s="872"/>
      <c r="X5" s="872"/>
      <c r="Y5" s="872"/>
    </row>
    <row r="6" spans="1:25">
      <c r="A6" s="5"/>
      <c r="B6" s="2" t="s">
        <v>1594</v>
      </c>
      <c r="L6" s="872"/>
      <c r="M6" s="872"/>
      <c r="N6" s="872"/>
      <c r="O6" s="872"/>
      <c r="P6" s="872"/>
      <c r="Q6" s="872"/>
      <c r="R6" s="872"/>
      <c r="S6" s="872"/>
      <c r="T6" s="872"/>
      <c r="U6" s="872"/>
      <c r="V6" s="872"/>
      <c r="W6" s="872"/>
      <c r="X6" s="872"/>
      <c r="Y6" s="872"/>
    </row>
    <row r="7" spans="1:25">
      <c r="A7" s="5"/>
      <c r="L7" s="872"/>
      <c r="M7" s="872"/>
      <c r="N7" s="872"/>
      <c r="O7" s="872"/>
      <c r="P7" s="872"/>
      <c r="Q7" s="872"/>
      <c r="R7" s="872"/>
      <c r="S7" s="872"/>
      <c r="T7" s="872"/>
      <c r="U7" s="872"/>
      <c r="V7" s="872"/>
      <c r="W7" s="872"/>
      <c r="X7" s="872"/>
      <c r="Y7" s="872"/>
    </row>
    <row r="8" spans="1:25">
      <c r="A8" s="5"/>
      <c r="B8" s="2" t="s">
        <v>1593</v>
      </c>
      <c r="L8" s="872"/>
      <c r="M8" s="872"/>
      <c r="N8" s="872"/>
      <c r="O8" s="872"/>
      <c r="P8" s="872"/>
      <c r="Q8" s="872"/>
      <c r="R8" s="872"/>
      <c r="S8" s="872"/>
      <c r="T8" s="872"/>
      <c r="U8" s="872"/>
      <c r="V8" s="872"/>
      <c r="W8" s="872"/>
      <c r="X8" s="872"/>
      <c r="Y8" s="872"/>
    </row>
    <row r="9" spans="1:25">
      <c r="A9" s="5"/>
      <c r="B9" s="2" t="s">
        <v>1592</v>
      </c>
      <c r="L9" s="872"/>
      <c r="M9" s="872"/>
      <c r="N9" s="872"/>
      <c r="O9" s="872"/>
      <c r="P9" s="872"/>
      <c r="Q9" s="872"/>
      <c r="R9" s="872"/>
      <c r="S9" s="872"/>
      <c r="T9" s="872"/>
      <c r="U9" s="872"/>
      <c r="V9" s="872"/>
      <c r="W9" s="872"/>
      <c r="X9" s="872"/>
      <c r="Y9" s="872"/>
    </row>
    <row r="10" spans="1:25">
      <c r="A10" s="5"/>
      <c r="L10" s="872"/>
      <c r="M10" s="872"/>
      <c r="N10" s="872"/>
      <c r="O10" s="872"/>
      <c r="P10" s="872"/>
      <c r="Q10" s="872"/>
      <c r="R10" s="872"/>
      <c r="S10" s="872"/>
      <c r="T10" s="872"/>
      <c r="U10" s="872"/>
      <c r="V10" s="872"/>
      <c r="W10" s="872"/>
      <c r="X10" s="872"/>
      <c r="Y10" s="872"/>
    </row>
    <row r="11" spans="1:25">
      <c r="A11" s="5"/>
      <c r="B11" s="2" t="s">
        <v>1591</v>
      </c>
      <c r="L11" s="872"/>
      <c r="M11" s="872"/>
      <c r="N11" s="872"/>
      <c r="O11" s="872"/>
      <c r="P11" s="872"/>
      <c r="Q11" s="872"/>
      <c r="R11" s="872"/>
      <c r="S11" s="872"/>
      <c r="T11" s="872"/>
      <c r="U11" s="872"/>
      <c r="V11" s="872"/>
      <c r="W11" s="872"/>
      <c r="X11" s="872"/>
      <c r="Y11" s="872"/>
    </row>
    <row r="12" spans="1:25">
      <c r="A12" s="5"/>
      <c r="L12" s="872"/>
      <c r="M12" s="872"/>
      <c r="N12" s="872"/>
      <c r="O12" s="872"/>
      <c r="P12" s="872"/>
      <c r="Q12" s="872"/>
      <c r="R12" s="872"/>
      <c r="S12" s="872"/>
      <c r="T12" s="872"/>
      <c r="U12" s="872"/>
      <c r="V12" s="872"/>
      <c r="W12" s="872"/>
      <c r="X12" s="872"/>
      <c r="Y12" s="872"/>
    </row>
    <row r="13" spans="1:25">
      <c r="A13" s="5"/>
      <c r="B13" s="151"/>
      <c r="C13" s="151" t="s">
        <v>1590</v>
      </c>
      <c r="D13" s="151" t="s">
        <v>1589</v>
      </c>
      <c r="L13" s="872"/>
      <c r="M13" s="872"/>
      <c r="N13" s="872"/>
      <c r="O13" s="872"/>
      <c r="P13" s="872"/>
      <c r="Q13" s="872"/>
      <c r="R13" s="872"/>
      <c r="S13" s="872"/>
      <c r="T13" s="872"/>
      <c r="U13" s="872"/>
      <c r="V13" s="872"/>
      <c r="W13" s="872"/>
      <c r="X13" s="872"/>
      <c r="Y13" s="872"/>
    </row>
    <row r="14" spans="1:25">
      <c r="A14" s="5"/>
      <c r="B14" s="151" t="s">
        <v>739</v>
      </c>
      <c r="C14" s="1148">
        <v>800000</v>
      </c>
      <c r="D14" s="1148">
        <v>90000</v>
      </c>
      <c r="L14" s="872"/>
      <c r="M14" s="872"/>
      <c r="N14" s="872"/>
      <c r="O14" s="872"/>
      <c r="P14" s="872"/>
      <c r="Q14" s="872"/>
      <c r="R14" s="872"/>
      <c r="S14" s="872"/>
      <c r="T14" s="872"/>
      <c r="U14" s="872"/>
      <c r="V14" s="872"/>
      <c r="W14" s="872"/>
      <c r="X14" s="872"/>
      <c r="Y14" s="872"/>
    </row>
    <row r="15" spans="1:25">
      <c r="A15" s="5"/>
      <c r="B15" s="153" t="s">
        <v>969</v>
      </c>
      <c r="C15" s="1148">
        <v>1000000</v>
      </c>
      <c r="D15" s="1148">
        <v>100000</v>
      </c>
      <c r="L15" s="872"/>
      <c r="M15" s="872"/>
      <c r="N15" s="872"/>
      <c r="O15" s="872"/>
      <c r="P15" s="872"/>
      <c r="Q15" s="872"/>
      <c r="R15" s="872"/>
      <c r="S15" s="872"/>
      <c r="T15" s="872"/>
      <c r="U15" s="872"/>
      <c r="V15" s="872"/>
      <c r="W15" s="872"/>
      <c r="X15" s="872"/>
      <c r="Y15" s="872"/>
    </row>
    <row r="16" spans="1:25">
      <c r="A16" s="5"/>
      <c r="B16" s="1136"/>
      <c r="C16" s="1136"/>
      <c r="D16" s="1136"/>
      <c r="E16" s="1136"/>
      <c r="F16" s="1136"/>
      <c r="G16" s="1136"/>
      <c r="H16" s="1136"/>
      <c r="I16" s="1136"/>
      <c r="L16" s="872"/>
      <c r="M16" s="872"/>
      <c r="N16" s="872"/>
      <c r="O16" s="872"/>
      <c r="P16" s="872"/>
      <c r="Q16" s="872"/>
      <c r="R16" s="872"/>
      <c r="S16" s="872"/>
      <c r="T16" s="872"/>
      <c r="U16" s="872"/>
      <c r="V16" s="872"/>
      <c r="W16" s="872"/>
      <c r="X16" s="872"/>
      <c r="Y16" s="872"/>
    </row>
    <row r="17" spans="1:25" s="1134" customFormat="1">
      <c r="A17" s="1137"/>
      <c r="B17" s="1136"/>
      <c r="C17" s="1136"/>
      <c r="D17" s="1136"/>
      <c r="E17" s="1136"/>
      <c r="F17" s="1136"/>
      <c r="G17" s="1136"/>
      <c r="H17" s="1136"/>
      <c r="I17" s="1136"/>
      <c r="L17" s="1135"/>
      <c r="M17" s="1135"/>
      <c r="N17" s="1135"/>
      <c r="O17" s="1135"/>
      <c r="P17" s="1135"/>
      <c r="Q17" s="1135"/>
      <c r="R17" s="1135"/>
      <c r="S17" s="1135"/>
      <c r="T17" s="1135"/>
      <c r="U17" s="1135"/>
      <c r="V17" s="1135"/>
      <c r="W17" s="1135"/>
      <c r="X17" s="1135"/>
      <c r="Y17" s="1135"/>
    </row>
    <row r="18" spans="1:25" s="1134" customFormat="1">
      <c r="A18" s="1137"/>
      <c r="B18" s="2" t="s">
        <v>1588</v>
      </c>
      <c r="C18" s="2"/>
      <c r="D18" s="1136"/>
      <c r="E18" s="1136"/>
      <c r="F18" s="1136"/>
      <c r="G18" s="1136"/>
      <c r="H18" s="1136"/>
      <c r="I18" s="1136"/>
      <c r="L18" s="1135"/>
      <c r="M18" s="1135"/>
      <c r="N18" s="1135"/>
      <c r="O18" s="1135"/>
      <c r="P18" s="1135"/>
      <c r="Q18" s="1135"/>
      <c r="R18" s="1135"/>
      <c r="S18" s="1135"/>
      <c r="T18" s="1135"/>
      <c r="U18" s="1135"/>
      <c r="V18" s="1135"/>
      <c r="W18" s="1135"/>
      <c r="X18" s="1135"/>
      <c r="Y18" s="1135"/>
    </row>
    <row r="19" spans="1:25" s="1134" customFormat="1">
      <c r="A19" s="1137"/>
      <c r="B19" s="2"/>
      <c r="C19" s="2"/>
      <c r="D19" s="1136"/>
      <c r="E19" s="1136"/>
      <c r="F19" s="1136"/>
      <c r="G19" s="1136"/>
      <c r="H19" s="1136"/>
      <c r="I19" s="1136"/>
      <c r="L19" s="1135"/>
      <c r="M19" s="1135"/>
      <c r="N19" s="1135"/>
      <c r="O19" s="1135"/>
      <c r="P19" s="1135"/>
      <c r="Q19" s="1135"/>
      <c r="R19" s="1135"/>
      <c r="S19" s="1135"/>
      <c r="T19" s="1135"/>
      <c r="U19" s="1135"/>
      <c r="V19" s="1135"/>
      <c r="W19" s="1135"/>
      <c r="X19" s="1135"/>
      <c r="Y19" s="1135"/>
    </row>
    <row r="20" spans="1:25" s="1134" customFormat="1">
      <c r="A20" s="1137"/>
      <c r="B20" s="221" t="s">
        <v>1156</v>
      </c>
      <c r="C20" s="1140"/>
      <c r="D20" s="1139"/>
      <c r="E20" s="1139"/>
      <c r="F20" s="1139"/>
      <c r="G20" s="1139"/>
      <c r="H20" s="1138"/>
      <c r="I20" s="1136"/>
      <c r="L20" s="1135"/>
      <c r="M20" s="1135"/>
      <c r="N20" s="1135"/>
      <c r="O20" s="1135"/>
      <c r="P20" s="1135"/>
      <c r="Q20" s="1135"/>
      <c r="R20" s="1135"/>
      <c r="S20" s="1135"/>
      <c r="T20" s="1135"/>
      <c r="U20" s="1135"/>
      <c r="V20" s="1135"/>
      <c r="W20" s="1135"/>
      <c r="X20" s="1135"/>
      <c r="Y20" s="1135"/>
    </row>
    <row r="21" spans="1:25" s="1134" customFormat="1">
      <c r="A21" s="1137"/>
      <c r="B21" s="2"/>
      <c r="C21" s="2"/>
      <c r="D21" s="1136"/>
      <c r="E21" s="1136"/>
      <c r="F21" s="1136"/>
      <c r="G21" s="1136"/>
      <c r="H21" s="1136"/>
      <c r="I21" s="1136"/>
      <c r="L21" s="1135"/>
      <c r="M21" s="1135"/>
      <c r="N21" s="1135"/>
      <c r="O21" s="1135"/>
      <c r="P21" s="1135"/>
      <c r="Q21" s="1135"/>
      <c r="R21" s="1135"/>
      <c r="S21" s="1135"/>
      <c r="T21" s="1135"/>
      <c r="U21" s="1135"/>
      <c r="V21" s="1135"/>
      <c r="W21" s="1135"/>
      <c r="X21" s="1135"/>
      <c r="Y21" s="1135"/>
    </row>
    <row r="22" spans="1:25" s="1134" customFormat="1">
      <c r="A22" s="1137"/>
      <c r="B22" s="2" t="s">
        <v>1587</v>
      </c>
      <c r="C22" s="2"/>
      <c r="D22" s="1136"/>
      <c r="E22" s="1136"/>
      <c r="F22" s="1136"/>
      <c r="G22" s="1136"/>
      <c r="H22" s="1136"/>
      <c r="I22" s="1136"/>
      <c r="L22" s="1135"/>
      <c r="M22" s="1135"/>
      <c r="N22" s="1135"/>
      <c r="O22" s="1135"/>
      <c r="P22" s="1135"/>
      <c r="Q22" s="1135"/>
      <c r="R22" s="1135"/>
      <c r="S22" s="1135"/>
      <c r="T22" s="1135"/>
      <c r="U22" s="1135"/>
      <c r="V22" s="1135"/>
      <c r="W22" s="1135"/>
      <c r="X22" s="1135"/>
      <c r="Y22" s="1135"/>
    </row>
    <row r="23" spans="1:25" s="1134" customFormat="1">
      <c r="A23" s="1137"/>
      <c r="B23" s="2"/>
      <c r="C23" s="2"/>
      <c r="D23" s="1136"/>
      <c r="E23" s="1136"/>
      <c r="F23" s="1136"/>
      <c r="G23" s="1136"/>
      <c r="H23" s="1136"/>
      <c r="I23" s="1136"/>
      <c r="L23" s="1135"/>
      <c r="M23" s="1135"/>
      <c r="N23" s="1135"/>
      <c r="O23" s="1135"/>
      <c r="P23" s="1135"/>
      <c r="Q23" s="1135"/>
      <c r="R23" s="1135"/>
      <c r="S23" s="1135"/>
      <c r="T23" s="1135"/>
      <c r="U23" s="1135"/>
      <c r="V23" s="1135"/>
      <c r="W23" s="1135"/>
      <c r="X23" s="1135"/>
      <c r="Y23" s="1135"/>
    </row>
    <row r="24" spans="1:25" s="1134" customFormat="1">
      <c r="A24" s="1137"/>
      <c r="B24" s="1147" t="s">
        <v>29</v>
      </c>
      <c r="C24" s="1146"/>
      <c r="D24" s="1145"/>
      <c r="E24" s="1145"/>
      <c r="F24" s="1145"/>
      <c r="G24" s="1145"/>
      <c r="H24" s="1144"/>
      <c r="I24" s="1136"/>
      <c r="L24" s="1135"/>
      <c r="M24" s="1135"/>
      <c r="N24" s="1135"/>
      <c r="O24" s="1135"/>
      <c r="P24" s="1135"/>
      <c r="Q24" s="1135"/>
      <c r="R24" s="1135"/>
      <c r="S24" s="1135"/>
      <c r="T24" s="1135"/>
      <c r="U24" s="1135"/>
      <c r="V24" s="1135"/>
      <c r="W24" s="1135"/>
      <c r="X24" s="1135"/>
      <c r="Y24" s="1135"/>
    </row>
    <row r="25" spans="1:25" s="1134" customFormat="1">
      <c r="A25" s="1137"/>
      <c r="B25" s="58"/>
      <c r="C25" s="1143"/>
      <c r="D25" s="1142"/>
      <c r="E25" s="1142"/>
      <c r="F25" s="1142"/>
      <c r="G25" s="1142"/>
      <c r="H25" s="1141"/>
      <c r="I25" s="1136"/>
      <c r="L25" s="1135"/>
      <c r="M25" s="1135"/>
      <c r="N25" s="1135"/>
      <c r="O25" s="1135"/>
      <c r="P25" s="1135"/>
      <c r="Q25" s="1135"/>
      <c r="R25" s="1135"/>
      <c r="S25" s="1135"/>
      <c r="T25" s="1135"/>
      <c r="U25" s="1135"/>
      <c r="V25" s="1135"/>
      <c r="W25" s="1135"/>
      <c r="X25" s="1135"/>
      <c r="Y25" s="1135"/>
    </row>
    <row r="26" spans="1:25" s="1134" customFormat="1">
      <c r="A26" s="1137"/>
      <c r="B26" s="2"/>
      <c r="C26" s="2"/>
      <c r="D26" s="1136"/>
      <c r="E26" s="1136"/>
      <c r="F26" s="1136"/>
      <c r="G26" s="1136"/>
      <c r="H26" s="1136"/>
      <c r="I26" s="1136"/>
      <c r="L26" s="1135"/>
      <c r="M26" s="1135"/>
      <c r="N26" s="1135"/>
      <c r="O26" s="1135"/>
      <c r="P26" s="1135"/>
      <c r="Q26" s="1135"/>
      <c r="R26" s="1135"/>
      <c r="S26" s="1135"/>
      <c r="T26" s="1135"/>
      <c r="U26" s="1135"/>
      <c r="V26" s="1135"/>
      <c r="W26" s="1135"/>
      <c r="X26" s="1135"/>
      <c r="Y26" s="1135"/>
    </row>
    <row r="27" spans="1:25" s="1134" customFormat="1">
      <c r="A27" s="1137"/>
      <c r="B27" s="2" t="s">
        <v>1586</v>
      </c>
      <c r="C27" s="2"/>
      <c r="D27" s="1136"/>
      <c r="E27" s="1136"/>
      <c r="F27" s="1136"/>
      <c r="G27" s="1136"/>
      <c r="H27" s="1136"/>
      <c r="I27" s="1136"/>
      <c r="L27" s="1135"/>
      <c r="M27" s="1135"/>
      <c r="N27" s="1135"/>
      <c r="O27" s="1135"/>
      <c r="P27" s="1135"/>
      <c r="Q27" s="1135"/>
      <c r="R27" s="1135"/>
      <c r="S27" s="1135"/>
      <c r="T27" s="1135"/>
      <c r="U27" s="1135"/>
      <c r="V27" s="1135"/>
      <c r="W27" s="1135"/>
      <c r="X27" s="1135"/>
      <c r="Y27" s="1135"/>
    </row>
    <row r="28" spans="1:25" s="1134" customFormat="1">
      <c r="A28" s="1137"/>
      <c r="B28" s="2" t="s">
        <v>1585</v>
      </c>
      <c r="C28" s="2"/>
      <c r="D28" s="1136"/>
      <c r="E28" s="1136"/>
      <c r="F28" s="1136"/>
      <c r="G28" s="1136"/>
      <c r="H28" s="1136"/>
      <c r="I28" s="1136"/>
      <c r="L28" s="1135"/>
      <c r="M28" s="1135"/>
      <c r="N28" s="1135"/>
      <c r="O28" s="1135"/>
      <c r="P28" s="1135"/>
      <c r="Q28" s="1135"/>
      <c r="R28" s="1135"/>
      <c r="S28" s="1135"/>
      <c r="T28" s="1135"/>
      <c r="U28" s="1135"/>
      <c r="V28" s="1135"/>
      <c r="W28" s="1135"/>
      <c r="X28" s="1135"/>
      <c r="Y28" s="1135"/>
    </row>
    <row r="29" spans="1:25" s="1134" customFormat="1">
      <c r="A29" s="1137"/>
      <c r="B29" s="2"/>
      <c r="C29" s="2"/>
      <c r="D29" s="1136"/>
      <c r="E29" s="1136"/>
      <c r="F29" s="1136"/>
      <c r="G29" s="1136"/>
      <c r="H29" s="1136"/>
      <c r="I29" s="1136"/>
      <c r="L29" s="1135"/>
      <c r="M29" s="1135"/>
      <c r="N29" s="1135"/>
      <c r="O29" s="1135"/>
      <c r="P29" s="1135"/>
      <c r="Q29" s="1135"/>
      <c r="R29" s="1135"/>
      <c r="S29" s="1135"/>
      <c r="T29" s="1135"/>
      <c r="U29" s="1135"/>
      <c r="V29" s="1135"/>
      <c r="W29" s="1135"/>
      <c r="X29" s="1135"/>
      <c r="Y29" s="1135"/>
    </row>
    <row r="30" spans="1:25" s="1134" customFormat="1">
      <c r="A30" s="1137"/>
      <c r="B30" s="221" t="s">
        <v>1156</v>
      </c>
      <c r="C30" s="1140"/>
      <c r="D30" s="1139"/>
      <c r="E30" s="1139"/>
      <c r="F30" s="1139"/>
      <c r="G30" s="1139"/>
      <c r="H30" s="1138"/>
      <c r="I30" s="1136"/>
      <c r="L30" s="1135"/>
      <c r="M30" s="1135"/>
      <c r="N30" s="1135"/>
      <c r="O30" s="1135"/>
      <c r="P30" s="1135"/>
      <c r="Q30" s="1135"/>
      <c r="R30" s="1135"/>
      <c r="S30" s="1135"/>
      <c r="T30" s="1135"/>
      <c r="U30" s="1135"/>
      <c r="V30" s="1135"/>
      <c r="W30" s="1135"/>
      <c r="X30" s="1135"/>
      <c r="Y30" s="1135"/>
    </row>
    <row r="31" spans="1:25" s="1134" customFormat="1">
      <c r="A31" s="1137"/>
      <c r="B31" s="1136"/>
      <c r="C31" s="1136"/>
      <c r="D31" s="1136"/>
      <c r="E31" s="1136"/>
      <c r="F31" s="1136"/>
      <c r="G31" s="1136"/>
      <c r="H31" s="1136"/>
      <c r="I31" s="1136"/>
      <c r="L31" s="1135"/>
      <c r="M31" s="1135"/>
      <c r="N31" s="1135"/>
      <c r="O31" s="1135"/>
      <c r="P31" s="1135"/>
      <c r="Q31" s="1135"/>
      <c r="R31" s="1135"/>
      <c r="S31" s="1135"/>
      <c r="T31" s="1135"/>
      <c r="U31" s="1135"/>
      <c r="V31" s="1135"/>
      <c r="W31" s="1135"/>
      <c r="X31" s="1135"/>
      <c r="Y31" s="1135"/>
    </row>
    <row r="32" spans="1:25">
      <c r="A32" s="5"/>
      <c r="L32" s="872"/>
      <c r="M32" s="872"/>
      <c r="N32" s="872"/>
      <c r="O32" s="872"/>
      <c r="P32" s="872"/>
      <c r="Q32" s="872"/>
      <c r="R32" s="872"/>
      <c r="S32" s="872"/>
      <c r="T32" s="872"/>
      <c r="U32" s="872"/>
      <c r="V32" s="872"/>
      <c r="W32" s="872"/>
      <c r="X32" s="872"/>
      <c r="Y32" s="872"/>
    </row>
    <row r="33" spans="1:25">
      <c r="A33" s="5"/>
      <c r="L33" s="872"/>
      <c r="M33" s="872"/>
      <c r="N33" s="872"/>
      <c r="O33" s="872"/>
      <c r="P33" s="872"/>
      <c r="Q33" s="872"/>
      <c r="R33" s="872"/>
      <c r="S33" s="872"/>
      <c r="T33" s="872"/>
      <c r="U33" s="872"/>
      <c r="V33" s="872"/>
      <c r="W33" s="872"/>
      <c r="X33" s="872"/>
      <c r="Y33" s="872"/>
    </row>
    <row r="34" spans="1:25">
      <c r="A34" s="5"/>
      <c r="L34" s="872"/>
      <c r="M34" s="872"/>
      <c r="N34" s="872"/>
      <c r="O34" s="872"/>
      <c r="P34" s="872"/>
      <c r="Q34" s="872"/>
      <c r="R34" s="872"/>
      <c r="S34" s="872"/>
      <c r="T34" s="872"/>
      <c r="U34" s="872"/>
      <c r="V34" s="872"/>
      <c r="W34" s="872"/>
      <c r="X34" s="872"/>
      <c r="Y34" s="872"/>
    </row>
    <row r="35" spans="1:25">
      <c r="A35" s="5"/>
      <c r="L35" s="872"/>
      <c r="M35" s="872"/>
      <c r="N35" s="872"/>
      <c r="O35" s="872"/>
      <c r="P35" s="872"/>
      <c r="Q35" s="872"/>
      <c r="R35" s="872"/>
      <c r="S35" s="872"/>
      <c r="T35" s="872"/>
      <c r="U35" s="872"/>
      <c r="V35" s="872"/>
      <c r="W35" s="872"/>
      <c r="X35" s="872"/>
      <c r="Y35" s="872"/>
    </row>
    <row r="36" spans="1:25">
      <c r="A36" s="5"/>
      <c r="L36" s="872"/>
      <c r="M36" s="872"/>
      <c r="N36" s="872"/>
      <c r="O36" s="872"/>
      <c r="P36" s="872"/>
      <c r="Q36" s="872"/>
      <c r="R36" s="872"/>
      <c r="S36" s="872"/>
      <c r="T36" s="872"/>
      <c r="U36" s="872"/>
      <c r="V36" s="872"/>
      <c r="W36" s="872"/>
      <c r="X36" s="872"/>
      <c r="Y36" s="872"/>
    </row>
    <row r="37" spans="1:25">
      <c r="A37" s="5"/>
      <c r="L37" s="872"/>
      <c r="M37" s="872"/>
      <c r="N37" s="872"/>
      <c r="O37" s="872"/>
      <c r="P37" s="872"/>
      <c r="Q37" s="872"/>
      <c r="R37" s="872"/>
      <c r="S37" s="872"/>
      <c r="T37" s="872"/>
      <c r="U37" s="872"/>
      <c r="V37" s="872"/>
      <c r="W37" s="872"/>
      <c r="X37" s="872"/>
      <c r="Y37" s="872"/>
    </row>
    <row r="38" spans="1:25">
      <c r="A38" s="5"/>
      <c r="L38" s="872"/>
      <c r="M38" s="872"/>
      <c r="N38" s="872"/>
      <c r="O38" s="872"/>
      <c r="P38" s="872"/>
      <c r="Q38" s="872"/>
      <c r="R38" s="872"/>
      <c r="S38" s="872"/>
      <c r="T38" s="872"/>
      <c r="U38" s="872"/>
      <c r="V38" s="872"/>
      <c r="W38" s="872"/>
      <c r="X38" s="872"/>
      <c r="Y38" s="872"/>
    </row>
    <row r="39" spans="1:25">
      <c r="A39" s="5"/>
      <c r="L39" s="872"/>
      <c r="M39" s="872"/>
      <c r="N39" s="872"/>
      <c r="O39" s="872"/>
      <c r="P39" s="872"/>
      <c r="Q39" s="872"/>
      <c r="R39" s="872"/>
      <c r="S39" s="872"/>
      <c r="T39" s="872"/>
      <c r="U39" s="872"/>
      <c r="V39" s="872"/>
      <c r="W39" s="872"/>
      <c r="X39" s="872"/>
      <c r="Y39" s="872"/>
    </row>
    <row r="40" spans="1:25">
      <c r="A40" s="5"/>
      <c r="L40" s="872"/>
      <c r="M40" s="872"/>
      <c r="N40" s="872"/>
      <c r="O40" s="872"/>
      <c r="P40" s="872"/>
      <c r="Q40" s="872"/>
      <c r="R40" s="872"/>
      <c r="S40" s="872"/>
      <c r="T40" s="872"/>
      <c r="U40" s="872"/>
      <c r="V40" s="872"/>
      <c r="W40" s="872"/>
      <c r="X40" s="872"/>
      <c r="Y40" s="872"/>
    </row>
    <row r="41" spans="1:25">
      <c r="A41" s="5"/>
      <c r="L41" s="872"/>
      <c r="M41" s="872"/>
      <c r="N41" s="872"/>
      <c r="O41" s="872"/>
      <c r="P41" s="872"/>
      <c r="Q41" s="872"/>
      <c r="R41" s="872"/>
      <c r="S41" s="872"/>
      <c r="T41" s="872"/>
      <c r="U41" s="872"/>
      <c r="V41" s="872"/>
      <c r="W41" s="872"/>
      <c r="X41" s="872"/>
      <c r="Y41" s="872"/>
    </row>
    <row r="42" spans="1:25">
      <c r="A42" s="5"/>
      <c r="L42" s="872"/>
      <c r="M42" s="872"/>
      <c r="N42" s="872"/>
      <c r="O42" s="872"/>
      <c r="P42" s="872"/>
      <c r="Q42" s="872"/>
      <c r="R42" s="872"/>
      <c r="S42" s="872"/>
      <c r="T42" s="872"/>
      <c r="U42" s="872"/>
      <c r="V42" s="872"/>
      <c r="W42" s="872"/>
      <c r="X42" s="872"/>
      <c r="Y42" s="872"/>
    </row>
    <row r="43" spans="1:25">
      <c r="A43" s="5"/>
      <c r="L43" s="872"/>
      <c r="M43" s="872"/>
      <c r="N43" s="872"/>
      <c r="O43" s="872"/>
      <c r="P43" s="872"/>
      <c r="Q43" s="872"/>
      <c r="R43" s="872"/>
      <c r="S43" s="872"/>
      <c r="T43" s="872"/>
      <c r="U43" s="872"/>
      <c r="V43" s="872"/>
      <c r="W43" s="872"/>
      <c r="X43" s="872"/>
      <c r="Y43" s="872"/>
    </row>
    <row r="44" spans="1:25">
      <c r="A44" s="5"/>
      <c r="L44" s="872"/>
      <c r="M44" s="872"/>
      <c r="N44" s="872"/>
      <c r="O44" s="872"/>
      <c r="P44" s="872"/>
      <c r="Q44" s="872"/>
      <c r="R44" s="872"/>
      <c r="S44" s="872"/>
      <c r="T44" s="872"/>
      <c r="U44" s="872"/>
      <c r="V44" s="872"/>
      <c r="W44" s="872"/>
      <c r="X44" s="872"/>
      <c r="Y44" s="872"/>
    </row>
    <row r="45" spans="1:25">
      <c r="A45" s="5"/>
      <c r="L45" s="872"/>
      <c r="M45" s="872"/>
      <c r="N45" s="872"/>
      <c r="O45" s="872"/>
      <c r="P45" s="872"/>
      <c r="Q45" s="872"/>
      <c r="R45" s="872"/>
      <c r="S45" s="872"/>
      <c r="T45" s="872"/>
      <c r="U45" s="872"/>
      <c r="V45" s="872"/>
      <c r="W45" s="872"/>
      <c r="X45" s="872"/>
      <c r="Y45" s="872"/>
    </row>
    <row r="46" spans="1:25">
      <c r="A46" s="5"/>
      <c r="L46" s="872"/>
      <c r="M46" s="872"/>
      <c r="N46" s="872"/>
      <c r="O46" s="872"/>
      <c r="P46" s="872"/>
      <c r="Q46" s="872"/>
      <c r="R46" s="872"/>
      <c r="S46" s="872"/>
      <c r="T46" s="872"/>
      <c r="U46" s="872"/>
      <c r="V46" s="872"/>
      <c r="W46" s="872"/>
      <c r="X46" s="872"/>
      <c r="Y46" s="872"/>
    </row>
    <row r="47" spans="1:25">
      <c r="A47" s="5"/>
      <c r="L47" s="872"/>
      <c r="M47" s="872"/>
      <c r="N47" s="872"/>
      <c r="O47" s="872"/>
      <c r="P47" s="872"/>
      <c r="Q47" s="872"/>
      <c r="R47" s="872"/>
      <c r="S47" s="872"/>
      <c r="T47" s="872"/>
      <c r="U47" s="872"/>
      <c r="V47" s="872"/>
      <c r="W47" s="872"/>
      <c r="X47" s="872"/>
      <c r="Y47" s="872"/>
    </row>
    <row r="48" spans="1:25">
      <c r="A48" s="5"/>
      <c r="L48" s="872"/>
      <c r="M48" s="872"/>
      <c r="N48" s="872"/>
      <c r="O48" s="872"/>
      <c r="P48" s="872"/>
      <c r="Q48" s="872"/>
      <c r="R48" s="872"/>
      <c r="S48" s="872"/>
      <c r="T48" s="872"/>
      <c r="U48" s="872"/>
      <c r="V48" s="872"/>
      <c r="W48" s="872"/>
      <c r="X48" s="872"/>
      <c r="Y48" s="872"/>
    </row>
    <row r="49" spans="1:25">
      <c r="A49" s="5"/>
      <c r="L49" s="872"/>
      <c r="M49" s="872"/>
      <c r="N49" s="872"/>
      <c r="O49" s="872"/>
      <c r="P49" s="872"/>
      <c r="Q49" s="872"/>
      <c r="R49" s="872"/>
      <c r="S49" s="872"/>
      <c r="T49" s="872"/>
      <c r="U49" s="872"/>
      <c r="V49" s="872"/>
      <c r="W49" s="872"/>
      <c r="X49" s="872"/>
      <c r="Y49" s="872"/>
    </row>
    <row r="50" spans="1:25">
      <c r="A50" s="5"/>
      <c r="L50" s="872"/>
      <c r="M50" s="872"/>
      <c r="N50" s="872"/>
      <c r="O50" s="872"/>
      <c r="P50" s="872"/>
      <c r="Q50" s="872"/>
      <c r="R50" s="872"/>
      <c r="S50" s="872"/>
      <c r="T50" s="872"/>
      <c r="U50" s="872"/>
      <c r="V50" s="872"/>
      <c r="W50" s="872"/>
      <c r="X50" s="872"/>
      <c r="Y50" s="872"/>
    </row>
    <row r="51" spans="1:25">
      <c r="A51" s="5"/>
      <c r="L51" s="872"/>
      <c r="M51" s="872"/>
      <c r="N51" s="872"/>
      <c r="O51" s="872"/>
      <c r="P51" s="872"/>
      <c r="Q51" s="872"/>
      <c r="R51" s="872"/>
      <c r="S51" s="872"/>
      <c r="T51" s="872"/>
      <c r="U51" s="872"/>
      <c r="V51" s="872"/>
      <c r="W51" s="872"/>
      <c r="X51" s="872"/>
      <c r="Y51" s="872"/>
    </row>
    <row r="52" spans="1:25">
      <c r="A52" s="5"/>
      <c r="L52" s="872"/>
      <c r="M52" s="872"/>
      <c r="N52" s="872"/>
      <c r="O52" s="872"/>
      <c r="P52" s="872"/>
      <c r="Q52" s="872"/>
      <c r="R52" s="872"/>
      <c r="S52" s="872"/>
      <c r="T52" s="872"/>
      <c r="U52" s="872"/>
      <c r="V52" s="872"/>
      <c r="W52" s="872"/>
      <c r="X52" s="872"/>
      <c r="Y52" s="872"/>
    </row>
    <row r="53" spans="1:25">
      <c r="A53" s="5"/>
      <c r="L53" s="872"/>
      <c r="M53" s="872"/>
      <c r="N53" s="872"/>
      <c r="O53" s="872"/>
      <c r="P53" s="872"/>
      <c r="Q53" s="872"/>
      <c r="R53" s="872"/>
      <c r="S53" s="872"/>
      <c r="T53" s="872"/>
      <c r="U53" s="872"/>
      <c r="V53" s="872"/>
      <c r="W53" s="872"/>
      <c r="X53" s="872"/>
      <c r="Y53" s="872"/>
    </row>
    <row r="54" spans="1:25">
      <c r="A54" s="5"/>
      <c r="L54" s="872"/>
      <c r="M54" s="872"/>
      <c r="N54" s="872"/>
      <c r="O54" s="872"/>
      <c r="P54" s="872"/>
      <c r="Q54" s="872"/>
      <c r="R54" s="872"/>
      <c r="S54" s="872"/>
      <c r="T54" s="872"/>
      <c r="U54" s="872"/>
      <c r="V54" s="872"/>
      <c r="W54" s="872"/>
      <c r="X54" s="872"/>
      <c r="Y54" s="872"/>
    </row>
    <row r="55" spans="1:25">
      <c r="A55" s="5"/>
      <c r="L55" s="872"/>
      <c r="M55" s="872"/>
      <c r="N55" s="872"/>
      <c r="O55" s="872"/>
      <c r="P55" s="872"/>
      <c r="Q55" s="872"/>
      <c r="R55" s="872"/>
      <c r="S55" s="872"/>
      <c r="T55" s="872"/>
      <c r="U55" s="872"/>
      <c r="V55" s="872"/>
      <c r="W55" s="872"/>
      <c r="X55" s="872"/>
      <c r="Y55" s="872"/>
    </row>
    <row r="56" spans="1:25">
      <c r="A56" s="5"/>
      <c r="L56" s="872"/>
      <c r="M56" s="872"/>
      <c r="N56" s="872"/>
      <c r="O56" s="872"/>
      <c r="P56" s="872"/>
      <c r="Q56" s="872"/>
      <c r="R56" s="872"/>
      <c r="S56" s="872"/>
      <c r="T56" s="872"/>
      <c r="U56" s="872"/>
      <c r="V56" s="872"/>
      <c r="W56" s="872"/>
      <c r="X56" s="872"/>
      <c r="Y56" s="872"/>
    </row>
    <row r="57" spans="1:25">
      <c r="A57" s="5"/>
      <c r="L57" s="872"/>
      <c r="M57" s="872"/>
      <c r="N57" s="872"/>
      <c r="O57" s="872"/>
      <c r="P57" s="872"/>
      <c r="Q57" s="872"/>
      <c r="R57" s="872"/>
      <c r="S57" s="872"/>
      <c r="T57" s="872"/>
      <c r="U57" s="872"/>
      <c r="V57" s="872"/>
      <c r="W57" s="872"/>
      <c r="X57" s="872"/>
      <c r="Y57" s="872"/>
    </row>
    <row r="58" spans="1:25">
      <c r="A58" s="5"/>
      <c r="L58" s="872"/>
      <c r="M58" s="872"/>
      <c r="N58" s="872"/>
      <c r="O58" s="872"/>
      <c r="P58" s="872"/>
      <c r="Q58" s="872"/>
      <c r="R58" s="872"/>
      <c r="S58" s="872"/>
      <c r="T58" s="872"/>
      <c r="U58" s="872"/>
      <c r="V58" s="872"/>
      <c r="W58" s="872"/>
      <c r="X58" s="872"/>
      <c r="Y58" s="872"/>
    </row>
    <row r="59" spans="1:25">
      <c r="A59" s="5"/>
      <c r="L59" s="872"/>
      <c r="M59" s="872"/>
      <c r="N59" s="872"/>
      <c r="O59" s="872"/>
      <c r="P59" s="872"/>
      <c r="Q59" s="872"/>
      <c r="R59" s="872"/>
      <c r="S59" s="872"/>
      <c r="T59" s="872"/>
      <c r="U59" s="872"/>
      <c r="V59" s="872"/>
      <c r="W59" s="872"/>
      <c r="X59" s="872"/>
      <c r="Y59" s="872"/>
    </row>
    <row r="60" spans="1:25">
      <c r="A60" s="5"/>
      <c r="L60" s="872"/>
      <c r="M60" s="872"/>
      <c r="N60" s="872"/>
      <c r="O60" s="872"/>
      <c r="P60" s="872"/>
      <c r="Q60" s="872"/>
      <c r="R60" s="872"/>
      <c r="S60" s="872"/>
      <c r="T60" s="872"/>
      <c r="U60" s="872"/>
      <c r="V60" s="872"/>
      <c r="W60" s="872"/>
      <c r="X60" s="872"/>
      <c r="Y60" s="872"/>
    </row>
    <row r="61" spans="1:25">
      <c r="A61" s="5"/>
      <c r="L61" s="872"/>
      <c r="M61" s="872"/>
      <c r="N61" s="872"/>
      <c r="O61" s="872"/>
      <c r="P61" s="872"/>
      <c r="Q61" s="872"/>
      <c r="R61" s="872"/>
      <c r="S61" s="872"/>
      <c r="T61" s="872"/>
      <c r="U61" s="872"/>
      <c r="V61" s="872"/>
      <c r="W61" s="872"/>
      <c r="X61" s="872"/>
      <c r="Y61" s="872"/>
    </row>
    <row r="62" spans="1:25">
      <c r="A62" s="5"/>
      <c r="L62" s="872"/>
      <c r="M62" s="872"/>
      <c r="N62" s="872"/>
      <c r="O62" s="872"/>
      <c r="P62" s="872"/>
      <c r="Q62" s="872"/>
      <c r="R62" s="872"/>
      <c r="S62" s="872"/>
      <c r="T62" s="872"/>
      <c r="U62" s="872"/>
      <c r="V62" s="872"/>
      <c r="W62" s="872"/>
      <c r="X62" s="872"/>
      <c r="Y62" s="872"/>
    </row>
    <row r="63" spans="1:25">
      <c r="A63" s="5"/>
      <c r="L63" s="872"/>
      <c r="M63" s="872"/>
      <c r="N63" s="872"/>
      <c r="O63" s="872"/>
      <c r="P63" s="872"/>
      <c r="Q63" s="872"/>
      <c r="R63" s="872"/>
      <c r="S63" s="872"/>
      <c r="T63" s="872"/>
      <c r="U63" s="872"/>
      <c r="V63" s="872"/>
      <c r="W63" s="872"/>
      <c r="X63" s="872"/>
      <c r="Y63" s="872"/>
    </row>
    <row r="64" spans="1:25">
      <c r="A64" s="5"/>
      <c r="L64" s="872"/>
      <c r="M64" s="872"/>
      <c r="N64" s="872"/>
      <c r="O64" s="872"/>
      <c r="P64" s="872"/>
      <c r="Q64" s="872"/>
      <c r="R64" s="872"/>
      <c r="S64" s="872"/>
      <c r="T64" s="872"/>
      <c r="U64" s="872"/>
      <c r="V64" s="872"/>
      <c r="W64" s="872"/>
      <c r="X64" s="872"/>
      <c r="Y64" s="872"/>
    </row>
    <row r="65" spans="1:25">
      <c r="A65" s="5"/>
      <c r="L65" s="872"/>
      <c r="M65" s="872"/>
      <c r="N65" s="872"/>
      <c r="O65" s="872"/>
      <c r="P65" s="872"/>
      <c r="Q65" s="872"/>
      <c r="R65" s="872"/>
      <c r="S65" s="872"/>
      <c r="T65" s="872"/>
      <c r="U65" s="872"/>
      <c r="V65" s="872"/>
      <c r="W65" s="872"/>
      <c r="X65" s="872"/>
      <c r="Y65" s="872"/>
    </row>
    <row r="66" spans="1:25">
      <c r="A66" s="5"/>
      <c r="L66" s="872"/>
      <c r="M66" s="872"/>
      <c r="N66" s="872"/>
      <c r="O66" s="872"/>
      <c r="P66" s="872"/>
      <c r="Q66" s="872"/>
      <c r="R66" s="872"/>
      <c r="S66" s="872"/>
      <c r="T66" s="872"/>
      <c r="U66" s="872"/>
      <c r="V66" s="872"/>
      <c r="W66" s="872"/>
      <c r="X66" s="872"/>
      <c r="Y66" s="872"/>
    </row>
    <row r="67" spans="1:25">
      <c r="A67" s="5"/>
      <c r="L67" s="872"/>
      <c r="M67" s="872"/>
      <c r="N67" s="872"/>
      <c r="O67" s="872"/>
      <c r="P67" s="872"/>
      <c r="Q67" s="872"/>
      <c r="R67" s="872"/>
      <c r="S67" s="872"/>
      <c r="T67" s="872"/>
      <c r="U67" s="872"/>
      <c r="V67" s="872"/>
      <c r="W67" s="872"/>
      <c r="X67" s="872"/>
      <c r="Y67" s="872"/>
    </row>
    <row r="68" spans="1:25">
      <c r="A68" s="5"/>
      <c r="L68" s="872"/>
      <c r="M68" s="872"/>
      <c r="N68" s="872"/>
      <c r="O68" s="872"/>
      <c r="P68" s="872"/>
      <c r="Q68" s="872"/>
      <c r="R68" s="872"/>
      <c r="S68" s="872"/>
      <c r="T68" s="872"/>
      <c r="U68" s="872"/>
      <c r="V68" s="872"/>
      <c r="W68" s="872"/>
      <c r="X68" s="872"/>
      <c r="Y68" s="872"/>
    </row>
    <row r="69" spans="1:25" ht="15.75" customHeight="1">
      <c r="A69" s="5"/>
      <c r="L69" s="872"/>
      <c r="M69" s="872"/>
      <c r="N69" s="872"/>
      <c r="O69" s="872"/>
      <c r="P69" s="872"/>
      <c r="Q69" s="872"/>
      <c r="R69" s="872"/>
      <c r="S69" s="872"/>
      <c r="T69" s="872"/>
      <c r="U69" s="872"/>
      <c r="V69" s="872"/>
      <c r="W69" s="872"/>
      <c r="X69" s="872"/>
      <c r="Y69" s="872"/>
    </row>
    <row r="70" spans="1:25">
      <c r="A70" s="5"/>
      <c r="L70" s="872"/>
      <c r="M70" s="872"/>
      <c r="N70" s="872"/>
      <c r="O70" s="872"/>
      <c r="P70" s="872"/>
      <c r="Q70" s="872"/>
      <c r="R70" s="872"/>
      <c r="S70" s="872"/>
      <c r="T70" s="872"/>
      <c r="U70" s="872"/>
      <c r="V70" s="872"/>
      <c r="W70" s="872"/>
      <c r="X70" s="872"/>
      <c r="Y70" s="872"/>
    </row>
    <row r="71" spans="1:25">
      <c r="A71" s="5"/>
      <c r="L71" s="872"/>
      <c r="M71" s="872"/>
      <c r="N71" s="872"/>
      <c r="O71" s="872"/>
      <c r="P71" s="872"/>
      <c r="Q71" s="872"/>
      <c r="R71" s="872"/>
      <c r="S71" s="872"/>
      <c r="T71" s="872"/>
      <c r="U71" s="872"/>
      <c r="V71" s="872"/>
      <c r="W71" s="872"/>
      <c r="X71" s="872"/>
      <c r="Y71" s="872"/>
    </row>
    <row r="72" spans="1:25">
      <c r="A72" s="5"/>
      <c r="L72" s="872"/>
      <c r="M72" s="872"/>
      <c r="N72" s="872"/>
      <c r="O72" s="872"/>
      <c r="P72" s="872"/>
      <c r="Q72" s="872"/>
      <c r="R72" s="872"/>
      <c r="S72" s="872"/>
      <c r="T72" s="872"/>
      <c r="U72" s="872"/>
      <c r="V72" s="872"/>
      <c r="W72" s="872"/>
      <c r="X72" s="872"/>
      <c r="Y72" s="872"/>
    </row>
    <row r="73" spans="1:25">
      <c r="A73" s="5"/>
      <c r="L73" s="872"/>
      <c r="M73" s="872"/>
      <c r="N73" s="872"/>
      <c r="O73" s="872"/>
      <c r="P73" s="872"/>
      <c r="Q73" s="872"/>
      <c r="R73" s="872"/>
      <c r="S73" s="872"/>
      <c r="T73" s="872"/>
      <c r="U73" s="872"/>
      <c r="V73" s="872"/>
      <c r="W73" s="872"/>
      <c r="X73" s="872"/>
      <c r="Y73" s="872"/>
    </row>
    <row r="74" spans="1:25">
      <c r="A74" s="5"/>
      <c r="L74" s="872"/>
      <c r="M74" s="872"/>
      <c r="N74" s="872"/>
      <c r="O74" s="872"/>
      <c r="P74" s="872"/>
      <c r="Q74" s="872"/>
      <c r="R74" s="872"/>
      <c r="S74" s="872"/>
      <c r="T74" s="872"/>
      <c r="U74" s="872"/>
      <c r="V74" s="872"/>
      <c r="W74" s="872"/>
      <c r="X74" s="872"/>
      <c r="Y74" s="872"/>
    </row>
    <row r="75" spans="1:25">
      <c r="A75" s="5"/>
      <c r="L75" s="872"/>
      <c r="M75" s="872"/>
      <c r="N75" s="872"/>
      <c r="O75" s="872"/>
      <c r="P75" s="872"/>
      <c r="Q75" s="872"/>
      <c r="R75" s="872"/>
      <c r="S75" s="872"/>
      <c r="T75" s="872"/>
      <c r="U75" s="872"/>
      <c r="V75" s="872"/>
      <c r="W75" s="872"/>
      <c r="X75" s="872"/>
      <c r="Y75" s="872"/>
    </row>
    <row r="76" spans="1:25">
      <c r="A76" s="5"/>
      <c r="L76" s="872"/>
      <c r="M76" s="872"/>
      <c r="N76" s="872"/>
      <c r="O76" s="872"/>
      <c r="P76" s="872"/>
      <c r="Q76" s="872"/>
      <c r="R76" s="872"/>
      <c r="S76" s="872"/>
      <c r="T76" s="872"/>
      <c r="U76" s="872"/>
      <c r="V76" s="872"/>
      <c r="W76" s="872"/>
      <c r="X76" s="872"/>
      <c r="Y76" s="872"/>
    </row>
    <row r="77" spans="1:25">
      <c r="A77" s="5"/>
      <c r="L77" s="872"/>
      <c r="M77" s="872"/>
      <c r="N77" s="872"/>
      <c r="O77" s="872"/>
      <c r="P77" s="872"/>
      <c r="Q77" s="872"/>
      <c r="R77" s="872"/>
      <c r="S77" s="872"/>
      <c r="T77" s="872"/>
      <c r="U77" s="872"/>
      <c r="V77" s="872"/>
      <c r="W77" s="872"/>
      <c r="X77" s="872"/>
      <c r="Y77" s="872"/>
    </row>
    <row r="78" spans="1:25" ht="15.75" customHeight="1">
      <c r="A78" s="5"/>
      <c r="L78" s="872"/>
      <c r="M78" s="872"/>
      <c r="N78" s="872"/>
      <c r="O78" s="872"/>
      <c r="P78" s="872"/>
      <c r="Q78" s="872"/>
      <c r="R78" s="872"/>
      <c r="S78" s="872"/>
      <c r="T78" s="872"/>
      <c r="U78" s="872"/>
      <c r="V78" s="872"/>
      <c r="W78" s="872"/>
      <c r="X78" s="872"/>
      <c r="Y78" s="872"/>
    </row>
    <row r="79" spans="1:25">
      <c r="A79" s="5"/>
      <c r="L79" s="872"/>
      <c r="M79" s="872"/>
      <c r="N79" s="872"/>
      <c r="O79" s="872"/>
      <c r="P79" s="872"/>
      <c r="Q79" s="872"/>
      <c r="R79" s="872"/>
      <c r="S79" s="872"/>
      <c r="T79" s="872"/>
      <c r="U79" s="872"/>
      <c r="V79" s="872"/>
      <c r="W79" s="872"/>
      <c r="X79" s="872"/>
      <c r="Y79" s="872"/>
    </row>
    <row r="80" spans="1:25">
      <c r="A80" s="5"/>
      <c r="L80" s="872"/>
      <c r="M80" s="872"/>
      <c r="N80" s="872"/>
      <c r="O80" s="872"/>
      <c r="P80" s="872"/>
      <c r="Q80" s="872"/>
      <c r="R80" s="872"/>
      <c r="S80" s="872"/>
      <c r="T80" s="872"/>
      <c r="U80" s="872"/>
      <c r="V80" s="872"/>
      <c r="W80" s="872"/>
      <c r="X80" s="872"/>
      <c r="Y80" s="872"/>
    </row>
    <row r="81" spans="1:25">
      <c r="A81" s="5"/>
      <c r="L81" s="872"/>
      <c r="M81" s="872"/>
      <c r="N81" s="872"/>
      <c r="O81" s="872"/>
      <c r="P81" s="872"/>
      <c r="Q81" s="872"/>
      <c r="R81" s="872"/>
      <c r="S81" s="872"/>
      <c r="T81" s="872"/>
      <c r="U81" s="872"/>
      <c r="V81" s="872"/>
      <c r="W81" s="872"/>
      <c r="X81" s="872"/>
      <c r="Y81" s="872"/>
    </row>
    <row r="82" spans="1:25">
      <c r="A82" s="5"/>
      <c r="L82" s="872"/>
      <c r="M82" s="872"/>
      <c r="N82" s="872"/>
      <c r="O82" s="872"/>
      <c r="P82" s="872"/>
      <c r="Q82" s="872"/>
      <c r="R82" s="872"/>
      <c r="S82" s="872"/>
      <c r="T82" s="872"/>
      <c r="U82" s="872"/>
      <c r="V82" s="872"/>
      <c r="W82" s="872"/>
      <c r="X82" s="872"/>
      <c r="Y82" s="872"/>
    </row>
    <row r="83" spans="1:25">
      <c r="A83" s="5"/>
      <c r="L83" s="872"/>
      <c r="M83" s="872"/>
      <c r="N83" s="872"/>
      <c r="O83" s="872"/>
      <c r="P83" s="872"/>
      <c r="Q83" s="872"/>
      <c r="R83" s="872"/>
      <c r="S83" s="872"/>
      <c r="T83" s="872"/>
      <c r="U83" s="872"/>
      <c r="V83" s="872"/>
      <c r="W83" s="872"/>
      <c r="X83" s="872"/>
      <c r="Y83" s="872"/>
    </row>
    <row r="84" spans="1:25">
      <c r="A84" s="5"/>
      <c r="L84" s="872"/>
      <c r="M84" s="872"/>
      <c r="N84" s="872"/>
      <c r="O84" s="872"/>
      <c r="P84" s="872"/>
      <c r="Q84" s="872"/>
      <c r="R84" s="872"/>
      <c r="S84" s="872"/>
      <c r="T84" s="872"/>
      <c r="U84" s="872"/>
      <c r="V84" s="872"/>
      <c r="W84" s="872"/>
      <c r="X84" s="872"/>
      <c r="Y84" s="872"/>
    </row>
    <row r="85" spans="1:25">
      <c r="A85" s="5"/>
      <c r="L85" s="872"/>
      <c r="M85" s="872"/>
      <c r="N85" s="872"/>
      <c r="O85" s="872"/>
      <c r="P85" s="872"/>
      <c r="Q85" s="872"/>
      <c r="R85" s="872"/>
      <c r="S85" s="872"/>
      <c r="T85" s="872"/>
      <c r="U85" s="872"/>
      <c r="V85" s="872"/>
      <c r="W85" s="872"/>
      <c r="X85" s="872"/>
      <c r="Y85" s="872"/>
    </row>
    <row r="86" spans="1:25">
      <c r="A86" s="5"/>
    </row>
    <row r="87" spans="1:25">
      <c r="A87" s="5"/>
    </row>
    <row r="88" spans="1:25">
      <c r="A88" s="5"/>
    </row>
    <row r="89" spans="1:25">
      <c r="A89" s="5"/>
    </row>
    <row r="90" spans="1:25">
      <c r="A90" s="5"/>
    </row>
    <row r="91" spans="1:25">
      <c r="A91" s="5"/>
    </row>
    <row r="92" spans="1:25">
      <c r="A92" s="5"/>
    </row>
    <row r="93" spans="1:25">
      <c r="A93" s="5"/>
    </row>
    <row r="94" spans="1:25">
      <c r="A94" s="5"/>
    </row>
    <row r="95" spans="1:25">
      <c r="A95" s="5"/>
    </row>
    <row r="96" spans="1:25">
      <c r="A96" s="5"/>
    </row>
    <row r="97" spans="1:1">
      <c r="A97" s="5"/>
    </row>
    <row r="98" spans="1:1">
      <c r="A98" s="5"/>
    </row>
    <row r="99" spans="1:1">
      <c r="A99" s="5"/>
    </row>
    <row r="100" spans="1:1">
      <c r="A100" s="5"/>
    </row>
    <row r="101" spans="1:1">
      <c r="A101" s="5"/>
    </row>
    <row r="102" spans="1:1">
      <c r="A102" s="5"/>
    </row>
    <row r="103" spans="1:1">
      <c r="A103" s="5"/>
    </row>
    <row r="104" spans="1:1">
      <c r="A104" s="5"/>
    </row>
    <row r="105" spans="1:1">
      <c r="A105" s="5"/>
    </row>
    <row r="106" spans="1:1">
      <c r="A106" s="5"/>
    </row>
    <row r="107" spans="1:1">
      <c r="A107" s="5"/>
    </row>
    <row r="108" spans="1:1">
      <c r="A108" s="5"/>
    </row>
    <row r="109" spans="1:1">
      <c r="A109" s="5"/>
    </row>
    <row r="110" spans="1:1">
      <c r="A110" s="5"/>
    </row>
    <row r="111" spans="1:1">
      <c r="A111" s="5"/>
    </row>
    <row r="112" spans="1:1">
      <c r="A112" s="5"/>
    </row>
    <row r="113" spans="1:1">
      <c r="A113" s="5"/>
    </row>
    <row r="114" spans="1:1">
      <c r="A114" s="5"/>
    </row>
    <row r="115" spans="1:1">
      <c r="A115" s="5"/>
    </row>
    <row r="116" spans="1:1">
      <c r="A116" s="5"/>
    </row>
    <row r="117" spans="1:1">
      <c r="A117" s="5"/>
    </row>
    <row r="118" spans="1:1">
      <c r="A118" s="5"/>
    </row>
    <row r="119" spans="1:1">
      <c r="A119" s="5"/>
    </row>
    <row r="120" spans="1:1">
      <c r="A120" s="5"/>
    </row>
    <row r="121" spans="1:1">
      <c r="A121" s="5"/>
    </row>
    <row r="122" spans="1:1">
      <c r="A122" s="5"/>
    </row>
    <row r="123" spans="1:1">
      <c r="A123" s="5"/>
    </row>
    <row r="124" spans="1:1">
      <c r="A124" s="5"/>
    </row>
    <row r="125" spans="1:1">
      <c r="A125" s="5"/>
    </row>
    <row r="126" spans="1:1">
      <c r="A126" s="5"/>
    </row>
    <row r="127" spans="1:1">
      <c r="A127" s="5"/>
    </row>
    <row r="128" spans="1:1">
      <c r="A128" s="5"/>
    </row>
    <row r="129" spans="1:1">
      <c r="A129" s="5"/>
    </row>
    <row r="130" spans="1:1">
      <c r="A130" s="5"/>
    </row>
    <row r="131" spans="1:1">
      <c r="A131" s="5"/>
    </row>
    <row r="132" spans="1:1">
      <c r="A132" s="5"/>
    </row>
    <row r="133" spans="1:1">
      <c r="A133" s="5"/>
    </row>
    <row r="134" spans="1:1">
      <c r="A134" s="5"/>
    </row>
    <row r="135" spans="1:1">
      <c r="A135" s="5"/>
    </row>
    <row r="136" spans="1:1">
      <c r="A136" s="5"/>
    </row>
    <row r="137" spans="1:1">
      <c r="A137" s="5"/>
    </row>
    <row r="138" spans="1:1">
      <c r="A138" s="5"/>
    </row>
    <row r="139" spans="1:1">
      <c r="A139" s="5"/>
    </row>
    <row r="140" spans="1:1">
      <c r="A140" s="5"/>
    </row>
    <row r="141" spans="1:1">
      <c r="A141" s="5"/>
    </row>
    <row r="142" spans="1:1">
      <c r="A142" s="5"/>
    </row>
    <row r="143" spans="1:1">
      <c r="A143" s="5"/>
    </row>
    <row r="144" spans="1:1">
      <c r="A144" s="5"/>
    </row>
    <row r="145" spans="1:1">
      <c r="A145" s="5"/>
    </row>
    <row r="146" spans="1:1">
      <c r="A146" s="5"/>
    </row>
    <row r="147" spans="1:1">
      <c r="A147" s="5"/>
    </row>
    <row r="148" spans="1:1">
      <c r="A148" s="5"/>
    </row>
    <row r="149" spans="1:1">
      <c r="A149" s="5"/>
    </row>
    <row r="150" spans="1:1">
      <c r="A150" s="5"/>
    </row>
    <row r="151" spans="1:1">
      <c r="A151" s="5"/>
    </row>
    <row r="152" spans="1:1">
      <c r="A152" s="5"/>
    </row>
    <row r="153" spans="1:1">
      <c r="A153" s="5"/>
    </row>
    <row r="154" spans="1:1">
      <c r="A154" s="5"/>
    </row>
    <row r="155" spans="1:1">
      <c r="A155" s="5"/>
    </row>
    <row r="156" spans="1:1">
      <c r="A156" s="5"/>
    </row>
    <row r="157" spans="1:1">
      <c r="A157" s="5"/>
    </row>
    <row r="158" spans="1:1">
      <c r="A158" s="5"/>
    </row>
    <row r="159" spans="1:1">
      <c r="A159" s="5"/>
    </row>
    <row r="160" spans="1:1">
      <c r="A160" s="5"/>
    </row>
    <row r="161" spans="1:1">
      <c r="A161" s="5"/>
    </row>
    <row r="162" spans="1:1">
      <c r="A162" s="5"/>
    </row>
    <row r="163" spans="1:1">
      <c r="A163" s="5"/>
    </row>
    <row r="164" spans="1:1">
      <c r="A164" s="5"/>
    </row>
    <row r="165" spans="1:1">
      <c r="A165" s="5"/>
    </row>
    <row r="166" spans="1:1">
      <c r="A166" s="5"/>
    </row>
    <row r="167" spans="1:1">
      <c r="A167" s="5"/>
    </row>
    <row r="168" spans="1:1">
      <c r="A168" s="5"/>
    </row>
    <row r="169" spans="1:1">
      <c r="A169" s="5"/>
    </row>
    <row r="170" spans="1:1">
      <c r="A170" s="5"/>
    </row>
    <row r="171" spans="1:1">
      <c r="A171" s="5"/>
    </row>
    <row r="172" spans="1:1">
      <c r="A172" s="5"/>
    </row>
    <row r="173" spans="1:1">
      <c r="A173" s="5"/>
    </row>
    <row r="174" spans="1:1">
      <c r="A174" s="5"/>
    </row>
    <row r="175" spans="1:1">
      <c r="A175" s="5"/>
    </row>
    <row r="176" spans="1:1">
      <c r="A176" s="5"/>
    </row>
    <row r="177" spans="1:1">
      <c r="A177" s="5"/>
    </row>
    <row r="178" spans="1:1">
      <c r="A178" s="5"/>
    </row>
    <row r="179" spans="1:1">
      <c r="A179" s="5"/>
    </row>
    <row r="180" spans="1:1">
      <c r="A180" s="5"/>
    </row>
    <row r="181" spans="1:1">
      <c r="A181" s="5"/>
    </row>
    <row r="182" spans="1:1">
      <c r="A182" s="5"/>
    </row>
    <row r="183" spans="1:1">
      <c r="A183" s="5"/>
    </row>
    <row r="184" spans="1:1">
      <c r="A184" s="5"/>
    </row>
    <row r="185" spans="1:1">
      <c r="A185" s="5"/>
    </row>
    <row r="186" spans="1:1">
      <c r="A186" s="5"/>
    </row>
    <row r="187" spans="1:1">
      <c r="A187" s="5"/>
    </row>
    <row r="188" spans="1:1">
      <c r="A188" s="5"/>
    </row>
    <row r="189" spans="1:1">
      <c r="A189" s="5"/>
    </row>
    <row r="190" spans="1:1">
      <c r="A190" s="5"/>
    </row>
    <row r="191" spans="1:1">
      <c r="A191" s="5"/>
    </row>
    <row r="192" spans="1:1">
      <c r="A192" s="5"/>
    </row>
    <row r="193" spans="1:1">
      <c r="A193" s="5"/>
    </row>
    <row r="194" spans="1:1">
      <c r="A194" s="5"/>
    </row>
    <row r="195" spans="1:1">
      <c r="A195" s="5"/>
    </row>
    <row r="196" spans="1:1">
      <c r="A196" s="5"/>
    </row>
    <row r="197" spans="1:1">
      <c r="A197" s="5"/>
    </row>
    <row r="198" spans="1:1">
      <c r="A198" s="5"/>
    </row>
    <row r="199" spans="1:1">
      <c r="A199" s="5"/>
    </row>
    <row r="200" spans="1:1">
      <c r="A200" s="5"/>
    </row>
    <row r="201" spans="1:1">
      <c r="A201" s="5"/>
    </row>
    <row r="202" spans="1:1">
      <c r="A202" s="5"/>
    </row>
    <row r="203" spans="1:1">
      <c r="A203" s="5"/>
    </row>
    <row r="204" spans="1:1">
      <c r="A204" s="5"/>
    </row>
    <row r="205" spans="1:1">
      <c r="A205" s="5"/>
    </row>
    <row r="206" spans="1:1">
      <c r="A206" s="5"/>
    </row>
    <row r="207" spans="1:1">
      <c r="A207" s="5"/>
    </row>
    <row r="208" spans="1:1">
      <c r="A208" s="5"/>
    </row>
    <row r="209" spans="1:1">
      <c r="A209" s="5"/>
    </row>
    <row r="210" spans="1:1">
      <c r="A210" s="5"/>
    </row>
    <row r="211" spans="1:1">
      <c r="A211" s="5"/>
    </row>
    <row r="212" spans="1:1">
      <c r="A212" s="5"/>
    </row>
    <row r="213" spans="1:1">
      <c r="A213" s="5"/>
    </row>
    <row r="214" spans="1:1">
      <c r="A214" s="5"/>
    </row>
    <row r="215" spans="1:1">
      <c r="A215" s="5"/>
    </row>
    <row r="216" spans="1:1">
      <c r="A216" s="5"/>
    </row>
    <row r="217" spans="1:1">
      <c r="A217" s="5"/>
    </row>
    <row r="218" spans="1:1">
      <c r="A218" s="5"/>
    </row>
    <row r="219" spans="1:1">
      <c r="A219" s="5"/>
    </row>
    <row r="220" spans="1:1">
      <c r="A220" s="5"/>
    </row>
    <row r="221" spans="1:1">
      <c r="A221" s="5"/>
    </row>
    <row r="222" spans="1:1">
      <c r="A222" s="5"/>
    </row>
    <row r="223" spans="1:1">
      <c r="A223" s="5"/>
    </row>
    <row r="224" spans="1:1">
      <c r="A224" s="5"/>
    </row>
    <row r="225" spans="1:1">
      <c r="A225" s="5"/>
    </row>
    <row r="226" spans="1:1">
      <c r="A226" s="5"/>
    </row>
    <row r="227" spans="1:1">
      <c r="A227" s="5"/>
    </row>
    <row r="228" spans="1:1">
      <c r="A228" s="5"/>
    </row>
    <row r="229" spans="1:1">
      <c r="A229" s="5"/>
    </row>
    <row r="230" spans="1:1">
      <c r="A230" s="5"/>
    </row>
    <row r="231" spans="1:1">
      <c r="A231" s="5"/>
    </row>
    <row r="232" spans="1:1">
      <c r="A232" s="5"/>
    </row>
    <row r="233" spans="1:1">
      <c r="A233" s="5"/>
    </row>
    <row r="234" spans="1:1">
      <c r="A234" s="5"/>
    </row>
    <row r="235" spans="1:1">
      <c r="A235" s="5"/>
    </row>
    <row r="236" spans="1:1">
      <c r="A236" s="5"/>
    </row>
    <row r="237" spans="1:1">
      <c r="A237" s="5"/>
    </row>
    <row r="238" spans="1:1">
      <c r="A238" s="5"/>
    </row>
    <row r="239" spans="1:1">
      <c r="A239" s="5"/>
    </row>
    <row r="240" spans="1:1">
      <c r="A240" s="5"/>
    </row>
    <row r="241" spans="1:1">
      <c r="A241" s="5"/>
    </row>
    <row r="242" spans="1:1">
      <c r="A242" s="5"/>
    </row>
    <row r="243" spans="1:1">
      <c r="A243" s="5"/>
    </row>
    <row r="244" spans="1:1">
      <c r="A244" s="5"/>
    </row>
    <row r="245" spans="1:1">
      <c r="A245" s="5"/>
    </row>
    <row r="246" spans="1:1">
      <c r="A246" s="5"/>
    </row>
    <row r="247" spans="1:1">
      <c r="A247" s="5"/>
    </row>
    <row r="248" spans="1:1">
      <c r="A248" s="5"/>
    </row>
    <row r="249" spans="1:1">
      <c r="A249" s="5"/>
    </row>
    <row r="250" spans="1:1">
      <c r="A250" s="5"/>
    </row>
    <row r="251" spans="1:1">
      <c r="A251" s="5"/>
    </row>
    <row r="252" spans="1:1">
      <c r="A252" s="5"/>
    </row>
    <row r="253" spans="1:1">
      <c r="A253" s="5"/>
    </row>
    <row r="254" spans="1:1">
      <c r="A254" s="5"/>
    </row>
    <row r="255" spans="1:1">
      <c r="A255" s="5"/>
    </row>
    <row r="256" spans="1:1">
      <c r="A256" s="5"/>
    </row>
    <row r="257" spans="1:1">
      <c r="A257" s="5"/>
    </row>
    <row r="258" spans="1:1">
      <c r="A258" s="5"/>
    </row>
    <row r="259" spans="1:1">
      <c r="A259" s="5"/>
    </row>
    <row r="260" spans="1:1">
      <c r="A260" s="5"/>
    </row>
    <row r="261" spans="1:1">
      <c r="A261" s="5"/>
    </row>
    <row r="262" spans="1:1">
      <c r="A262" s="5"/>
    </row>
    <row r="263" spans="1:1">
      <c r="A263" s="5"/>
    </row>
    <row r="264" spans="1:1">
      <c r="A264" s="5"/>
    </row>
    <row r="265" spans="1:1">
      <c r="A265" s="5"/>
    </row>
    <row r="266" spans="1:1">
      <c r="A266" s="5"/>
    </row>
    <row r="267" spans="1:1">
      <c r="A267" s="5"/>
    </row>
    <row r="268" spans="1:1">
      <c r="A268" s="5"/>
    </row>
    <row r="269" spans="1:1">
      <c r="A269" s="5"/>
    </row>
    <row r="270" spans="1:1">
      <c r="A270" s="5"/>
    </row>
    <row r="271" spans="1:1">
      <c r="A271" s="5"/>
    </row>
    <row r="272" spans="1:1">
      <c r="A272" s="5"/>
    </row>
    <row r="273" spans="1:1">
      <c r="A273" s="5"/>
    </row>
    <row r="274" spans="1:1">
      <c r="A274" s="5"/>
    </row>
    <row r="275" spans="1:1">
      <c r="A275" s="5"/>
    </row>
    <row r="276" spans="1:1">
      <c r="A276" s="5"/>
    </row>
    <row r="277" spans="1:1">
      <c r="A277" s="5"/>
    </row>
    <row r="278" spans="1:1">
      <c r="A278" s="5"/>
    </row>
    <row r="279" spans="1:1">
      <c r="A279" s="5"/>
    </row>
    <row r="280" spans="1:1">
      <c r="A280" s="5"/>
    </row>
    <row r="281" spans="1:1">
      <c r="A281" s="5"/>
    </row>
    <row r="282" spans="1:1">
      <c r="A282" s="5"/>
    </row>
    <row r="283" spans="1:1">
      <c r="A283" s="5"/>
    </row>
    <row r="284" spans="1:1">
      <c r="A284" s="5"/>
    </row>
    <row r="285" spans="1:1">
      <c r="A285" s="5"/>
    </row>
    <row r="286" spans="1:1">
      <c r="A286" s="5"/>
    </row>
    <row r="287" spans="1:1">
      <c r="A287" s="5"/>
    </row>
    <row r="288" spans="1:1">
      <c r="A288" s="5"/>
    </row>
    <row r="289" spans="1:1">
      <c r="A289" s="5"/>
    </row>
    <row r="290" spans="1:1">
      <c r="A290" s="5"/>
    </row>
    <row r="291" spans="1:1">
      <c r="A291" s="5"/>
    </row>
    <row r="292" spans="1:1">
      <c r="A292" s="5"/>
    </row>
    <row r="293" spans="1:1">
      <c r="A293" s="5"/>
    </row>
    <row r="294" spans="1:1">
      <c r="A294" s="5"/>
    </row>
    <row r="295" spans="1:1">
      <c r="A295" s="5"/>
    </row>
    <row r="296" spans="1:1">
      <c r="A296" s="5"/>
    </row>
    <row r="297" spans="1:1">
      <c r="A297" s="5"/>
    </row>
    <row r="298" spans="1:1">
      <c r="A298" s="5"/>
    </row>
    <row r="299" spans="1:1">
      <c r="A299" s="5"/>
    </row>
    <row r="300" spans="1:1">
      <c r="A300" s="5"/>
    </row>
    <row r="301" spans="1:1">
      <c r="A301" s="5"/>
    </row>
    <row r="302" spans="1:1">
      <c r="A302" s="5"/>
    </row>
    <row r="303" spans="1:1">
      <c r="A303" s="5"/>
    </row>
    <row r="304" spans="1:1">
      <c r="A304" s="5"/>
    </row>
    <row r="305" spans="1:1">
      <c r="A305" s="5"/>
    </row>
    <row r="306" spans="1:1">
      <c r="A306" s="5"/>
    </row>
    <row r="307" spans="1:1">
      <c r="A307" s="5"/>
    </row>
    <row r="308" spans="1:1">
      <c r="A308" s="5"/>
    </row>
    <row r="309" spans="1:1">
      <c r="A309" s="5"/>
    </row>
    <row r="310" spans="1:1">
      <c r="A310" s="5"/>
    </row>
    <row r="311" spans="1:1">
      <c r="A311" s="5"/>
    </row>
    <row r="312" spans="1:1">
      <c r="A312" s="5"/>
    </row>
    <row r="313" spans="1:1">
      <c r="A313" s="5"/>
    </row>
    <row r="314" spans="1:1">
      <c r="A314" s="5"/>
    </row>
    <row r="315" spans="1:1">
      <c r="A315" s="5"/>
    </row>
    <row r="316" spans="1:1">
      <c r="A316" s="5"/>
    </row>
    <row r="317" spans="1:1">
      <c r="A317" s="5"/>
    </row>
    <row r="318" spans="1:1">
      <c r="A318" s="5"/>
    </row>
    <row r="319" spans="1:1">
      <c r="A319" s="5"/>
    </row>
    <row r="320" spans="1:1">
      <c r="A320" s="5"/>
    </row>
    <row r="321" spans="1:1">
      <c r="A321" s="5"/>
    </row>
    <row r="322" spans="1:1">
      <c r="A322" s="5"/>
    </row>
    <row r="323" spans="1:1">
      <c r="A323" s="5"/>
    </row>
    <row r="324" spans="1:1">
      <c r="A324" s="5"/>
    </row>
    <row r="325" spans="1:1">
      <c r="A325" s="5"/>
    </row>
    <row r="326" spans="1:1">
      <c r="A326" s="5"/>
    </row>
    <row r="327" spans="1:1">
      <c r="A327" s="5"/>
    </row>
    <row r="328" spans="1:1">
      <c r="A328" s="5"/>
    </row>
    <row r="329" spans="1:1">
      <c r="A329" s="5"/>
    </row>
    <row r="330" spans="1:1">
      <c r="A330" s="5"/>
    </row>
    <row r="331" spans="1:1">
      <c r="A331" s="5"/>
    </row>
    <row r="332" spans="1:1">
      <c r="A332" s="5"/>
    </row>
    <row r="333" spans="1:1">
      <c r="A333" s="5"/>
    </row>
    <row r="334" spans="1:1">
      <c r="A334" s="5"/>
    </row>
    <row r="335" spans="1:1">
      <c r="A335" s="5"/>
    </row>
    <row r="336" spans="1:1">
      <c r="A336" s="5"/>
    </row>
    <row r="337" spans="1:1">
      <c r="A337" s="5"/>
    </row>
    <row r="338" spans="1:1">
      <c r="A338" s="5"/>
    </row>
    <row r="339" spans="1:1">
      <c r="A339" s="5"/>
    </row>
    <row r="340" spans="1:1">
      <c r="A340" s="5"/>
    </row>
    <row r="341" spans="1:1">
      <c r="A341" s="5"/>
    </row>
    <row r="342" spans="1:1">
      <c r="A342" s="5"/>
    </row>
    <row r="343" spans="1:1">
      <c r="A343" s="5"/>
    </row>
    <row r="344" spans="1:1">
      <c r="A344" s="5"/>
    </row>
    <row r="345" spans="1:1">
      <c r="A345" s="5"/>
    </row>
    <row r="346" spans="1:1">
      <c r="A346" s="5"/>
    </row>
    <row r="347" spans="1:1">
      <c r="A347" s="5"/>
    </row>
    <row r="348" spans="1:1">
      <c r="A348" s="5"/>
    </row>
    <row r="349" spans="1:1">
      <c r="A349" s="5"/>
    </row>
    <row r="350" spans="1:1">
      <c r="A350" s="5"/>
    </row>
    <row r="351" spans="1:1">
      <c r="A351" s="5"/>
    </row>
    <row r="352" spans="1:1">
      <c r="A352" s="5"/>
    </row>
    <row r="353" spans="1:1">
      <c r="A353" s="5"/>
    </row>
    <row r="354" spans="1:1">
      <c r="A354" s="5"/>
    </row>
    <row r="355" spans="1:1">
      <c r="A355" s="5"/>
    </row>
    <row r="356" spans="1:1">
      <c r="A356" s="5"/>
    </row>
    <row r="357" spans="1:1">
      <c r="A357" s="5"/>
    </row>
    <row r="358" spans="1:1">
      <c r="A358" s="5"/>
    </row>
    <row r="359" spans="1:1">
      <c r="A359" s="5"/>
    </row>
    <row r="360" spans="1:1">
      <c r="A360" s="5"/>
    </row>
    <row r="361" spans="1:1">
      <c r="A361" s="5"/>
    </row>
    <row r="362" spans="1:1">
      <c r="A362" s="5"/>
    </row>
    <row r="363" spans="1:1">
      <c r="A363" s="5"/>
    </row>
    <row r="364" spans="1:1">
      <c r="A364" s="5"/>
    </row>
    <row r="365" spans="1:1">
      <c r="A365" s="5"/>
    </row>
    <row r="366" spans="1:1">
      <c r="A366" s="5"/>
    </row>
    <row r="367" spans="1:1">
      <c r="A367" s="5"/>
    </row>
    <row r="368" spans="1:1">
      <c r="A368" s="5"/>
    </row>
    <row r="369" spans="1:1">
      <c r="A369" s="5"/>
    </row>
    <row r="370" spans="1:1">
      <c r="A370" s="5"/>
    </row>
    <row r="371" spans="1:1">
      <c r="A371" s="5"/>
    </row>
    <row r="372" spans="1:1">
      <c r="A372" s="5"/>
    </row>
    <row r="373" spans="1:1">
      <c r="A373" s="5"/>
    </row>
    <row r="374" spans="1:1">
      <c r="A374" s="5"/>
    </row>
    <row r="375" spans="1:1">
      <c r="A375" s="5"/>
    </row>
    <row r="376" spans="1:1">
      <c r="A376" s="5"/>
    </row>
    <row r="377" spans="1:1">
      <c r="A377" s="5"/>
    </row>
    <row r="378" spans="1:1">
      <c r="A378" s="5"/>
    </row>
    <row r="379" spans="1:1">
      <c r="A379" s="5"/>
    </row>
    <row r="380" spans="1:1">
      <c r="A380" s="5"/>
    </row>
    <row r="381" spans="1:1">
      <c r="A381" s="5"/>
    </row>
    <row r="382" spans="1:1">
      <c r="A382" s="5"/>
    </row>
    <row r="383" spans="1:1">
      <c r="A383" s="5"/>
    </row>
    <row r="384" spans="1:1">
      <c r="A384" s="5"/>
    </row>
    <row r="385" spans="1:1">
      <c r="A385" s="5"/>
    </row>
    <row r="386" spans="1:1">
      <c r="A386" s="5"/>
    </row>
    <row r="387" spans="1:1">
      <c r="A387" s="5"/>
    </row>
    <row r="388" spans="1:1">
      <c r="A388" s="5"/>
    </row>
    <row r="389" spans="1:1">
      <c r="A389" s="5"/>
    </row>
    <row r="390" spans="1:1">
      <c r="A390" s="5"/>
    </row>
    <row r="391" spans="1:1">
      <c r="A391" s="5"/>
    </row>
    <row r="392" spans="1:1">
      <c r="A392" s="5"/>
    </row>
    <row r="393" spans="1:1">
      <c r="A393" s="5"/>
    </row>
    <row r="394" spans="1:1">
      <c r="A394" s="5"/>
    </row>
    <row r="395" spans="1:1">
      <c r="A395" s="5"/>
    </row>
    <row r="396" spans="1:1">
      <c r="A396" s="5"/>
    </row>
    <row r="397" spans="1:1">
      <c r="A397" s="5"/>
    </row>
    <row r="398" spans="1:1">
      <c r="A398" s="5"/>
    </row>
    <row r="399" spans="1:1">
      <c r="A399" s="5"/>
    </row>
    <row r="400" spans="1:1">
      <c r="A400" s="5"/>
    </row>
    <row r="401" spans="1:1">
      <c r="A401" s="5"/>
    </row>
    <row r="402" spans="1:1">
      <c r="A402" s="5"/>
    </row>
    <row r="403" spans="1:1">
      <c r="A403" s="5"/>
    </row>
    <row r="404" spans="1:1">
      <c r="A404" s="5"/>
    </row>
    <row r="405" spans="1:1">
      <c r="A405" s="5"/>
    </row>
    <row r="406" spans="1:1">
      <c r="A406" s="5"/>
    </row>
    <row r="407" spans="1:1">
      <c r="A407" s="5"/>
    </row>
    <row r="408" spans="1:1">
      <c r="A408" s="5"/>
    </row>
    <row r="409" spans="1:1">
      <c r="A409" s="5"/>
    </row>
    <row r="410" spans="1:1">
      <c r="A410" s="5"/>
    </row>
    <row r="411" spans="1:1">
      <c r="A411" s="5"/>
    </row>
    <row r="412" spans="1:1">
      <c r="A412" s="5"/>
    </row>
    <row r="413" spans="1:1">
      <c r="A413" s="5"/>
    </row>
    <row r="414" spans="1:1">
      <c r="A414" s="5"/>
    </row>
    <row r="415" spans="1:1">
      <c r="A415" s="5"/>
    </row>
    <row r="416" spans="1:1">
      <c r="A416" s="5"/>
    </row>
    <row r="417" spans="1:1">
      <c r="A417" s="5"/>
    </row>
    <row r="418" spans="1:1">
      <c r="A418" s="5"/>
    </row>
    <row r="419" spans="1:1">
      <c r="A419" s="5"/>
    </row>
    <row r="420" spans="1:1">
      <c r="A420" s="5"/>
    </row>
    <row r="421" spans="1:1">
      <c r="A421" s="5"/>
    </row>
    <row r="422" spans="1:1">
      <c r="A422" s="5"/>
    </row>
    <row r="423" spans="1:1">
      <c r="A423" s="5"/>
    </row>
    <row r="424" spans="1:1">
      <c r="A424" s="5"/>
    </row>
    <row r="425" spans="1:1">
      <c r="A425" s="5"/>
    </row>
    <row r="426" spans="1:1">
      <c r="A426" s="5"/>
    </row>
    <row r="427" spans="1:1">
      <c r="A427" s="5"/>
    </row>
    <row r="428" spans="1:1">
      <c r="A428" s="5"/>
    </row>
    <row r="429" spans="1:1">
      <c r="A429" s="5"/>
    </row>
    <row r="430" spans="1:1">
      <c r="A430" s="5"/>
    </row>
    <row r="431" spans="1:1">
      <c r="A431" s="5"/>
    </row>
    <row r="432" spans="1:1">
      <c r="A432" s="5"/>
    </row>
    <row r="433" spans="1:1">
      <c r="A433" s="5"/>
    </row>
    <row r="434" spans="1:1">
      <c r="A434" s="5"/>
    </row>
    <row r="435" spans="1:1">
      <c r="A435" s="5"/>
    </row>
    <row r="436" spans="1:1">
      <c r="A436" s="5"/>
    </row>
    <row r="437" spans="1:1">
      <c r="A437" s="5"/>
    </row>
    <row r="438" spans="1:1">
      <c r="A438" s="5"/>
    </row>
    <row r="439" spans="1:1">
      <c r="A439" s="5"/>
    </row>
    <row r="440" spans="1:1">
      <c r="A440" s="5"/>
    </row>
    <row r="441" spans="1:1">
      <c r="A441" s="5"/>
    </row>
    <row r="442" spans="1:1">
      <c r="A442" s="5"/>
    </row>
    <row r="443" spans="1:1">
      <c r="A443" s="5"/>
    </row>
    <row r="444" spans="1:1">
      <c r="A444" s="5"/>
    </row>
    <row r="445" spans="1:1">
      <c r="A445" s="5"/>
    </row>
    <row r="446" spans="1:1">
      <c r="A446" s="5"/>
    </row>
    <row r="447" spans="1:1">
      <c r="A447" s="5"/>
    </row>
    <row r="448" spans="1:1">
      <c r="A448" s="5"/>
    </row>
    <row r="449" spans="1:1">
      <c r="A449" s="5"/>
    </row>
    <row r="450" spans="1:1">
      <c r="A450" s="5"/>
    </row>
    <row r="451" spans="1:1">
      <c r="A451" s="5"/>
    </row>
    <row r="452" spans="1:1">
      <c r="A452" s="5"/>
    </row>
    <row r="453" spans="1:1">
      <c r="A453" s="5"/>
    </row>
    <row r="454" spans="1:1">
      <c r="A454" s="5"/>
    </row>
    <row r="455" spans="1:1">
      <c r="A455" s="5"/>
    </row>
    <row r="456" spans="1:1">
      <c r="A456" s="5"/>
    </row>
    <row r="457" spans="1:1">
      <c r="A457" s="5"/>
    </row>
    <row r="458" spans="1:1">
      <c r="A458" s="5"/>
    </row>
    <row r="459" spans="1:1">
      <c r="A459" s="5"/>
    </row>
    <row r="460" spans="1:1">
      <c r="A460" s="5"/>
    </row>
    <row r="461" spans="1:1">
      <c r="A461" s="5"/>
    </row>
    <row r="462" spans="1:1">
      <c r="A462" s="5"/>
    </row>
    <row r="463" spans="1:1">
      <c r="A463" s="5"/>
    </row>
    <row r="464" spans="1:1">
      <c r="A464" s="5"/>
    </row>
    <row r="465" spans="1:1">
      <c r="A465" s="5"/>
    </row>
    <row r="466" spans="1:1">
      <c r="A466" s="5"/>
    </row>
    <row r="467" spans="1:1">
      <c r="A467" s="5"/>
    </row>
    <row r="468" spans="1:1">
      <c r="A468" s="5"/>
    </row>
    <row r="469" spans="1:1">
      <c r="A469" s="5"/>
    </row>
    <row r="470" spans="1:1">
      <c r="A470" s="5"/>
    </row>
    <row r="471" spans="1:1">
      <c r="A471" s="5"/>
    </row>
    <row r="472" spans="1:1">
      <c r="A472" s="5"/>
    </row>
    <row r="473" spans="1:1">
      <c r="A473" s="5"/>
    </row>
    <row r="474" spans="1:1">
      <c r="A474" s="5"/>
    </row>
    <row r="475" spans="1:1">
      <c r="A475" s="5"/>
    </row>
    <row r="476" spans="1:1">
      <c r="A476" s="5"/>
    </row>
    <row r="477" spans="1:1">
      <c r="A477" s="5"/>
    </row>
    <row r="478" spans="1:1">
      <c r="A478" s="5"/>
    </row>
    <row r="479" spans="1:1">
      <c r="A479" s="5"/>
    </row>
    <row r="480" spans="1:1">
      <c r="A480" s="5"/>
    </row>
    <row r="481" spans="1:1">
      <c r="A481" s="5"/>
    </row>
    <row r="482" spans="1:1">
      <c r="A482" s="5"/>
    </row>
    <row r="483" spans="1:1">
      <c r="A483" s="5"/>
    </row>
    <row r="484" spans="1:1">
      <c r="A484" s="5"/>
    </row>
    <row r="485" spans="1:1">
      <c r="A485" s="5"/>
    </row>
    <row r="486" spans="1:1">
      <c r="A486" s="5"/>
    </row>
    <row r="487" spans="1:1">
      <c r="A487" s="5"/>
    </row>
    <row r="488" spans="1:1">
      <c r="A488" s="5"/>
    </row>
    <row r="489" spans="1:1">
      <c r="A489" s="5"/>
    </row>
    <row r="490" spans="1:1">
      <c r="A490" s="5"/>
    </row>
    <row r="491" spans="1:1">
      <c r="A491" s="5"/>
    </row>
    <row r="492" spans="1:1">
      <c r="A492" s="5"/>
    </row>
    <row r="493" spans="1:1">
      <c r="A493" s="5"/>
    </row>
    <row r="494" spans="1:1">
      <c r="A494" s="5"/>
    </row>
    <row r="495" spans="1:1">
      <c r="A495" s="5"/>
    </row>
    <row r="496" spans="1:1">
      <c r="A496" s="5"/>
    </row>
    <row r="497" spans="1:1">
      <c r="A497" s="5"/>
    </row>
    <row r="498" spans="1:1">
      <c r="A498" s="5"/>
    </row>
    <row r="499" spans="1:1">
      <c r="A499" s="5"/>
    </row>
    <row r="500" spans="1:1">
      <c r="A500" s="5"/>
    </row>
    <row r="501" spans="1:1">
      <c r="A501" s="5"/>
    </row>
    <row r="502" spans="1:1">
      <c r="A502" s="5"/>
    </row>
    <row r="503" spans="1:1">
      <c r="A503" s="5"/>
    </row>
    <row r="504" spans="1:1">
      <c r="A504" s="5"/>
    </row>
    <row r="505" spans="1:1">
      <c r="A505" s="5"/>
    </row>
    <row r="506" spans="1:1">
      <c r="A506" s="5"/>
    </row>
    <row r="507" spans="1:1">
      <c r="A507" s="5"/>
    </row>
    <row r="508" spans="1:1">
      <c r="A508" s="5"/>
    </row>
    <row r="509" spans="1:1">
      <c r="A509" s="5"/>
    </row>
    <row r="510" spans="1:1">
      <c r="A510" s="5"/>
    </row>
    <row r="511" spans="1:1">
      <c r="A511" s="5"/>
    </row>
    <row r="512" spans="1:1">
      <c r="A512" s="5"/>
    </row>
    <row r="513" spans="1:1">
      <c r="A513" s="5"/>
    </row>
    <row r="514" spans="1:1">
      <c r="A514" s="5"/>
    </row>
    <row r="515" spans="1:1">
      <c r="A515" s="5"/>
    </row>
    <row r="516" spans="1:1">
      <c r="A516" s="5"/>
    </row>
    <row r="517" spans="1:1">
      <c r="A517" s="5"/>
    </row>
    <row r="518" spans="1:1">
      <c r="A518" s="5"/>
    </row>
    <row r="519" spans="1:1">
      <c r="A519" s="5"/>
    </row>
    <row r="520" spans="1:1">
      <c r="A520" s="5"/>
    </row>
    <row r="521" spans="1:1">
      <c r="A521" s="5"/>
    </row>
    <row r="522" spans="1:1">
      <c r="A522" s="5"/>
    </row>
    <row r="523" spans="1:1">
      <c r="A523" s="5"/>
    </row>
    <row r="524" spans="1:1">
      <c r="A524" s="5"/>
    </row>
    <row r="525" spans="1:1">
      <c r="A525" s="5"/>
    </row>
    <row r="526" spans="1:1">
      <c r="A526" s="5"/>
    </row>
    <row r="527" spans="1:1">
      <c r="A527" s="5"/>
    </row>
    <row r="528" spans="1:1">
      <c r="A528" s="5"/>
    </row>
    <row r="529" spans="1:1">
      <c r="A529" s="5"/>
    </row>
    <row r="530" spans="1:1">
      <c r="A530" s="5"/>
    </row>
    <row r="531" spans="1:1">
      <c r="A531" s="5"/>
    </row>
    <row r="532" spans="1:1">
      <c r="A532" s="5"/>
    </row>
    <row r="533" spans="1:1">
      <c r="A533" s="5"/>
    </row>
    <row r="534" spans="1:1">
      <c r="A534" s="5"/>
    </row>
    <row r="535" spans="1:1">
      <c r="A535" s="5"/>
    </row>
    <row r="536" spans="1:1">
      <c r="A536" s="5"/>
    </row>
    <row r="537" spans="1:1">
      <c r="A537" s="5"/>
    </row>
    <row r="538" spans="1:1">
      <c r="A538" s="5"/>
    </row>
    <row r="539" spans="1:1">
      <c r="A539" s="5"/>
    </row>
    <row r="540" spans="1:1">
      <c r="A540" s="5"/>
    </row>
    <row r="541" spans="1:1">
      <c r="A541" s="5"/>
    </row>
    <row r="542" spans="1:1">
      <c r="A542" s="5"/>
    </row>
    <row r="543" spans="1:1">
      <c r="A543" s="5"/>
    </row>
    <row r="544" spans="1:1">
      <c r="A544" s="5"/>
    </row>
    <row r="545" spans="1:1">
      <c r="A545" s="5"/>
    </row>
    <row r="546" spans="1:1">
      <c r="A546" s="5"/>
    </row>
    <row r="547" spans="1:1">
      <c r="A547" s="5"/>
    </row>
    <row r="548" spans="1:1">
      <c r="A548" s="5"/>
    </row>
    <row r="549" spans="1:1">
      <c r="A549" s="5"/>
    </row>
    <row r="550" spans="1:1">
      <c r="A550" s="5"/>
    </row>
    <row r="551" spans="1:1">
      <c r="A551" s="5"/>
    </row>
    <row r="552" spans="1:1">
      <c r="A552" s="5"/>
    </row>
    <row r="553" spans="1:1">
      <c r="A553" s="5"/>
    </row>
    <row r="554" spans="1:1">
      <c r="A554" s="5"/>
    </row>
    <row r="555" spans="1:1">
      <c r="A555" s="5"/>
    </row>
    <row r="556" spans="1:1">
      <c r="A556" s="5"/>
    </row>
    <row r="557" spans="1:1">
      <c r="A557" s="5"/>
    </row>
    <row r="558" spans="1:1">
      <c r="A558" s="5"/>
    </row>
    <row r="559" spans="1:1">
      <c r="A559" s="5"/>
    </row>
    <row r="560" spans="1:1">
      <c r="A560" s="5"/>
    </row>
    <row r="561" spans="1:1">
      <c r="A561" s="5"/>
    </row>
    <row r="562" spans="1:1">
      <c r="A562" s="5"/>
    </row>
    <row r="563" spans="1:1">
      <c r="A563" s="5"/>
    </row>
    <row r="564" spans="1:1">
      <c r="A564" s="5"/>
    </row>
    <row r="565" spans="1:1">
      <c r="A565" s="5"/>
    </row>
    <row r="566" spans="1:1">
      <c r="A566" s="5"/>
    </row>
    <row r="567" spans="1:1">
      <c r="A567" s="5"/>
    </row>
    <row r="568" spans="1:1">
      <c r="A568" s="5"/>
    </row>
    <row r="569" spans="1:1">
      <c r="A569" s="5"/>
    </row>
    <row r="570" spans="1:1">
      <c r="A570" s="5"/>
    </row>
    <row r="571" spans="1:1">
      <c r="A571" s="5"/>
    </row>
    <row r="572" spans="1:1">
      <c r="A572" s="5"/>
    </row>
    <row r="573" spans="1:1">
      <c r="A573" s="5"/>
    </row>
    <row r="574" spans="1:1">
      <c r="A574" s="5"/>
    </row>
    <row r="575" spans="1:1">
      <c r="A575" s="5"/>
    </row>
    <row r="576" spans="1:1">
      <c r="A576" s="5"/>
    </row>
    <row r="577" spans="1:1">
      <c r="A577" s="5"/>
    </row>
    <row r="578" spans="1:1">
      <c r="A578" s="5"/>
    </row>
    <row r="579" spans="1:1">
      <c r="A579" s="5"/>
    </row>
    <row r="580" spans="1:1">
      <c r="A580" s="5"/>
    </row>
    <row r="581" spans="1:1">
      <c r="A581" s="5"/>
    </row>
    <row r="582" spans="1:1">
      <c r="A582" s="5"/>
    </row>
    <row r="583" spans="1:1">
      <c r="A583" s="5"/>
    </row>
    <row r="584" spans="1:1">
      <c r="A584" s="5"/>
    </row>
    <row r="585" spans="1:1">
      <c r="A585" s="5"/>
    </row>
    <row r="586" spans="1:1">
      <c r="A586" s="5"/>
    </row>
    <row r="587" spans="1:1">
      <c r="A587" s="5"/>
    </row>
    <row r="588" spans="1:1">
      <c r="A588" s="5"/>
    </row>
    <row r="589" spans="1:1">
      <c r="A589" s="5"/>
    </row>
    <row r="590" spans="1:1">
      <c r="A590" s="5"/>
    </row>
    <row r="591" spans="1:1">
      <c r="A591" s="5"/>
    </row>
    <row r="592" spans="1:1">
      <c r="A592" s="5"/>
    </row>
    <row r="593" spans="1:1">
      <c r="A593" s="5"/>
    </row>
    <row r="594" spans="1:1">
      <c r="A594" s="5"/>
    </row>
    <row r="595" spans="1:1">
      <c r="A595" s="5"/>
    </row>
    <row r="596" spans="1:1">
      <c r="A596" s="5"/>
    </row>
    <row r="597" spans="1:1">
      <c r="A597" s="5"/>
    </row>
    <row r="598" spans="1:1">
      <c r="A598" s="5"/>
    </row>
    <row r="599" spans="1:1">
      <c r="A599" s="5"/>
    </row>
    <row r="600" spans="1:1">
      <c r="A600" s="5"/>
    </row>
    <row r="601" spans="1:1">
      <c r="A601" s="5"/>
    </row>
    <row r="602" spans="1:1">
      <c r="A602" s="5"/>
    </row>
    <row r="603" spans="1:1">
      <c r="A603" s="5"/>
    </row>
    <row r="604" spans="1:1">
      <c r="A604" s="5"/>
    </row>
    <row r="605" spans="1:1">
      <c r="A605" s="5"/>
    </row>
    <row r="606" spans="1:1">
      <c r="A606" s="5"/>
    </row>
    <row r="607" spans="1:1">
      <c r="A607" s="5"/>
    </row>
    <row r="608" spans="1:1">
      <c r="A608" s="5"/>
    </row>
    <row r="609" spans="1:1">
      <c r="A609" s="5"/>
    </row>
    <row r="610" spans="1:1">
      <c r="A610" s="5"/>
    </row>
    <row r="611" spans="1:1">
      <c r="A611" s="5"/>
    </row>
    <row r="612" spans="1:1">
      <c r="A612" s="5"/>
    </row>
    <row r="613" spans="1:1">
      <c r="A613" s="5"/>
    </row>
    <row r="614" spans="1:1">
      <c r="A614" s="5"/>
    </row>
    <row r="615" spans="1:1">
      <c r="A615" s="5"/>
    </row>
    <row r="616" spans="1:1">
      <c r="A616" s="5"/>
    </row>
    <row r="617" spans="1:1">
      <c r="A617" s="5"/>
    </row>
    <row r="618" spans="1:1">
      <c r="A618" s="5"/>
    </row>
    <row r="619" spans="1:1">
      <c r="A619" s="5"/>
    </row>
    <row r="620" spans="1:1">
      <c r="A620" s="5"/>
    </row>
    <row r="621" spans="1:1">
      <c r="A621" s="5"/>
    </row>
    <row r="622" spans="1:1">
      <c r="A622" s="5"/>
    </row>
    <row r="623" spans="1:1">
      <c r="A623" s="5"/>
    </row>
    <row r="624" spans="1:1">
      <c r="A624" s="5"/>
    </row>
    <row r="625" spans="1:1">
      <c r="A625" s="5"/>
    </row>
    <row r="626" spans="1:1">
      <c r="A626" s="5"/>
    </row>
    <row r="627" spans="1:1">
      <c r="A627" s="5"/>
    </row>
    <row r="628" spans="1:1">
      <c r="A628" s="5"/>
    </row>
    <row r="629" spans="1:1">
      <c r="A629" s="5"/>
    </row>
    <row r="630" spans="1:1">
      <c r="A630" s="5"/>
    </row>
    <row r="631" spans="1:1">
      <c r="A631" s="5"/>
    </row>
    <row r="632" spans="1:1">
      <c r="A632" s="5"/>
    </row>
    <row r="633" spans="1:1">
      <c r="A633" s="5"/>
    </row>
    <row r="634" spans="1:1">
      <c r="A634" s="5"/>
    </row>
    <row r="635" spans="1:1">
      <c r="A635" s="5"/>
    </row>
    <row r="636" spans="1:1">
      <c r="A636" s="5"/>
    </row>
    <row r="637" spans="1:1">
      <c r="A637" s="5"/>
    </row>
    <row r="638" spans="1:1">
      <c r="A638" s="5"/>
    </row>
    <row r="639" spans="1:1">
      <c r="A639" s="5"/>
    </row>
    <row r="640" spans="1:1">
      <c r="A640" s="5"/>
    </row>
    <row r="641" spans="1:1">
      <c r="A641" s="5"/>
    </row>
    <row r="642" spans="1:1">
      <c r="A642" s="5"/>
    </row>
    <row r="643" spans="1:1">
      <c r="A643" s="5"/>
    </row>
    <row r="644" spans="1:1">
      <c r="A644" s="5"/>
    </row>
    <row r="645" spans="1:1">
      <c r="A645" s="5"/>
    </row>
    <row r="646" spans="1:1">
      <c r="A646" s="5"/>
    </row>
    <row r="647" spans="1:1">
      <c r="A647" s="5"/>
    </row>
    <row r="648" spans="1:1">
      <c r="A648" s="5"/>
    </row>
    <row r="649" spans="1:1">
      <c r="A649" s="5"/>
    </row>
    <row r="650" spans="1:1">
      <c r="A650" s="5"/>
    </row>
    <row r="651" spans="1:1">
      <c r="A651" s="5"/>
    </row>
    <row r="652" spans="1:1">
      <c r="A652" s="5"/>
    </row>
    <row r="653" spans="1:1">
      <c r="A653" s="5"/>
    </row>
    <row r="654" spans="1:1">
      <c r="A654" s="5"/>
    </row>
    <row r="655" spans="1:1">
      <c r="A655" s="5"/>
    </row>
    <row r="656" spans="1:1">
      <c r="A656" s="5"/>
    </row>
    <row r="657" spans="1:1">
      <c r="A657" s="5"/>
    </row>
    <row r="658" spans="1:1">
      <c r="A658" s="5"/>
    </row>
    <row r="659" spans="1:1">
      <c r="A659" s="5"/>
    </row>
    <row r="660" spans="1:1">
      <c r="A660" s="5"/>
    </row>
    <row r="661" spans="1:1">
      <c r="A661" s="5"/>
    </row>
    <row r="662" spans="1:1">
      <c r="A662" s="5"/>
    </row>
    <row r="663" spans="1:1">
      <c r="A663" s="5"/>
    </row>
    <row r="664" spans="1:1">
      <c r="A664" s="5"/>
    </row>
    <row r="665" spans="1:1">
      <c r="A665" s="5"/>
    </row>
    <row r="666" spans="1:1">
      <c r="A666" s="5"/>
    </row>
    <row r="667" spans="1:1">
      <c r="A667" s="5"/>
    </row>
    <row r="668" spans="1:1">
      <c r="A668" s="5"/>
    </row>
    <row r="669" spans="1:1">
      <c r="A669" s="5"/>
    </row>
    <row r="670" spans="1:1">
      <c r="A670" s="5"/>
    </row>
    <row r="671" spans="1:1">
      <c r="A671" s="5"/>
    </row>
    <row r="672" spans="1:1">
      <c r="A672" s="5"/>
    </row>
    <row r="673" spans="1:1">
      <c r="A673" s="5"/>
    </row>
    <row r="674" spans="1:1">
      <c r="A674" s="5"/>
    </row>
    <row r="675" spans="1:1">
      <c r="A675" s="5"/>
    </row>
    <row r="676" spans="1:1">
      <c r="A676" s="5"/>
    </row>
    <row r="677" spans="1:1">
      <c r="A677" s="5"/>
    </row>
    <row r="678" spans="1:1">
      <c r="A678" s="5"/>
    </row>
    <row r="679" spans="1:1">
      <c r="A679" s="5"/>
    </row>
    <row r="680" spans="1:1">
      <c r="A680" s="5"/>
    </row>
    <row r="681" spans="1:1">
      <c r="A681" s="5"/>
    </row>
    <row r="682" spans="1:1">
      <c r="A682" s="5"/>
    </row>
    <row r="683" spans="1:1">
      <c r="A683" s="5"/>
    </row>
    <row r="684" spans="1:1">
      <c r="A684" s="5"/>
    </row>
    <row r="685" spans="1:1">
      <c r="A685" s="5"/>
    </row>
    <row r="686" spans="1:1">
      <c r="A686" s="5"/>
    </row>
    <row r="687" spans="1:1">
      <c r="A687" s="5"/>
    </row>
    <row r="688" spans="1:1">
      <c r="A688" s="5"/>
    </row>
    <row r="689" spans="1:1">
      <c r="A689" s="5"/>
    </row>
    <row r="690" spans="1:1">
      <c r="A690" s="5"/>
    </row>
    <row r="691" spans="1:1">
      <c r="A691" s="5"/>
    </row>
    <row r="692" spans="1:1">
      <c r="A692" s="5"/>
    </row>
    <row r="693" spans="1:1">
      <c r="A693" s="5"/>
    </row>
    <row r="694" spans="1:1">
      <c r="A694" s="5"/>
    </row>
    <row r="695" spans="1:1">
      <c r="A695" s="5"/>
    </row>
    <row r="696" spans="1:1">
      <c r="A696" s="5"/>
    </row>
    <row r="697" spans="1:1">
      <c r="A697" s="5"/>
    </row>
    <row r="698" spans="1:1">
      <c r="A698" s="5"/>
    </row>
    <row r="699" spans="1:1">
      <c r="A699" s="5"/>
    </row>
    <row r="700" spans="1:1">
      <c r="A700" s="5"/>
    </row>
    <row r="701" spans="1:1">
      <c r="A701" s="5"/>
    </row>
    <row r="702" spans="1:1">
      <c r="A702" s="5"/>
    </row>
    <row r="703" spans="1:1">
      <c r="A703" s="5"/>
    </row>
    <row r="704" spans="1:1">
      <c r="A704" s="5"/>
    </row>
    <row r="705" spans="1:1">
      <c r="A705" s="5"/>
    </row>
    <row r="706" spans="1:1">
      <c r="A706" s="5"/>
    </row>
    <row r="707" spans="1:1">
      <c r="A707" s="5"/>
    </row>
    <row r="708" spans="1:1">
      <c r="A708" s="5"/>
    </row>
    <row r="709" spans="1:1">
      <c r="A709" s="5"/>
    </row>
    <row r="710" spans="1:1">
      <c r="A710" s="5"/>
    </row>
    <row r="711" spans="1:1">
      <c r="A711" s="5"/>
    </row>
    <row r="712" spans="1:1">
      <c r="A712" s="5"/>
    </row>
    <row r="713" spans="1:1">
      <c r="A713" s="5"/>
    </row>
    <row r="714" spans="1:1">
      <c r="A714" s="5"/>
    </row>
    <row r="715" spans="1:1">
      <c r="A715" s="5"/>
    </row>
    <row r="716" spans="1:1">
      <c r="A716" s="5"/>
    </row>
    <row r="717" spans="1:1">
      <c r="A717" s="5"/>
    </row>
    <row r="718" spans="1:1">
      <c r="A718" s="5"/>
    </row>
    <row r="719" spans="1:1">
      <c r="A719" s="5"/>
    </row>
    <row r="720" spans="1:1">
      <c r="A720" s="5"/>
    </row>
    <row r="721" spans="1:1">
      <c r="A721" s="5"/>
    </row>
    <row r="722" spans="1:1">
      <c r="A722" s="5"/>
    </row>
    <row r="723" spans="1:1">
      <c r="A723" s="5"/>
    </row>
    <row r="724" spans="1:1">
      <c r="A724" s="5"/>
    </row>
    <row r="725" spans="1:1">
      <c r="A725" s="5"/>
    </row>
    <row r="726" spans="1:1">
      <c r="A726" s="5"/>
    </row>
    <row r="727" spans="1:1">
      <c r="A727" s="5"/>
    </row>
    <row r="728" spans="1:1">
      <c r="A728" s="5"/>
    </row>
    <row r="729" spans="1:1">
      <c r="A729" s="5"/>
    </row>
    <row r="730" spans="1:1">
      <c r="A730" s="5"/>
    </row>
    <row r="731" spans="1:1">
      <c r="A731" s="5"/>
    </row>
    <row r="732" spans="1:1">
      <c r="A732" s="5"/>
    </row>
    <row r="733" spans="1:1">
      <c r="A733" s="5"/>
    </row>
    <row r="734" spans="1:1">
      <c r="A734" s="5"/>
    </row>
    <row r="735" spans="1:1">
      <c r="A735" s="5"/>
    </row>
    <row r="736" spans="1:1">
      <c r="A736" s="5"/>
    </row>
    <row r="737" spans="1:1">
      <c r="A737" s="5"/>
    </row>
    <row r="738" spans="1:1">
      <c r="A738" s="5"/>
    </row>
    <row r="739" spans="1:1">
      <c r="A739" s="5"/>
    </row>
    <row r="740" spans="1:1">
      <c r="A740" s="5"/>
    </row>
    <row r="741" spans="1:1">
      <c r="A741" s="5"/>
    </row>
    <row r="742" spans="1:1">
      <c r="A742" s="5"/>
    </row>
    <row r="743" spans="1:1">
      <c r="A743" s="5"/>
    </row>
    <row r="744" spans="1:1">
      <c r="A744" s="5"/>
    </row>
    <row r="745" spans="1:1">
      <c r="A745" s="5"/>
    </row>
    <row r="746" spans="1:1">
      <c r="A746" s="5"/>
    </row>
    <row r="747" spans="1:1">
      <c r="A747" s="5"/>
    </row>
    <row r="748" spans="1:1">
      <c r="A748" s="5"/>
    </row>
    <row r="749" spans="1:1">
      <c r="A749" s="5"/>
    </row>
    <row r="750" spans="1:1">
      <c r="A750" s="5"/>
    </row>
    <row r="751" spans="1:1">
      <c r="A751" s="5"/>
    </row>
    <row r="752" spans="1:1">
      <c r="A752" s="5"/>
    </row>
    <row r="753" spans="1:1">
      <c r="A753" s="5"/>
    </row>
    <row r="754" spans="1:1">
      <c r="A754" s="5"/>
    </row>
    <row r="755" spans="1:1">
      <c r="A755" s="5"/>
    </row>
    <row r="756" spans="1:1">
      <c r="A756" s="5"/>
    </row>
    <row r="757" spans="1:1">
      <c r="A757" s="5"/>
    </row>
    <row r="758" spans="1:1">
      <c r="A758" s="5"/>
    </row>
    <row r="759" spans="1:1">
      <c r="A759" s="5"/>
    </row>
    <row r="760" spans="1:1">
      <c r="A760" s="5"/>
    </row>
    <row r="761" spans="1:1">
      <c r="A761" s="5"/>
    </row>
    <row r="762" spans="1:1">
      <c r="A762" s="5"/>
    </row>
    <row r="763" spans="1:1">
      <c r="A763" s="5"/>
    </row>
    <row r="764" spans="1:1">
      <c r="A764" s="5"/>
    </row>
    <row r="765" spans="1:1">
      <c r="A765" s="5"/>
    </row>
    <row r="766" spans="1:1">
      <c r="A766" s="5"/>
    </row>
    <row r="767" spans="1:1">
      <c r="A767" s="5"/>
    </row>
    <row r="768" spans="1:1">
      <c r="A768" s="5"/>
    </row>
    <row r="769" spans="1:1">
      <c r="A769" s="5"/>
    </row>
    <row r="770" spans="1:1">
      <c r="A770" s="5"/>
    </row>
    <row r="771" spans="1:1">
      <c r="A771" s="5"/>
    </row>
    <row r="772" spans="1:1">
      <c r="A772" s="5"/>
    </row>
    <row r="773" spans="1:1">
      <c r="A773" s="5"/>
    </row>
    <row r="774" spans="1:1">
      <c r="A774" s="5"/>
    </row>
    <row r="775" spans="1:1">
      <c r="A775" s="5"/>
    </row>
    <row r="776" spans="1:1">
      <c r="A776" s="5"/>
    </row>
    <row r="777" spans="1:1">
      <c r="A777" s="5"/>
    </row>
    <row r="778" spans="1:1">
      <c r="A778" s="5"/>
    </row>
    <row r="779" spans="1:1">
      <c r="A779" s="5"/>
    </row>
    <row r="780" spans="1:1">
      <c r="A780" s="5"/>
    </row>
    <row r="781" spans="1:1">
      <c r="A781" s="5"/>
    </row>
    <row r="782" spans="1:1">
      <c r="A782" s="5"/>
    </row>
    <row r="783" spans="1:1">
      <c r="A783" s="5"/>
    </row>
    <row r="784" spans="1:1">
      <c r="A784" s="5"/>
    </row>
    <row r="785" spans="1:1">
      <c r="A785" s="5"/>
    </row>
    <row r="786" spans="1:1">
      <c r="A786" s="5"/>
    </row>
    <row r="787" spans="1:1">
      <c r="A787" s="5"/>
    </row>
    <row r="788" spans="1:1">
      <c r="A788" s="5"/>
    </row>
    <row r="789" spans="1:1">
      <c r="A789" s="5"/>
    </row>
    <row r="790" spans="1:1">
      <c r="A790" s="5"/>
    </row>
    <row r="791" spans="1:1">
      <c r="A791" s="5"/>
    </row>
    <row r="792" spans="1:1">
      <c r="A792" s="5"/>
    </row>
    <row r="793" spans="1:1">
      <c r="A793" s="5"/>
    </row>
    <row r="794" spans="1:1">
      <c r="A794" s="5"/>
    </row>
    <row r="795" spans="1:1">
      <c r="A795" s="5"/>
    </row>
    <row r="796" spans="1:1">
      <c r="A796" s="5"/>
    </row>
    <row r="797" spans="1:1">
      <c r="A797" s="5"/>
    </row>
    <row r="798" spans="1:1">
      <c r="A798" s="5"/>
    </row>
    <row r="799" spans="1:1">
      <c r="A799" s="5"/>
    </row>
    <row r="800" spans="1:1">
      <c r="A800" s="5"/>
    </row>
    <row r="801" spans="1:1">
      <c r="A801" s="5"/>
    </row>
    <row r="802" spans="1:1">
      <c r="A802" s="5"/>
    </row>
    <row r="803" spans="1:1">
      <c r="A803" s="5"/>
    </row>
    <row r="804" spans="1:1">
      <c r="A804" s="5"/>
    </row>
    <row r="805" spans="1:1">
      <c r="A805" s="5"/>
    </row>
    <row r="806" spans="1:1">
      <c r="A806" s="5"/>
    </row>
    <row r="807" spans="1:1">
      <c r="A807" s="5"/>
    </row>
    <row r="808" spans="1:1">
      <c r="A808" s="5"/>
    </row>
    <row r="809" spans="1:1">
      <c r="A809" s="5"/>
    </row>
    <row r="810" spans="1:1">
      <c r="A810" s="5"/>
    </row>
    <row r="811" spans="1:1">
      <c r="A811" s="5"/>
    </row>
    <row r="812" spans="1:1">
      <c r="A812" s="5"/>
    </row>
    <row r="813" spans="1:1">
      <c r="A813" s="5"/>
    </row>
    <row r="814" spans="1:1">
      <c r="A814" s="5"/>
    </row>
    <row r="815" spans="1:1">
      <c r="A815" s="5"/>
    </row>
    <row r="816" spans="1:1">
      <c r="A816" s="5"/>
    </row>
    <row r="817" spans="1:1">
      <c r="A817" s="5"/>
    </row>
    <row r="818" spans="1:1">
      <c r="A818" s="5"/>
    </row>
    <row r="819" spans="1:1">
      <c r="A819" s="5"/>
    </row>
    <row r="820" spans="1:1">
      <c r="A820" s="5"/>
    </row>
    <row r="821" spans="1:1">
      <c r="A821" s="5"/>
    </row>
    <row r="822" spans="1:1">
      <c r="A822" s="5"/>
    </row>
    <row r="823" spans="1:1">
      <c r="A823" s="5"/>
    </row>
    <row r="824" spans="1:1">
      <c r="A824" s="5"/>
    </row>
    <row r="825" spans="1:1">
      <c r="A825" s="5"/>
    </row>
    <row r="826" spans="1:1">
      <c r="A826" s="5"/>
    </row>
    <row r="827" spans="1:1">
      <c r="A827" s="5"/>
    </row>
    <row r="828" spans="1:1">
      <c r="A828" s="5"/>
    </row>
    <row r="829" spans="1:1">
      <c r="A829" s="5"/>
    </row>
    <row r="830" spans="1:1">
      <c r="A830" s="5"/>
    </row>
    <row r="831" spans="1:1">
      <c r="A831" s="5"/>
    </row>
    <row r="832" spans="1:1">
      <c r="A832" s="5"/>
    </row>
    <row r="833" spans="1:1">
      <c r="A833" s="5"/>
    </row>
    <row r="834" spans="1:1">
      <c r="A834" s="5"/>
    </row>
    <row r="835" spans="1:1">
      <c r="A835" s="5"/>
    </row>
    <row r="836" spans="1:1">
      <c r="A836" s="5"/>
    </row>
    <row r="837" spans="1:1">
      <c r="A837" s="5"/>
    </row>
    <row r="838" spans="1:1">
      <c r="A838" s="5"/>
    </row>
    <row r="839" spans="1:1">
      <c r="A839" s="5"/>
    </row>
    <row r="840" spans="1:1">
      <c r="A840" s="5"/>
    </row>
    <row r="841" spans="1:1">
      <c r="A841" s="5"/>
    </row>
    <row r="842" spans="1:1">
      <c r="A842" s="5"/>
    </row>
    <row r="843" spans="1:1">
      <c r="A843" s="5"/>
    </row>
    <row r="844" spans="1:1">
      <c r="A844" s="5"/>
    </row>
    <row r="845" spans="1:1">
      <c r="A845" s="5"/>
    </row>
    <row r="846" spans="1:1">
      <c r="A846" s="5"/>
    </row>
    <row r="847" spans="1:1">
      <c r="A847" s="5"/>
    </row>
    <row r="848" spans="1:1">
      <c r="A848" s="5"/>
    </row>
    <row r="849" spans="1:1">
      <c r="A849" s="5"/>
    </row>
    <row r="850" spans="1:1">
      <c r="A850" s="5"/>
    </row>
    <row r="851" spans="1:1">
      <c r="A851" s="5"/>
    </row>
    <row r="852" spans="1:1">
      <c r="A852" s="5"/>
    </row>
    <row r="853" spans="1:1">
      <c r="A853" s="5"/>
    </row>
    <row r="854" spans="1:1">
      <c r="A854" s="5"/>
    </row>
    <row r="855" spans="1:1">
      <c r="A855" s="5"/>
    </row>
    <row r="856" spans="1:1">
      <c r="A856" s="5"/>
    </row>
    <row r="857" spans="1:1">
      <c r="A857" s="5"/>
    </row>
    <row r="858" spans="1:1">
      <c r="A858" s="5"/>
    </row>
    <row r="859" spans="1:1">
      <c r="A859" s="5"/>
    </row>
    <row r="860" spans="1:1">
      <c r="A860" s="5"/>
    </row>
    <row r="861" spans="1:1">
      <c r="A861" s="5"/>
    </row>
    <row r="862" spans="1:1">
      <c r="A862" s="5"/>
    </row>
    <row r="863" spans="1:1">
      <c r="A863" s="5"/>
    </row>
    <row r="864" spans="1:1">
      <c r="A864" s="5"/>
    </row>
    <row r="865" spans="1:1">
      <c r="A865" s="5"/>
    </row>
    <row r="866" spans="1:1">
      <c r="A866" s="5"/>
    </row>
    <row r="867" spans="1:1">
      <c r="A867" s="5"/>
    </row>
    <row r="868" spans="1:1">
      <c r="A868" s="5"/>
    </row>
    <row r="869" spans="1:1">
      <c r="A869" s="5"/>
    </row>
    <row r="870" spans="1:1">
      <c r="A870" s="5"/>
    </row>
    <row r="871" spans="1:1">
      <c r="A871" s="5"/>
    </row>
    <row r="872" spans="1:1">
      <c r="A872" s="5"/>
    </row>
    <row r="873" spans="1:1">
      <c r="A873" s="5"/>
    </row>
    <row r="874" spans="1:1">
      <c r="A874" s="5"/>
    </row>
    <row r="875" spans="1:1">
      <c r="A875" s="5"/>
    </row>
    <row r="876" spans="1:1">
      <c r="A876" s="5"/>
    </row>
    <row r="877" spans="1:1">
      <c r="A877" s="5"/>
    </row>
    <row r="878" spans="1:1">
      <c r="A878" s="5"/>
    </row>
    <row r="879" spans="1:1">
      <c r="A879" s="5"/>
    </row>
    <row r="880" spans="1:1">
      <c r="A880" s="5"/>
    </row>
    <row r="881" spans="1:1">
      <c r="A881" s="5"/>
    </row>
    <row r="882" spans="1:1">
      <c r="A882" s="5"/>
    </row>
    <row r="883" spans="1:1">
      <c r="A883" s="5"/>
    </row>
    <row r="884" spans="1:1">
      <c r="A884" s="5"/>
    </row>
    <row r="885" spans="1:1">
      <c r="A885" s="5"/>
    </row>
    <row r="886" spans="1:1">
      <c r="A886" s="5"/>
    </row>
    <row r="887" spans="1:1">
      <c r="A887" s="5"/>
    </row>
    <row r="888" spans="1:1">
      <c r="A888" s="5"/>
    </row>
    <row r="889" spans="1:1">
      <c r="A889" s="5"/>
    </row>
    <row r="890" spans="1:1">
      <c r="A890" s="5"/>
    </row>
    <row r="891" spans="1:1">
      <c r="A891" s="5"/>
    </row>
    <row r="892" spans="1:1">
      <c r="A892" s="5"/>
    </row>
    <row r="893" spans="1:1">
      <c r="A893" s="5"/>
    </row>
    <row r="894" spans="1:1">
      <c r="A894" s="5"/>
    </row>
    <row r="895" spans="1:1">
      <c r="A895" s="5"/>
    </row>
    <row r="896" spans="1:1">
      <c r="A896" s="5"/>
    </row>
    <row r="897" spans="1:1">
      <c r="A897" s="5"/>
    </row>
    <row r="898" spans="1:1">
      <c r="A898" s="5"/>
    </row>
    <row r="899" spans="1:1">
      <c r="A899" s="5"/>
    </row>
    <row r="900" spans="1:1">
      <c r="A900" s="5"/>
    </row>
    <row r="901" spans="1:1">
      <c r="A901" s="5"/>
    </row>
    <row r="902" spans="1:1">
      <c r="A902" s="5"/>
    </row>
    <row r="903" spans="1:1">
      <c r="A903" s="5"/>
    </row>
    <row r="904" spans="1:1">
      <c r="A904" s="5"/>
    </row>
    <row r="905" spans="1:1">
      <c r="A905" s="5"/>
    </row>
    <row r="906" spans="1:1">
      <c r="A906" s="5"/>
    </row>
    <row r="907" spans="1:1">
      <c r="A907" s="5"/>
    </row>
    <row r="908" spans="1:1">
      <c r="A908" s="5"/>
    </row>
    <row r="909" spans="1:1">
      <c r="A909" s="5"/>
    </row>
    <row r="910" spans="1:1">
      <c r="A910" s="5"/>
    </row>
    <row r="911" spans="1:1">
      <c r="A911" s="5"/>
    </row>
    <row r="912" spans="1:1">
      <c r="A912" s="5"/>
    </row>
    <row r="913" spans="1:1">
      <c r="A913" s="5"/>
    </row>
    <row r="914" spans="1:1">
      <c r="A914" s="5"/>
    </row>
    <row r="915" spans="1:1">
      <c r="A915" s="5"/>
    </row>
    <row r="916" spans="1:1">
      <c r="A916" s="5"/>
    </row>
    <row r="917" spans="1:1">
      <c r="A917" s="5"/>
    </row>
    <row r="918" spans="1:1">
      <c r="A918" s="5"/>
    </row>
    <row r="919" spans="1:1">
      <c r="A919" s="5"/>
    </row>
    <row r="920" spans="1:1">
      <c r="A920" s="5"/>
    </row>
    <row r="921" spans="1:1">
      <c r="A921" s="5"/>
    </row>
    <row r="922" spans="1:1">
      <c r="A922" s="5"/>
    </row>
    <row r="923" spans="1:1">
      <c r="A923" s="5"/>
    </row>
    <row r="924" spans="1:1">
      <c r="A924" s="5"/>
    </row>
    <row r="925" spans="1:1">
      <c r="A925" s="5"/>
    </row>
    <row r="926" spans="1:1">
      <c r="A926" s="5"/>
    </row>
    <row r="927" spans="1:1">
      <c r="A927" s="5"/>
    </row>
    <row r="928" spans="1:1">
      <c r="A928" s="5"/>
    </row>
    <row r="929" spans="1:1">
      <c r="A929" s="5"/>
    </row>
    <row r="930" spans="1:1">
      <c r="A930" s="5"/>
    </row>
    <row r="931" spans="1:1">
      <c r="A931" s="5"/>
    </row>
    <row r="932" spans="1:1">
      <c r="A932" s="5"/>
    </row>
    <row r="933" spans="1:1">
      <c r="A933" s="5"/>
    </row>
    <row r="934" spans="1:1">
      <c r="A934" s="5"/>
    </row>
    <row r="935" spans="1:1">
      <c r="A935" s="5"/>
    </row>
    <row r="936" spans="1:1">
      <c r="A936" s="5"/>
    </row>
    <row r="937" spans="1:1">
      <c r="A937" s="5"/>
    </row>
    <row r="938" spans="1:1">
      <c r="A938" s="5"/>
    </row>
    <row r="939" spans="1:1">
      <c r="A939" s="5"/>
    </row>
    <row r="940" spans="1:1">
      <c r="A940" s="5"/>
    </row>
    <row r="941" spans="1:1">
      <c r="A941" s="5"/>
    </row>
    <row r="942" spans="1:1">
      <c r="A942" s="5"/>
    </row>
    <row r="943" spans="1:1">
      <c r="A943" s="5"/>
    </row>
    <row r="944" spans="1:1">
      <c r="A944" s="5"/>
    </row>
    <row r="945" spans="1:1">
      <c r="A945" s="5"/>
    </row>
    <row r="946" spans="1:1">
      <c r="A946" s="5"/>
    </row>
    <row r="947" spans="1:1">
      <c r="A947" s="5"/>
    </row>
    <row r="948" spans="1:1">
      <c r="A948" s="5"/>
    </row>
    <row r="949" spans="1:1">
      <c r="A949" s="5"/>
    </row>
    <row r="950" spans="1:1">
      <c r="A950" s="5"/>
    </row>
    <row r="951" spans="1:1">
      <c r="A951" s="5"/>
    </row>
    <row r="952" spans="1:1">
      <c r="A952" s="5"/>
    </row>
    <row r="953" spans="1:1">
      <c r="A953" s="5"/>
    </row>
    <row r="954" spans="1:1">
      <c r="A954" s="5"/>
    </row>
    <row r="955" spans="1:1">
      <c r="A955" s="5"/>
    </row>
    <row r="956" spans="1:1">
      <c r="A956" s="5"/>
    </row>
    <row r="957" spans="1:1">
      <c r="A957" s="5"/>
    </row>
    <row r="958" spans="1:1">
      <c r="A958" s="5"/>
    </row>
    <row r="959" spans="1:1">
      <c r="A959" s="5"/>
    </row>
    <row r="960" spans="1:1">
      <c r="A960" s="5"/>
    </row>
    <row r="961" spans="1:1">
      <c r="A961" s="5"/>
    </row>
    <row r="962" spans="1:1">
      <c r="A962" s="5"/>
    </row>
    <row r="963" spans="1:1">
      <c r="A963" s="5"/>
    </row>
    <row r="964" spans="1:1">
      <c r="A964" s="5"/>
    </row>
    <row r="965" spans="1:1">
      <c r="A965" s="5"/>
    </row>
    <row r="966" spans="1:1">
      <c r="A966" s="5"/>
    </row>
    <row r="967" spans="1:1">
      <c r="A967" s="5"/>
    </row>
    <row r="968" spans="1:1">
      <c r="A968" s="5"/>
    </row>
    <row r="969" spans="1:1">
      <c r="A969" s="5"/>
    </row>
    <row r="970" spans="1:1">
      <c r="A970" s="5"/>
    </row>
    <row r="971" spans="1:1">
      <c r="A971" s="5"/>
    </row>
    <row r="972" spans="1:1">
      <c r="A972" s="5"/>
    </row>
    <row r="973" spans="1:1">
      <c r="A973" s="5"/>
    </row>
    <row r="974" spans="1:1">
      <c r="A974" s="5"/>
    </row>
    <row r="975" spans="1:1">
      <c r="A975" s="5"/>
    </row>
    <row r="976" spans="1:1">
      <c r="A976" s="5"/>
    </row>
    <row r="977" spans="1:1">
      <c r="A977" s="5"/>
    </row>
    <row r="978" spans="1:1">
      <c r="A978" s="5"/>
    </row>
    <row r="979" spans="1:1">
      <c r="A979" s="5"/>
    </row>
    <row r="980" spans="1:1">
      <c r="A980" s="5"/>
    </row>
    <row r="981" spans="1:1">
      <c r="A981" s="5"/>
    </row>
    <row r="982" spans="1:1">
      <c r="A982" s="5"/>
    </row>
    <row r="983" spans="1:1">
      <c r="A983" s="5"/>
    </row>
    <row r="984" spans="1:1">
      <c r="A984" s="5"/>
    </row>
    <row r="985" spans="1:1">
      <c r="A985" s="5"/>
    </row>
    <row r="986" spans="1:1">
      <c r="A986" s="5"/>
    </row>
    <row r="987" spans="1:1">
      <c r="A987" s="5"/>
    </row>
    <row r="988" spans="1:1">
      <c r="A988" s="5"/>
    </row>
    <row r="989" spans="1:1">
      <c r="A989" s="5"/>
    </row>
    <row r="990" spans="1:1">
      <c r="A990" s="5"/>
    </row>
    <row r="991" spans="1:1">
      <c r="A991" s="5"/>
    </row>
    <row r="992" spans="1:1">
      <c r="A992" s="5"/>
    </row>
    <row r="993" spans="1:1">
      <c r="A993" s="5"/>
    </row>
    <row r="994" spans="1:1">
      <c r="A994" s="5"/>
    </row>
    <row r="995" spans="1:1">
      <c r="A995" s="5"/>
    </row>
    <row r="996" spans="1:1">
      <c r="A996" s="5"/>
    </row>
    <row r="997" spans="1:1">
      <c r="A997" s="5"/>
    </row>
    <row r="998" spans="1:1">
      <c r="A998" s="5"/>
    </row>
    <row r="999" spans="1:1">
      <c r="A999" s="5"/>
    </row>
    <row r="1000" spans="1:1">
      <c r="A1000" s="5"/>
    </row>
    <row r="1001" spans="1:1">
      <c r="A1001" s="5"/>
    </row>
    <row r="1002" spans="1:1">
      <c r="A1002" s="5"/>
    </row>
    <row r="1003" spans="1:1">
      <c r="A1003" s="5"/>
    </row>
    <row r="1004" spans="1:1">
      <c r="A1004" s="5"/>
    </row>
    <row r="1005" spans="1:1">
      <c r="A1005" s="5"/>
    </row>
    <row r="1006" spans="1:1">
      <c r="A1006" s="5"/>
    </row>
    <row r="1007" spans="1:1">
      <c r="A1007" s="5"/>
    </row>
    <row r="1008" spans="1:1">
      <c r="A1008" s="5"/>
    </row>
    <row r="1009" spans="1:1">
      <c r="A1009" s="5"/>
    </row>
    <row r="1010" spans="1:1">
      <c r="A1010" s="5"/>
    </row>
    <row r="1011" spans="1:1">
      <c r="A1011" s="5"/>
    </row>
    <row r="1012" spans="1:1">
      <c r="A1012" s="5"/>
    </row>
    <row r="1013" spans="1:1">
      <c r="A1013" s="5"/>
    </row>
    <row r="1014" spans="1:1">
      <c r="A1014" s="5"/>
    </row>
    <row r="1015" spans="1:1">
      <c r="A1015" s="5"/>
    </row>
    <row r="1016" spans="1:1">
      <c r="A1016" s="5"/>
    </row>
    <row r="1017" spans="1:1">
      <c r="A1017" s="5"/>
    </row>
    <row r="1018" spans="1:1">
      <c r="A1018" s="5"/>
    </row>
    <row r="1019" spans="1:1">
      <c r="A1019" s="5"/>
    </row>
    <row r="1020" spans="1:1">
      <c r="A1020" s="5"/>
    </row>
    <row r="1021" spans="1:1">
      <c r="A1021" s="5"/>
    </row>
    <row r="1022" spans="1:1">
      <c r="A1022" s="5"/>
    </row>
    <row r="1023" spans="1:1">
      <c r="A1023" s="5"/>
    </row>
    <row r="1024" spans="1:1">
      <c r="A1024" s="5"/>
    </row>
    <row r="1025" spans="1:1">
      <c r="A1025" s="5"/>
    </row>
    <row r="1026" spans="1:1">
      <c r="A1026" s="5"/>
    </row>
    <row r="1027" spans="1:1">
      <c r="A1027" s="5"/>
    </row>
    <row r="1028" spans="1:1">
      <c r="A1028" s="5"/>
    </row>
    <row r="1029" spans="1:1">
      <c r="A1029" s="5"/>
    </row>
    <row r="1030" spans="1:1">
      <c r="A1030" s="5"/>
    </row>
    <row r="1031" spans="1:1">
      <c r="A1031" s="5"/>
    </row>
    <row r="1032" spans="1:1">
      <c r="A1032" s="5"/>
    </row>
    <row r="1033" spans="1:1">
      <c r="A1033" s="5"/>
    </row>
    <row r="1034" spans="1:1">
      <c r="A1034" s="5"/>
    </row>
    <row r="1035" spans="1:1">
      <c r="A1035" s="5"/>
    </row>
    <row r="1036" spans="1:1">
      <c r="A1036" s="5"/>
    </row>
    <row r="1037" spans="1:1">
      <c r="A1037" s="5"/>
    </row>
    <row r="1038" spans="1:1">
      <c r="A1038" s="5"/>
    </row>
    <row r="1039" spans="1:1">
      <c r="A1039" s="5"/>
    </row>
    <row r="1040" spans="1:1">
      <c r="A1040" s="5"/>
    </row>
    <row r="1041" spans="1:1">
      <c r="A1041" s="5"/>
    </row>
    <row r="1042" spans="1:1">
      <c r="A1042" s="5"/>
    </row>
    <row r="1043" spans="1:1">
      <c r="A1043" s="5"/>
    </row>
    <row r="1044" spans="1:1">
      <c r="A1044" s="5"/>
    </row>
    <row r="1045" spans="1:1">
      <c r="A1045" s="5"/>
    </row>
    <row r="1046" spans="1:1">
      <c r="A1046" s="5"/>
    </row>
    <row r="1047" spans="1:1">
      <c r="A1047" s="5"/>
    </row>
    <row r="1048" spans="1:1">
      <c r="A1048" s="5"/>
    </row>
    <row r="1049" spans="1:1">
      <c r="A1049" s="5"/>
    </row>
    <row r="1050" spans="1:1">
      <c r="A1050" s="5"/>
    </row>
    <row r="1051" spans="1:1">
      <c r="A1051" s="5"/>
    </row>
    <row r="1052" spans="1:1">
      <c r="A1052" s="5"/>
    </row>
    <row r="1053" spans="1:1">
      <c r="A1053" s="5"/>
    </row>
    <row r="1054" spans="1:1">
      <c r="A1054" s="5"/>
    </row>
    <row r="1055" spans="1:1">
      <c r="A1055" s="5"/>
    </row>
    <row r="1056" spans="1:1">
      <c r="A1056" s="5"/>
    </row>
    <row r="1057" spans="1:1">
      <c r="A1057" s="5"/>
    </row>
    <row r="1058" spans="1:1">
      <c r="A1058" s="5"/>
    </row>
    <row r="1059" spans="1:1">
      <c r="A1059" s="5"/>
    </row>
    <row r="1060" spans="1:1">
      <c r="A1060" s="5"/>
    </row>
    <row r="1061" spans="1:1">
      <c r="A1061" s="5"/>
    </row>
    <row r="1062" spans="1:1">
      <c r="A1062" s="5"/>
    </row>
    <row r="1063" spans="1:1">
      <c r="A1063" s="5"/>
    </row>
    <row r="1064" spans="1:1">
      <c r="A1064" s="5"/>
    </row>
    <row r="1065" spans="1:1">
      <c r="A1065" s="5"/>
    </row>
    <row r="1066" spans="1:1">
      <c r="A1066" s="5"/>
    </row>
    <row r="1067" spans="1:1">
      <c r="A1067" s="5"/>
    </row>
    <row r="1068" spans="1:1">
      <c r="A1068" s="5"/>
    </row>
    <row r="1069" spans="1:1">
      <c r="A1069" s="5"/>
    </row>
    <row r="1070" spans="1:1">
      <c r="A1070" s="5"/>
    </row>
    <row r="1071" spans="1:1">
      <c r="A1071" s="5"/>
    </row>
    <row r="1072" spans="1:1">
      <c r="A1072" s="5"/>
    </row>
    <row r="1073" spans="1:1">
      <c r="A1073" s="5"/>
    </row>
    <row r="1074" spans="1:1">
      <c r="A1074" s="5"/>
    </row>
    <row r="1075" spans="1:1">
      <c r="A1075" s="5"/>
    </row>
    <row r="1076" spans="1:1">
      <c r="A1076" s="5"/>
    </row>
    <row r="1077" spans="1:1">
      <c r="A1077" s="5"/>
    </row>
    <row r="1078" spans="1:1">
      <c r="A1078" s="5"/>
    </row>
    <row r="1079" spans="1:1">
      <c r="A1079" s="5"/>
    </row>
    <row r="1080" spans="1:1">
      <c r="A1080" s="5"/>
    </row>
    <row r="1081" spans="1:1">
      <c r="A1081" s="5"/>
    </row>
    <row r="1082" spans="1:1">
      <c r="A1082" s="5"/>
    </row>
    <row r="1083" spans="1:1">
      <c r="A1083" s="5"/>
    </row>
    <row r="1084" spans="1:1">
      <c r="A1084" s="5"/>
    </row>
    <row r="1085" spans="1:1">
      <c r="A1085" s="5"/>
    </row>
    <row r="1086" spans="1:1">
      <c r="A1086" s="5"/>
    </row>
    <row r="1087" spans="1:1">
      <c r="A1087" s="5"/>
    </row>
    <row r="1088" spans="1:1">
      <c r="A1088" s="5"/>
    </row>
    <row r="1089" spans="1:1">
      <c r="A1089" s="5"/>
    </row>
    <row r="1090" spans="1:1">
      <c r="A1090" s="5"/>
    </row>
    <row r="1091" spans="1:1">
      <c r="A1091" s="5"/>
    </row>
    <row r="1092" spans="1:1">
      <c r="A1092" s="5"/>
    </row>
    <row r="1093" spans="1:1">
      <c r="A1093" s="5"/>
    </row>
    <row r="1094" spans="1:1">
      <c r="A1094" s="5"/>
    </row>
    <row r="1095" spans="1:1">
      <c r="A1095" s="5"/>
    </row>
    <row r="1096" spans="1:1">
      <c r="A1096" s="5"/>
    </row>
    <row r="1097" spans="1:1">
      <c r="A1097" s="5"/>
    </row>
    <row r="1098" spans="1:1">
      <c r="A1098" s="5"/>
    </row>
    <row r="1099" spans="1:1">
      <c r="A1099" s="5"/>
    </row>
    <row r="1100" spans="1:1">
      <c r="A1100" s="5"/>
    </row>
    <row r="1101" spans="1:1">
      <c r="A1101" s="5"/>
    </row>
    <row r="1102" spans="1:1">
      <c r="A1102" s="5"/>
    </row>
    <row r="1103" spans="1:1">
      <c r="A1103" s="5"/>
    </row>
    <row r="1104" spans="1:1">
      <c r="A1104" s="5"/>
    </row>
    <row r="1105" spans="1:1">
      <c r="A1105" s="5"/>
    </row>
    <row r="1106" spans="1:1">
      <c r="A1106" s="5"/>
    </row>
    <row r="1107" spans="1:1">
      <c r="A1107" s="5"/>
    </row>
    <row r="1108" spans="1:1">
      <c r="A1108" s="5"/>
    </row>
    <row r="1109" spans="1:1">
      <c r="A1109" s="5"/>
    </row>
    <row r="1110" spans="1:1">
      <c r="A1110" s="5"/>
    </row>
    <row r="1111" spans="1:1">
      <c r="A1111" s="5"/>
    </row>
    <row r="1112" spans="1:1">
      <c r="A1112" s="5"/>
    </row>
    <row r="1113" spans="1:1">
      <c r="A1113" s="5"/>
    </row>
    <row r="1114" spans="1:1">
      <c r="A1114" s="5"/>
    </row>
    <row r="1115" spans="1:1">
      <c r="A1115" s="5"/>
    </row>
    <row r="1116" spans="1:1">
      <c r="A1116" s="5"/>
    </row>
    <row r="1117" spans="1:1">
      <c r="A1117" s="5"/>
    </row>
    <row r="1118" spans="1:1">
      <c r="A1118" s="5"/>
    </row>
    <row r="1119" spans="1:1">
      <c r="A1119" s="5"/>
    </row>
    <row r="1120" spans="1:1">
      <c r="A1120" s="5"/>
    </row>
    <row r="1121" spans="1:1">
      <c r="A1121" s="5"/>
    </row>
    <row r="1122" spans="1:1">
      <c r="A1122" s="5"/>
    </row>
    <row r="1123" spans="1:1">
      <c r="A1123" s="5"/>
    </row>
    <row r="1124" spans="1:1">
      <c r="A1124" s="5"/>
    </row>
    <row r="1125" spans="1:1">
      <c r="A1125" s="5"/>
    </row>
    <row r="1126" spans="1:1">
      <c r="A1126" s="5"/>
    </row>
    <row r="1127" spans="1:1">
      <c r="A1127" s="5"/>
    </row>
    <row r="1128" spans="1:1">
      <c r="A1128" s="5"/>
    </row>
    <row r="1129" spans="1:1">
      <c r="A1129" s="5"/>
    </row>
    <row r="1130" spans="1:1">
      <c r="A1130" s="5"/>
    </row>
    <row r="1131" spans="1:1">
      <c r="A1131" s="5"/>
    </row>
    <row r="1132" spans="1:1">
      <c r="A1132" s="5"/>
    </row>
    <row r="1133" spans="1:1">
      <c r="A1133" s="5"/>
    </row>
    <row r="1134" spans="1:1">
      <c r="A1134" s="5"/>
    </row>
    <row r="1135" spans="1:1">
      <c r="A1135" s="5"/>
    </row>
    <row r="1136" spans="1:1">
      <c r="A1136" s="5"/>
    </row>
    <row r="1137" spans="1:1">
      <c r="A1137" s="5"/>
    </row>
    <row r="1138" spans="1:1">
      <c r="A1138" s="5"/>
    </row>
    <row r="1139" spans="1:1">
      <c r="A1139" s="5"/>
    </row>
    <row r="1140" spans="1:1">
      <c r="A1140" s="5"/>
    </row>
    <row r="1141" spans="1:1">
      <c r="A1141" s="5"/>
    </row>
    <row r="1142" spans="1:1">
      <c r="A1142" s="5"/>
    </row>
    <row r="1143" spans="1:1">
      <c r="A1143" s="5"/>
    </row>
    <row r="1144" spans="1:1">
      <c r="A1144" s="5"/>
    </row>
    <row r="1145" spans="1:1">
      <c r="A1145" s="5"/>
    </row>
    <row r="1146" spans="1:1">
      <c r="A1146" s="5"/>
    </row>
    <row r="1147" spans="1:1">
      <c r="A1147" s="5"/>
    </row>
    <row r="1148" spans="1:1">
      <c r="A1148" s="5"/>
    </row>
    <row r="1149" spans="1:1">
      <c r="A1149" s="5"/>
    </row>
    <row r="1150" spans="1:1">
      <c r="A1150" s="5"/>
    </row>
    <row r="1151" spans="1:1">
      <c r="A1151" s="5"/>
    </row>
    <row r="1152" spans="1:1">
      <c r="A1152" s="5"/>
    </row>
    <row r="1153" spans="1:1">
      <c r="A1153" s="5"/>
    </row>
    <row r="1154" spans="1:1">
      <c r="A1154" s="5"/>
    </row>
    <row r="1155" spans="1:1">
      <c r="A1155" s="5"/>
    </row>
    <row r="1156" spans="1:1">
      <c r="A1156" s="5"/>
    </row>
    <row r="1157" spans="1:1">
      <c r="A1157" s="5"/>
    </row>
    <row r="1158" spans="1:1">
      <c r="A1158" s="5"/>
    </row>
    <row r="1159" spans="1:1">
      <c r="A1159" s="5"/>
    </row>
    <row r="1160" spans="1:1">
      <c r="A1160" s="5"/>
    </row>
    <row r="1161" spans="1:1">
      <c r="A1161" s="5"/>
    </row>
    <row r="1162" spans="1:1">
      <c r="A1162" s="5"/>
    </row>
    <row r="1163" spans="1:1">
      <c r="A1163" s="5"/>
    </row>
    <row r="1164" spans="1:1">
      <c r="A1164" s="5"/>
    </row>
    <row r="1165" spans="1:1">
      <c r="A1165" s="5"/>
    </row>
    <row r="1166" spans="1:1">
      <c r="A1166" s="5"/>
    </row>
    <row r="1167" spans="1:1">
      <c r="A1167" s="5"/>
    </row>
    <row r="1168" spans="1:1">
      <c r="A1168" s="5"/>
    </row>
    <row r="1169" spans="1:1">
      <c r="A1169" s="5"/>
    </row>
    <row r="1170" spans="1:1">
      <c r="A1170" s="5"/>
    </row>
    <row r="1171" spans="1:1">
      <c r="A1171" s="5"/>
    </row>
    <row r="1172" spans="1:1">
      <c r="A1172" s="5"/>
    </row>
    <row r="1173" spans="1:1">
      <c r="A1173" s="5"/>
    </row>
    <row r="1174" spans="1:1">
      <c r="A1174" s="5"/>
    </row>
    <row r="1175" spans="1:1">
      <c r="A1175" s="5"/>
    </row>
    <row r="1176" spans="1:1">
      <c r="A1176" s="5"/>
    </row>
    <row r="1177" spans="1:1">
      <c r="A1177" s="5"/>
    </row>
    <row r="1178" spans="1:1">
      <c r="A1178" s="5"/>
    </row>
    <row r="1179" spans="1:1">
      <c r="A1179" s="5"/>
    </row>
    <row r="1180" spans="1:1">
      <c r="A1180" s="5"/>
    </row>
    <row r="1181" spans="1:1">
      <c r="A1181" s="5"/>
    </row>
    <row r="1182" spans="1:1">
      <c r="A1182" s="5"/>
    </row>
    <row r="1183" spans="1:1">
      <c r="A1183" s="5"/>
    </row>
    <row r="1184" spans="1:1">
      <c r="A1184" s="5"/>
    </row>
    <row r="1185" spans="1:1">
      <c r="A1185" s="5"/>
    </row>
    <row r="1186" spans="1:1">
      <c r="A1186" s="5"/>
    </row>
    <row r="1187" spans="1:1">
      <c r="A1187" s="5"/>
    </row>
    <row r="1188" spans="1:1">
      <c r="A1188" s="5"/>
    </row>
    <row r="1189" spans="1:1">
      <c r="A1189" s="5"/>
    </row>
    <row r="1190" spans="1:1">
      <c r="A1190" s="5"/>
    </row>
    <row r="1191" spans="1:1">
      <c r="A1191" s="5"/>
    </row>
    <row r="1192" spans="1:1">
      <c r="A1192" s="5"/>
    </row>
    <row r="1193" spans="1:1">
      <c r="A1193" s="5"/>
    </row>
    <row r="1194" spans="1:1">
      <c r="A1194" s="5"/>
    </row>
    <row r="1195" spans="1:1">
      <c r="A1195" s="5"/>
    </row>
    <row r="1196" spans="1:1">
      <c r="A1196" s="5"/>
    </row>
    <row r="1197" spans="1:1">
      <c r="A1197" s="5"/>
    </row>
    <row r="1198" spans="1:1">
      <c r="A1198" s="5"/>
    </row>
    <row r="1199" spans="1:1">
      <c r="A1199" s="5"/>
    </row>
    <row r="1200" spans="1:1">
      <c r="A1200" s="5"/>
    </row>
    <row r="1201" spans="1:1">
      <c r="A1201" s="5"/>
    </row>
    <row r="1202" spans="1:1">
      <c r="A1202" s="5"/>
    </row>
    <row r="1203" spans="1:1">
      <c r="A1203" s="5"/>
    </row>
    <row r="1204" spans="1:1">
      <c r="A1204" s="5"/>
    </row>
    <row r="1205" spans="1:1">
      <c r="A1205" s="5"/>
    </row>
    <row r="1206" spans="1:1">
      <c r="A1206" s="5"/>
    </row>
    <row r="1207" spans="1:1">
      <c r="A1207" s="5"/>
    </row>
    <row r="1208" spans="1:1">
      <c r="A1208" s="5"/>
    </row>
    <row r="1209" spans="1:1">
      <c r="A1209" s="5"/>
    </row>
    <row r="1210" spans="1:1">
      <c r="A1210" s="5"/>
    </row>
    <row r="1211" spans="1:1">
      <c r="A1211" s="5"/>
    </row>
    <row r="1212" spans="1:1">
      <c r="A1212" s="5"/>
    </row>
    <row r="1213" spans="1:1">
      <c r="A1213" s="5"/>
    </row>
    <row r="1214" spans="1:1">
      <c r="A1214" s="5"/>
    </row>
    <row r="1215" spans="1:1">
      <c r="A1215" s="5"/>
    </row>
    <row r="1216" spans="1:1">
      <c r="A1216" s="5"/>
    </row>
    <row r="1217" spans="1:1">
      <c r="A1217" s="5"/>
    </row>
    <row r="1218" spans="1:1">
      <c r="A1218" s="5"/>
    </row>
    <row r="1219" spans="1:1">
      <c r="A1219" s="5"/>
    </row>
    <row r="1220" spans="1:1">
      <c r="A1220" s="5"/>
    </row>
    <row r="1221" spans="1:1">
      <c r="A1221" s="5"/>
    </row>
    <row r="1222" spans="1:1">
      <c r="A1222" s="5"/>
    </row>
    <row r="1223" spans="1:1">
      <c r="A1223" s="5"/>
    </row>
    <row r="1224" spans="1:1">
      <c r="A1224" s="5"/>
    </row>
    <row r="1225" spans="1:1">
      <c r="A1225" s="5"/>
    </row>
    <row r="1226" spans="1:1">
      <c r="A1226" s="5"/>
    </row>
    <row r="1227" spans="1:1">
      <c r="A1227" s="5"/>
    </row>
    <row r="1228" spans="1:1">
      <c r="A1228" s="5"/>
    </row>
    <row r="1229" spans="1:1">
      <c r="A1229" s="5"/>
    </row>
    <row r="1230" spans="1:1">
      <c r="A1230" s="5"/>
    </row>
    <row r="1231" spans="1:1">
      <c r="A1231" s="5"/>
    </row>
    <row r="1232" spans="1:1">
      <c r="A1232" s="5"/>
    </row>
    <row r="1233" spans="1:1">
      <c r="A1233" s="5"/>
    </row>
    <row r="1234" spans="1:1">
      <c r="A1234" s="5"/>
    </row>
    <row r="1235" spans="1:1">
      <c r="A1235" s="5"/>
    </row>
    <row r="1236" spans="1:1">
      <c r="A1236" s="5"/>
    </row>
    <row r="1237" spans="1:1">
      <c r="A1237" s="5"/>
    </row>
    <row r="1238" spans="1:1">
      <c r="A1238" s="5"/>
    </row>
    <row r="1239" spans="1:1">
      <c r="A1239" s="5"/>
    </row>
    <row r="1240" spans="1:1">
      <c r="A1240" s="5"/>
    </row>
    <row r="1241" spans="1:1">
      <c r="A1241" s="5"/>
    </row>
    <row r="1242" spans="1:1">
      <c r="A1242" s="5"/>
    </row>
    <row r="1243" spans="1:1">
      <c r="A1243" s="5"/>
    </row>
    <row r="1244" spans="1:1">
      <c r="A1244" s="5"/>
    </row>
    <row r="1245" spans="1:1">
      <c r="A1245" s="5"/>
    </row>
    <row r="1246" spans="1:1">
      <c r="A1246" s="5"/>
    </row>
    <row r="1247" spans="1:1">
      <c r="A1247" s="5"/>
    </row>
    <row r="1248" spans="1:1">
      <c r="A1248" s="5"/>
    </row>
    <row r="1249" spans="1:1">
      <c r="A1249" s="5"/>
    </row>
    <row r="1250" spans="1:1">
      <c r="A1250" s="5"/>
    </row>
    <row r="1251" spans="1:1">
      <c r="A1251" s="5"/>
    </row>
    <row r="1252" spans="1:1">
      <c r="A1252" s="5"/>
    </row>
    <row r="1253" spans="1:1">
      <c r="A1253" s="5"/>
    </row>
    <row r="1254" spans="1:1">
      <c r="A1254" s="5"/>
    </row>
    <row r="1255" spans="1:1">
      <c r="A1255" s="5"/>
    </row>
    <row r="1256" spans="1:1">
      <c r="A1256" s="5"/>
    </row>
    <row r="1257" spans="1:1">
      <c r="A1257" s="5"/>
    </row>
    <row r="1258" spans="1:1">
      <c r="A1258" s="5"/>
    </row>
    <row r="1259" spans="1:1">
      <c r="A1259" s="5"/>
    </row>
    <row r="1260" spans="1:1">
      <c r="A1260" s="5"/>
    </row>
    <row r="1261" spans="1:1">
      <c r="A1261" s="5"/>
    </row>
    <row r="1262" spans="1:1">
      <c r="A1262" s="5"/>
    </row>
    <row r="1263" spans="1:1">
      <c r="A1263" s="5"/>
    </row>
    <row r="1264" spans="1:1">
      <c r="A1264" s="5"/>
    </row>
    <row r="1265" spans="1:1">
      <c r="A1265" s="5"/>
    </row>
    <row r="1266" spans="1:1">
      <c r="A1266" s="5"/>
    </row>
    <row r="1267" spans="1:1">
      <c r="A1267" s="5"/>
    </row>
    <row r="1268" spans="1:1">
      <c r="A1268" s="5"/>
    </row>
    <row r="1269" spans="1:1">
      <c r="A1269" s="5"/>
    </row>
    <row r="1270" spans="1:1">
      <c r="A1270" s="5"/>
    </row>
    <row r="1271" spans="1:1">
      <c r="A1271" s="5"/>
    </row>
    <row r="1272" spans="1:1">
      <c r="A1272" s="5"/>
    </row>
    <row r="1273" spans="1:1">
      <c r="A1273" s="5"/>
    </row>
    <row r="1274" spans="1:1">
      <c r="A1274" s="5"/>
    </row>
    <row r="1275" spans="1:1">
      <c r="A1275" s="5"/>
    </row>
    <row r="1276" spans="1:1">
      <c r="A1276" s="5"/>
    </row>
    <row r="1277" spans="1:1">
      <c r="A1277" s="5"/>
    </row>
    <row r="1278" spans="1:1">
      <c r="A1278" s="5"/>
    </row>
    <row r="1279" spans="1:1">
      <c r="A1279" s="5"/>
    </row>
    <row r="1280" spans="1:1">
      <c r="A1280" s="5"/>
    </row>
    <row r="1281" spans="1:1">
      <c r="A1281" s="5"/>
    </row>
    <row r="1282" spans="1:1">
      <c r="A1282" s="5"/>
    </row>
    <row r="1283" spans="1:1">
      <c r="A1283" s="5"/>
    </row>
    <row r="1284" spans="1:1">
      <c r="A1284" s="5"/>
    </row>
    <row r="1285" spans="1:1">
      <c r="A1285" s="5"/>
    </row>
    <row r="1286" spans="1:1">
      <c r="A1286" s="5"/>
    </row>
    <row r="1287" spans="1:1">
      <c r="A1287" s="5"/>
    </row>
    <row r="1288" spans="1:1">
      <c r="A1288" s="5"/>
    </row>
    <row r="1289" spans="1:1">
      <c r="A1289" s="5"/>
    </row>
    <row r="1290" spans="1:1">
      <c r="A1290" s="5"/>
    </row>
    <row r="1291" spans="1:1">
      <c r="A1291" s="5"/>
    </row>
    <row r="1292" spans="1:1">
      <c r="A1292" s="5"/>
    </row>
    <row r="1293" spans="1:1">
      <c r="A1293" s="5"/>
    </row>
    <row r="1294" spans="1:1">
      <c r="A1294" s="5"/>
    </row>
    <row r="1295" spans="1:1">
      <c r="A1295" s="5"/>
    </row>
    <row r="1296" spans="1:1">
      <c r="A1296" s="5"/>
    </row>
    <row r="1297" spans="1:1">
      <c r="A1297" s="5"/>
    </row>
    <row r="1298" spans="1:1">
      <c r="A1298" s="5"/>
    </row>
    <row r="1299" spans="1:1">
      <c r="A1299" s="5"/>
    </row>
    <row r="1300" spans="1:1">
      <c r="A1300" s="5"/>
    </row>
    <row r="1301" spans="1:1">
      <c r="A1301" s="5"/>
    </row>
    <row r="1302" spans="1:1">
      <c r="A1302" s="5"/>
    </row>
    <row r="1303" spans="1:1">
      <c r="A1303" s="5"/>
    </row>
    <row r="1304" spans="1:1">
      <c r="A1304" s="5"/>
    </row>
    <row r="1305" spans="1:1">
      <c r="A1305" s="5"/>
    </row>
    <row r="1306" spans="1:1">
      <c r="A1306" s="5"/>
    </row>
    <row r="1307" spans="1:1">
      <c r="A1307" s="5"/>
    </row>
    <row r="1308" spans="1:1">
      <c r="A1308" s="5"/>
    </row>
    <row r="1309" spans="1:1">
      <c r="A1309" s="5"/>
    </row>
    <row r="1310" spans="1:1">
      <c r="A1310" s="5"/>
    </row>
    <row r="1311" spans="1:1">
      <c r="A1311" s="5"/>
    </row>
    <row r="1312" spans="1:1">
      <c r="A1312" s="5"/>
    </row>
    <row r="1313" spans="1:1">
      <c r="A1313" s="5"/>
    </row>
    <row r="1314" spans="1:1">
      <c r="A1314" s="5"/>
    </row>
    <row r="1315" spans="1:1">
      <c r="A1315" s="5"/>
    </row>
    <row r="1316" spans="1:1">
      <c r="A1316" s="5"/>
    </row>
    <row r="1317" spans="1:1">
      <c r="A1317" s="5"/>
    </row>
    <row r="1318" spans="1:1">
      <c r="A1318" s="5"/>
    </row>
    <row r="1319" spans="1:1">
      <c r="A1319" s="5"/>
    </row>
    <row r="1320" spans="1:1">
      <c r="A1320" s="5"/>
    </row>
    <row r="1321" spans="1:1">
      <c r="A1321" s="5"/>
    </row>
    <row r="1322" spans="1:1">
      <c r="A1322" s="5"/>
    </row>
    <row r="1323" spans="1:1">
      <c r="A1323" s="5"/>
    </row>
    <row r="1324" spans="1:1">
      <c r="A1324" s="5"/>
    </row>
    <row r="1325" spans="1:1">
      <c r="A1325" s="5"/>
    </row>
    <row r="1326" spans="1:1">
      <c r="A1326" s="5"/>
    </row>
    <row r="1327" spans="1:1">
      <c r="A1327" s="5"/>
    </row>
    <row r="1328" spans="1:1">
      <c r="A1328" s="5"/>
    </row>
    <row r="1329" spans="1:1">
      <c r="A1329" s="5"/>
    </row>
    <row r="1330" spans="1:1">
      <c r="A1330" s="5"/>
    </row>
    <row r="1331" spans="1:1">
      <c r="A1331" s="5"/>
    </row>
    <row r="1332" spans="1:1">
      <c r="A1332" s="5"/>
    </row>
    <row r="1333" spans="1:1">
      <c r="A1333" s="5"/>
    </row>
    <row r="1334" spans="1:1">
      <c r="A1334" s="5"/>
    </row>
    <row r="1335" spans="1:1">
      <c r="A1335" s="5"/>
    </row>
    <row r="1336" spans="1:1">
      <c r="A1336" s="5"/>
    </row>
    <row r="1337" spans="1:1">
      <c r="A1337" s="5"/>
    </row>
    <row r="1338" spans="1:1">
      <c r="A1338" s="5"/>
    </row>
    <row r="1339" spans="1:1">
      <c r="A1339" s="5"/>
    </row>
    <row r="1340" spans="1:1">
      <c r="A1340" s="5"/>
    </row>
    <row r="1341" spans="1:1">
      <c r="A1341" s="5"/>
    </row>
    <row r="1342" spans="1:1">
      <c r="A1342" s="5"/>
    </row>
    <row r="1343" spans="1:1">
      <c r="A1343" s="5"/>
    </row>
    <row r="1344" spans="1:1">
      <c r="A1344" s="5"/>
    </row>
    <row r="1345" spans="1:1">
      <c r="A1345" s="5"/>
    </row>
    <row r="1346" spans="1:1">
      <c r="A1346" s="5"/>
    </row>
    <row r="1347" spans="1:1">
      <c r="A1347" s="5"/>
    </row>
    <row r="1348" spans="1:1">
      <c r="A1348" s="5"/>
    </row>
    <row r="1349" spans="1:1">
      <c r="A1349" s="5"/>
    </row>
    <row r="1350" spans="1:1">
      <c r="A1350" s="5"/>
    </row>
    <row r="1351" spans="1:1">
      <c r="A1351" s="5"/>
    </row>
    <row r="1352" spans="1:1">
      <c r="A1352" s="5"/>
    </row>
    <row r="1353" spans="1:1">
      <c r="A1353" s="5"/>
    </row>
    <row r="1354" spans="1:1">
      <c r="A1354" s="5"/>
    </row>
    <row r="1355" spans="1:1">
      <c r="A1355" s="5"/>
    </row>
    <row r="1356" spans="1:1">
      <c r="A1356" s="5"/>
    </row>
    <row r="1357" spans="1:1">
      <c r="A1357" s="5"/>
    </row>
    <row r="1358" spans="1:1">
      <c r="A1358" s="5"/>
    </row>
    <row r="1359" spans="1:1">
      <c r="A1359" s="5"/>
    </row>
    <row r="1360" spans="1:1">
      <c r="A1360" s="5"/>
    </row>
    <row r="1361" spans="1:1">
      <c r="A1361" s="5"/>
    </row>
    <row r="1362" spans="1:1">
      <c r="A1362" s="5"/>
    </row>
    <row r="1363" spans="1:1">
      <c r="A1363" s="5"/>
    </row>
    <row r="1364" spans="1:1">
      <c r="A1364" s="5"/>
    </row>
    <row r="1365" spans="1:1">
      <c r="A1365" s="5"/>
    </row>
    <row r="1366" spans="1:1">
      <c r="A1366" s="5"/>
    </row>
    <row r="1367" spans="1:1">
      <c r="A1367" s="5"/>
    </row>
    <row r="1368" spans="1:1">
      <c r="A1368" s="5"/>
    </row>
    <row r="1369" spans="1:1">
      <c r="A1369" s="5"/>
    </row>
    <row r="1370" spans="1:1">
      <c r="A1370" s="5"/>
    </row>
    <row r="1371" spans="1:1">
      <c r="A1371" s="5"/>
    </row>
    <row r="1372" spans="1:1">
      <c r="A1372" s="5"/>
    </row>
    <row r="1373" spans="1:1">
      <c r="A1373" s="5"/>
    </row>
    <row r="1374" spans="1:1">
      <c r="A1374" s="5"/>
    </row>
    <row r="1375" spans="1:1">
      <c r="A1375" s="5"/>
    </row>
    <row r="1376" spans="1:1">
      <c r="A1376" s="5"/>
    </row>
    <row r="1377" spans="1:1">
      <c r="A1377" s="5"/>
    </row>
    <row r="1378" spans="1:1">
      <c r="A1378" s="5"/>
    </row>
    <row r="1379" spans="1:1">
      <c r="A1379" s="5"/>
    </row>
    <row r="1380" spans="1:1">
      <c r="A1380" s="5"/>
    </row>
    <row r="1381" spans="1:1">
      <c r="A1381" s="5"/>
    </row>
    <row r="1382" spans="1:1">
      <c r="A1382" s="5"/>
    </row>
    <row r="1383" spans="1:1">
      <c r="A1383" s="5"/>
    </row>
    <row r="1384" spans="1:1">
      <c r="A1384" s="5"/>
    </row>
    <row r="1385" spans="1:1">
      <c r="A1385" s="5"/>
    </row>
    <row r="1386" spans="1:1">
      <c r="A1386" s="5"/>
    </row>
    <row r="1387" spans="1:1">
      <c r="A1387" s="5"/>
    </row>
    <row r="1388" spans="1:1">
      <c r="A1388" s="5"/>
    </row>
    <row r="1389" spans="1:1">
      <c r="A1389" s="5"/>
    </row>
    <row r="1390" spans="1:1">
      <c r="A1390" s="5"/>
    </row>
    <row r="1391" spans="1:1">
      <c r="A1391" s="5"/>
    </row>
    <row r="1392" spans="1:1">
      <c r="A1392" s="5"/>
    </row>
    <row r="1393" spans="1:1">
      <c r="A1393" s="5"/>
    </row>
    <row r="1394" spans="1:1">
      <c r="A1394" s="5"/>
    </row>
    <row r="1395" spans="1:1">
      <c r="A1395" s="5"/>
    </row>
    <row r="1396" spans="1:1">
      <c r="A1396" s="5"/>
    </row>
    <row r="1397" spans="1:1">
      <c r="A1397" s="5"/>
    </row>
    <row r="1398" spans="1:1">
      <c r="A1398" s="5"/>
    </row>
    <row r="1399" spans="1:1">
      <c r="A1399" s="5"/>
    </row>
    <row r="1400" spans="1:1">
      <c r="A1400" s="5"/>
    </row>
    <row r="1401" spans="1:1">
      <c r="A1401" s="5"/>
    </row>
    <row r="1402" spans="1:1">
      <c r="A1402" s="5"/>
    </row>
    <row r="1403" spans="1:1">
      <c r="A1403" s="5"/>
    </row>
    <row r="1404" spans="1:1">
      <c r="A1404" s="5"/>
    </row>
    <row r="1405" spans="1:1">
      <c r="A1405" s="5"/>
    </row>
    <row r="1406" spans="1:1">
      <c r="A1406" s="5"/>
    </row>
    <row r="1407" spans="1:1">
      <c r="A1407" s="5"/>
    </row>
    <row r="1408" spans="1:1">
      <c r="A1408" s="5"/>
    </row>
    <row r="1409" spans="1:1">
      <c r="A1409" s="5"/>
    </row>
    <row r="1410" spans="1:1">
      <c r="A1410" s="5"/>
    </row>
    <row r="1411" spans="1:1">
      <c r="A1411" s="5"/>
    </row>
    <row r="1412" spans="1:1">
      <c r="A1412" s="5"/>
    </row>
    <row r="1413" spans="1:1">
      <c r="A1413" s="5"/>
    </row>
    <row r="1414" spans="1:1">
      <c r="A1414" s="5"/>
    </row>
    <row r="1415" spans="1:1">
      <c r="A1415" s="5"/>
    </row>
    <row r="1416" spans="1:1">
      <c r="A1416" s="5"/>
    </row>
    <row r="1417" spans="1:1">
      <c r="A1417" s="5"/>
    </row>
    <row r="1418" spans="1:1">
      <c r="A1418" s="5"/>
    </row>
    <row r="1419" spans="1:1">
      <c r="A1419" s="5"/>
    </row>
    <row r="1420" spans="1:1">
      <c r="A1420" s="5"/>
    </row>
    <row r="1421" spans="1:1">
      <c r="A1421" s="5"/>
    </row>
    <row r="1422" spans="1:1">
      <c r="A1422" s="5"/>
    </row>
    <row r="1423" spans="1:1">
      <c r="A1423" s="5"/>
    </row>
    <row r="1424" spans="1:1">
      <c r="A1424" s="5"/>
    </row>
    <row r="1425" spans="1:1">
      <c r="A1425" s="5"/>
    </row>
    <row r="1426" spans="1:1">
      <c r="A1426" s="5"/>
    </row>
    <row r="1427" spans="1:1">
      <c r="A1427" s="5"/>
    </row>
    <row r="1428" spans="1:1">
      <c r="A1428" s="5"/>
    </row>
    <row r="1429" spans="1:1">
      <c r="A1429" s="5"/>
    </row>
    <row r="1430" spans="1:1">
      <c r="A1430" s="5"/>
    </row>
    <row r="1431" spans="1:1">
      <c r="A1431" s="5"/>
    </row>
    <row r="1432" spans="1:1">
      <c r="A1432" s="5"/>
    </row>
    <row r="1433" spans="1:1">
      <c r="A1433" s="5"/>
    </row>
    <row r="1434" spans="1:1">
      <c r="A1434" s="5"/>
    </row>
    <row r="1435" spans="1:1">
      <c r="A1435" s="5"/>
    </row>
    <row r="1436" spans="1:1">
      <c r="A1436" s="5"/>
    </row>
    <row r="1437" spans="1:1">
      <c r="A1437" s="5"/>
    </row>
    <row r="1438" spans="1:1">
      <c r="A1438" s="5"/>
    </row>
    <row r="1439" spans="1:1">
      <c r="A1439" s="5"/>
    </row>
    <row r="1440" spans="1:1">
      <c r="A1440" s="5"/>
    </row>
    <row r="1441" spans="1:1">
      <c r="A1441" s="5"/>
    </row>
    <row r="1442" spans="1:1">
      <c r="A1442" s="5"/>
    </row>
    <row r="1443" spans="1:1">
      <c r="A1443" s="5"/>
    </row>
    <row r="1444" spans="1:1">
      <c r="A1444" s="5"/>
    </row>
    <row r="1445" spans="1:1">
      <c r="A1445" s="5"/>
    </row>
    <row r="1446" spans="1:1">
      <c r="A1446" s="5"/>
    </row>
    <row r="1447" spans="1:1">
      <c r="A1447" s="5"/>
    </row>
    <row r="1448" spans="1:1">
      <c r="A1448" s="5"/>
    </row>
    <row r="1449" spans="1:1">
      <c r="A1449" s="5"/>
    </row>
    <row r="1450" spans="1:1">
      <c r="A1450" s="5"/>
    </row>
    <row r="1451" spans="1:1">
      <c r="A1451" s="5"/>
    </row>
    <row r="1452" spans="1:1">
      <c r="A1452" s="5"/>
    </row>
    <row r="1453" spans="1:1">
      <c r="A1453" s="5"/>
    </row>
    <row r="1454" spans="1:1">
      <c r="A1454" s="5"/>
    </row>
    <row r="1455" spans="1:1">
      <c r="A1455" s="5"/>
    </row>
    <row r="1456" spans="1:1">
      <c r="A1456" s="5"/>
    </row>
    <row r="1457" spans="1:1">
      <c r="A1457" s="5"/>
    </row>
    <row r="1458" spans="1:1">
      <c r="A1458" s="5"/>
    </row>
    <row r="1459" spans="1:1">
      <c r="A1459" s="5"/>
    </row>
    <row r="1460" spans="1:1">
      <c r="A1460" s="5"/>
    </row>
    <row r="1461" spans="1:1">
      <c r="A1461" s="5"/>
    </row>
    <row r="1462" spans="1:1">
      <c r="A1462" s="5"/>
    </row>
    <row r="1463" spans="1:1">
      <c r="A1463" s="5"/>
    </row>
    <row r="1464" spans="1:1">
      <c r="A1464" s="5"/>
    </row>
    <row r="1465" spans="1:1">
      <c r="A1465" s="5"/>
    </row>
    <row r="1466" spans="1:1">
      <c r="A1466" s="5"/>
    </row>
    <row r="1467" spans="1:1">
      <c r="A1467" s="5"/>
    </row>
    <row r="1468" spans="1:1">
      <c r="A1468" s="5"/>
    </row>
    <row r="1469" spans="1:1">
      <c r="A1469" s="5"/>
    </row>
    <row r="1470" spans="1:1">
      <c r="A1470" s="5"/>
    </row>
    <row r="1471" spans="1:1">
      <c r="A1471" s="5"/>
    </row>
    <row r="1472" spans="1:1">
      <c r="A1472" s="5"/>
    </row>
    <row r="1473" spans="1:1">
      <c r="A1473" s="5"/>
    </row>
    <row r="1474" spans="1:1">
      <c r="A1474" s="5"/>
    </row>
    <row r="1475" spans="1:1">
      <c r="A1475" s="5"/>
    </row>
    <row r="1476" spans="1:1">
      <c r="A1476" s="5"/>
    </row>
    <row r="1477" spans="1:1">
      <c r="A1477" s="5"/>
    </row>
    <row r="1478" spans="1:1">
      <c r="A1478" s="5"/>
    </row>
    <row r="1479" spans="1:1">
      <c r="A1479" s="5"/>
    </row>
    <row r="1480" spans="1:1">
      <c r="A1480" s="5"/>
    </row>
    <row r="1481" spans="1:1">
      <c r="A1481" s="5"/>
    </row>
    <row r="1482" spans="1:1">
      <c r="A1482" s="5"/>
    </row>
    <row r="1483" spans="1:1">
      <c r="A1483" s="5"/>
    </row>
    <row r="1484" spans="1:1">
      <c r="A1484" s="5"/>
    </row>
    <row r="1485" spans="1:1">
      <c r="A1485" s="5"/>
    </row>
    <row r="1486" spans="1:1">
      <c r="A1486" s="5"/>
    </row>
    <row r="1487" spans="1:1">
      <c r="A1487" s="5"/>
    </row>
    <row r="1488" spans="1:1">
      <c r="A1488" s="5"/>
    </row>
    <row r="1489" spans="1:1">
      <c r="A1489" s="5"/>
    </row>
    <row r="1490" spans="1:1">
      <c r="A1490" s="5"/>
    </row>
    <row r="1491" spans="1:1">
      <c r="A1491" s="5"/>
    </row>
    <row r="1492" spans="1:1">
      <c r="A1492" s="5"/>
    </row>
    <row r="1493" spans="1:1">
      <c r="A1493" s="5"/>
    </row>
    <row r="1494" spans="1:1">
      <c r="A1494" s="5"/>
    </row>
    <row r="1495" spans="1:1">
      <c r="A1495" s="5"/>
    </row>
    <row r="1496" spans="1:1">
      <c r="A1496" s="5"/>
    </row>
    <row r="1497" spans="1:1">
      <c r="A1497" s="5"/>
    </row>
    <row r="1498" spans="1:1">
      <c r="A1498" s="5"/>
    </row>
    <row r="1499" spans="1:1">
      <c r="A1499" s="5"/>
    </row>
    <row r="1500" spans="1:1">
      <c r="A1500" s="5"/>
    </row>
    <row r="1501" spans="1:1">
      <c r="A1501" s="5"/>
    </row>
    <row r="1502" spans="1:1">
      <c r="A1502" s="5"/>
    </row>
    <row r="1503" spans="1:1">
      <c r="A1503" s="5"/>
    </row>
    <row r="1504" spans="1:1">
      <c r="A1504" s="5"/>
    </row>
    <row r="1505" spans="1:1">
      <c r="A1505" s="5"/>
    </row>
    <row r="1506" spans="1:1">
      <c r="A1506" s="5"/>
    </row>
    <row r="1507" spans="1:1">
      <c r="A1507" s="5"/>
    </row>
    <row r="1508" spans="1:1">
      <c r="A1508" s="5"/>
    </row>
    <row r="1509" spans="1:1">
      <c r="A1509" s="5"/>
    </row>
    <row r="1510" spans="1:1">
      <c r="A1510" s="5"/>
    </row>
    <row r="1511" spans="1:1">
      <c r="A1511" s="5"/>
    </row>
    <row r="1512" spans="1:1">
      <c r="A1512" s="5"/>
    </row>
    <row r="1513" spans="1:1">
      <c r="A1513" s="5"/>
    </row>
    <row r="1514" spans="1:1">
      <c r="A1514" s="5"/>
    </row>
    <row r="1515" spans="1:1">
      <c r="A1515" s="5"/>
    </row>
    <row r="1516" spans="1:1">
      <c r="A1516" s="5"/>
    </row>
    <row r="1517" spans="1:1">
      <c r="A1517" s="5"/>
    </row>
    <row r="1518" spans="1:1">
      <c r="A1518" s="5"/>
    </row>
    <row r="1519" spans="1:1">
      <c r="A1519" s="5"/>
    </row>
    <row r="1520" spans="1:1">
      <c r="A1520" s="5"/>
    </row>
    <row r="1521" spans="1:1">
      <c r="A1521" s="5"/>
    </row>
    <row r="1522" spans="1:1">
      <c r="A1522" s="5"/>
    </row>
    <row r="1523" spans="1:1">
      <c r="A1523" s="5"/>
    </row>
    <row r="1524" spans="1:1">
      <c r="A1524" s="5"/>
    </row>
    <row r="1525" spans="1:1">
      <c r="A1525" s="5"/>
    </row>
    <row r="1526" spans="1:1">
      <c r="A1526" s="5"/>
    </row>
    <row r="1527" spans="1:1">
      <c r="A1527" s="5"/>
    </row>
    <row r="1528" spans="1:1">
      <c r="A1528" s="5"/>
    </row>
    <row r="1529" spans="1:1">
      <c r="A1529" s="5"/>
    </row>
    <row r="1530" spans="1:1">
      <c r="A1530" s="5"/>
    </row>
    <row r="1531" spans="1:1">
      <c r="A1531" s="5"/>
    </row>
    <row r="1532" spans="1:1">
      <c r="A1532" s="5"/>
    </row>
    <row r="1533" spans="1:1">
      <c r="A1533" s="5"/>
    </row>
    <row r="1534" spans="1:1">
      <c r="A1534" s="5"/>
    </row>
    <row r="1535" spans="1:1">
      <c r="A1535" s="5"/>
    </row>
    <row r="1536" spans="1:1">
      <c r="A1536" s="5"/>
    </row>
    <row r="1537" spans="1:1">
      <c r="A1537" s="5"/>
    </row>
    <row r="1538" spans="1:1">
      <c r="A1538" s="5"/>
    </row>
    <row r="1539" spans="1:1">
      <c r="A1539" s="5"/>
    </row>
    <row r="1540" spans="1:1">
      <c r="A1540" s="5"/>
    </row>
    <row r="1541" spans="1:1">
      <c r="A1541" s="5"/>
    </row>
    <row r="1542" spans="1:1">
      <c r="A1542" s="5"/>
    </row>
    <row r="1543" spans="1:1">
      <c r="A1543" s="5"/>
    </row>
    <row r="1544" spans="1:1">
      <c r="A1544" s="5"/>
    </row>
    <row r="1545" spans="1:1">
      <c r="A1545" s="5"/>
    </row>
    <row r="1546" spans="1:1">
      <c r="A1546" s="5"/>
    </row>
    <row r="1547" spans="1:1">
      <c r="A1547" s="5"/>
    </row>
    <row r="1548" spans="1:1">
      <c r="A1548" s="5"/>
    </row>
    <row r="1549" spans="1:1">
      <c r="A1549" s="5"/>
    </row>
    <row r="1550" spans="1:1">
      <c r="A1550" s="5"/>
    </row>
    <row r="1551" spans="1:1">
      <c r="A1551" s="5"/>
    </row>
    <row r="1552" spans="1:1">
      <c r="A1552" s="5"/>
    </row>
    <row r="1553" spans="1:1">
      <c r="A1553" s="5"/>
    </row>
    <row r="1554" spans="1:1">
      <c r="A1554" s="5"/>
    </row>
    <row r="1555" spans="1:1">
      <c r="A1555" s="5"/>
    </row>
    <row r="1556" spans="1:1">
      <c r="A1556" s="5"/>
    </row>
    <row r="1557" spans="1:1">
      <c r="A1557" s="5"/>
    </row>
    <row r="1558" spans="1:1">
      <c r="A1558" s="5"/>
    </row>
    <row r="1559" spans="1:1">
      <c r="A1559" s="5"/>
    </row>
    <row r="1560" spans="1:1">
      <c r="A1560" s="5"/>
    </row>
    <row r="1561" spans="1:1">
      <c r="A1561" s="5"/>
    </row>
    <row r="1562" spans="1:1">
      <c r="A1562" s="5"/>
    </row>
    <row r="1563" spans="1:1">
      <c r="A1563" s="5"/>
    </row>
    <row r="1564" spans="1:1">
      <c r="A1564" s="5"/>
    </row>
    <row r="1565" spans="1:1">
      <c r="A1565" s="5"/>
    </row>
    <row r="1566" spans="1:1">
      <c r="A1566" s="5"/>
    </row>
    <row r="1567" spans="1:1">
      <c r="A1567" s="5"/>
    </row>
    <row r="1568" spans="1:1">
      <c r="A1568" s="5"/>
    </row>
    <row r="1569" spans="1:1">
      <c r="A1569" s="5"/>
    </row>
    <row r="1570" spans="1:1">
      <c r="A1570" s="5"/>
    </row>
    <row r="1571" spans="1:1">
      <c r="A1571" s="5"/>
    </row>
    <row r="1572" spans="1:1">
      <c r="A1572" s="5"/>
    </row>
    <row r="1573" spans="1:1">
      <c r="A1573" s="5"/>
    </row>
    <row r="1574" spans="1:1">
      <c r="A1574" s="5"/>
    </row>
    <row r="1575" spans="1:1">
      <c r="A1575" s="5"/>
    </row>
    <row r="1576" spans="1:1">
      <c r="A1576" s="5"/>
    </row>
    <row r="1577" spans="1:1">
      <c r="A1577" s="5"/>
    </row>
    <row r="1578" spans="1:1">
      <c r="A1578" s="5"/>
    </row>
    <row r="1579" spans="1:1">
      <c r="A1579" s="5"/>
    </row>
    <row r="1580" spans="1:1">
      <c r="A1580" s="5"/>
    </row>
    <row r="1581" spans="1:1">
      <c r="A1581" s="5"/>
    </row>
    <row r="1582" spans="1:1">
      <c r="A1582" s="5"/>
    </row>
    <row r="1583" spans="1:1">
      <c r="A1583" s="5"/>
    </row>
    <row r="1584" spans="1:1">
      <c r="A1584" s="5"/>
    </row>
    <row r="1585" spans="1:1">
      <c r="A1585" s="5"/>
    </row>
    <row r="1586" spans="1:1">
      <c r="A1586" s="5"/>
    </row>
    <row r="1587" spans="1:1">
      <c r="A1587" s="5"/>
    </row>
    <row r="1588" spans="1:1">
      <c r="A1588" s="5"/>
    </row>
    <row r="1589" spans="1:1">
      <c r="A1589" s="5"/>
    </row>
    <row r="1590" spans="1:1">
      <c r="A1590" s="5"/>
    </row>
    <row r="1591" spans="1:1">
      <c r="A1591" s="5"/>
    </row>
    <row r="1592" spans="1:1">
      <c r="A1592" s="5"/>
    </row>
    <row r="1593" spans="1:1">
      <c r="A1593" s="5"/>
    </row>
    <row r="1594" spans="1:1">
      <c r="A1594" s="5"/>
    </row>
    <row r="1595" spans="1:1">
      <c r="A1595" s="5"/>
    </row>
    <row r="1596" spans="1:1">
      <c r="A1596" s="5"/>
    </row>
    <row r="1597" spans="1:1">
      <c r="A1597" s="5"/>
    </row>
    <row r="1598" spans="1:1">
      <c r="A1598" s="5"/>
    </row>
    <row r="1599" spans="1:1">
      <c r="A1599" s="5"/>
    </row>
    <row r="1600" spans="1:1">
      <c r="A1600" s="5"/>
    </row>
    <row r="1601" spans="1:1">
      <c r="A1601" s="5"/>
    </row>
    <row r="1602" spans="1:1">
      <c r="A1602" s="5"/>
    </row>
    <row r="1603" spans="1:1">
      <c r="A1603" s="5"/>
    </row>
    <row r="1604" spans="1:1">
      <c r="A1604" s="5"/>
    </row>
    <row r="1605" spans="1:1">
      <c r="A1605" s="5"/>
    </row>
    <row r="1606" spans="1:1">
      <c r="A1606" s="5"/>
    </row>
    <row r="1607" spans="1:1">
      <c r="A1607" s="5"/>
    </row>
    <row r="1608" spans="1:1">
      <c r="A1608" s="5"/>
    </row>
    <row r="1609" spans="1:1">
      <c r="A1609" s="5"/>
    </row>
    <row r="1610" spans="1:1">
      <c r="A1610" s="5"/>
    </row>
    <row r="1611" spans="1:1">
      <c r="A1611" s="5"/>
    </row>
    <row r="1612" spans="1:1">
      <c r="A1612" s="5"/>
    </row>
    <row r="1613" spans="1:1">
      <c r="A1613" s="5"/>
    </row>
    <row r="1614" spans="1:1">
      <c r="A1614" s="5"/>
    </row>
    <row r="1615" spans="1:1">
      <c r="A1615" s="5"/>
    </row>
    <row r="1616" spans="1:1">
      <c r="A1616" s="5"/>
    </row>
    <row r="1617" spans="1:1">
      <c r="A1617" s="5"/>
    </row>
    <row r="1618" spans="1:1">
      <c r="A1618" s="5"/>
    </row>
    <row r="1619" spans="1:1">
      <c r="A1619" s="5"/>
    </row>
    <row r="1620" spans="1:1">
      <c r="A1620" s="5"/>
    </row>
    <row r="1621" spans="1:1">
      <c r="A1621" s="5"/>
    </row>
    <row r="1622" spans="1:1">
      <c r="A1622" s="5"/>
    </row>
    <row r="1623" spans="1:1">
      <c r="A1623" s="5"/>
    </row>
    <row r="1624" spans="1:1">
      <c r="A1624" s="5"/>
    </row>
    <row r="1625" spans="1:1">
      <c r="A1625" s="5"/>
    </row>
    <row r="1626" spans="1:1">
      <c r="A1626" s="5"/>
    </row>
    <row r="1627" spans="1:1">
      <c r="A1627" s="5"/>
    </row>
    <row r="1628" spans="1:1">
      <c r="A1628" s="5"/>
    </row>
    <row r="1629" spans="1:1">
      <c r="A1629" s="5"/>
    </row>
    <row r="1630" spans="1:1">
      <c r="A1630" s="5"/>
    </row>
    <row r="1631" spans="1:1">
      <c r="A1631" s="5"/>
    </row>
    <row r="1632" spans="1:1">
      <c r="A1632" s="5"/>
    </row>
    <row r="1633" spans="1:1">
      <c r="A1633" s="5"/>
    </row>
    <row r="1634" spans="1:1">
      <c r="A1634" s="5"/>
    </row>
    <row r="1635" spans="1:1">
      <c r="A1635" s="5"/>
    </row>
    <row r="1636" spans="1:1">
      <c r="A1636" s="5"/>
    </row>
    <row r="1637" spans="1:1">
      <c r="A1637" s="5"/>
    </row>
    <row r="1638" spans="1:1">
      <c r="A1638" s="5"/>
    </row>
    <row r="1639" spans="1:1">
      <c r="A1639" s="5"/>
    </row>
    <row r="1640" spans="1:1">
      <c r="A1640" s="5"/>
    </row>
    <row r="1641" spans="1:1">
      <c r="A1641" s="5"/>
    </row>
    <row r="1642" spans="1:1">
      <c r="A1642" s="5"/>
    </row>
    <row r="1643" spans="1:1">
      <c r="A1643" s="5"/>
    </row>
    <row r="1644" spans="1:1">
      <c r="A1644" s="5"/>
    </row>
    <row r="1645" spans="1:1">
      <c r="A1645" s="5"/>
    </row>
    <row r="1646" spans="1:1">
      <c r="A1646" s="5"/>
    </row>
    <row r="1647" spans="1:1">
      <c r="A1647" s="5"/>
    </row>
    <row r="1648" spans="1:1">
      <c r="A1648" s="5"/>
    </row>
    <row r="1649" spans="1:1">
      <c r="A1649" s="5"/>
    </row>
    <row r="1650" spans="1:1">
      <c r="A1650" s="5"/>
    </row>
    <row r="1651" spans="1:1">
      <c r="A1651" s="5"/>
    </row>
    <row r="1652" spans="1:1">
      <c r="A1652" s="5"/>
    </row>
    <row r="1653" spans="1:1">
      <c r="A1653" s="5"/>
    </row>
    <row r="1654" spans="1:1">
      <c r="A1654" s="5"/>
    </row>
    <row r="1655" spans="1:1">
      <c r="A1655" s="5"/>
    </row>
    <row r="1656" spans="1:1">
      <c r="A1656" s="5"/>
    </row>
    <row r="1657" spans="1:1">
      <c r="A1657" s="5"/>
    </row>
    <row r="1658" spans="1:1">
      <c r="A1658" s="5"/>
    </row>
    <row r="1659" spans="1:1">
      <c r="A1659" s="5"/>
    </row>
    <row r="1660" spans="1:1">
      <c r="A1660" s="5"/>
    </row>
    <row r="1661" spans="1:1">
      <c r="A1661" s="5"/>
    </row>
    <row r="1662" spans="1:1">
      <c r="A1662" s="5"/>
    </row>
    <row r="1663" spans="1:1">
      <c r="A1663" s="5"/>
    </row>
    <row r="1664" spans="1:1">
      <c r="A1664" s="5"/>
    </row>
    <row r="1665" spans="1:1">
      <c r="A1665" s="5"/>
    </row>
    <row r="1666" spans="1:1">
      <c r="A1666" s="5"/>
    </row>
    <row r="1667" spans="1:1">
      <c r="A1667" s="5"/>
    </row>
    <row r="1668" spans="1:1">
      <c r="A1668" s="5"/>
    </row>
    <row r="1669" spans="1:1">
      <c r="A1669" s="5"/>
    </row>
    <row r="1670" spans="1:1">
      <c r="A1670" s="5"/>
    </row>
    <row r="1671" spans="1:1">
      <c r="A1671" s="5"/>
    </row>
    <row r="1672" spans="1:1">
      <c r="A1672" s="5"/>
    </row>
    <row r="1673" spans="1:1">
      <c r="A1673" s="5"/>
    </row>
    <row r="1674" spans="1:1">
      <c r="A1674" s="5"/>
    </row>
    <row r="1675" spans="1:1">
      <c r="A1675" s="5"/>
    </row>
    <row r="1676" spans="1:1">
      <c r="A1676" s="5"/>
    </row>
    <row r="1677" spans="1:1">
      <c r="A1677" s="5"/>
    </row>
    <row r="1678" spans="1:1">
      <c r="A1678" s="5"/>
    </row>
    <row r="1679" spans="1:1">
      <c r="A1679" s="5"/>
    </row>
    <row r="1680" spans="1:1">
      <c r="A1680" s="5"/>
    </row>
    <row r="1681" spans="1:1">
      <c r="A1681" s="5"/>
    </row>
    <row r="1682" spans="1:1">
      <c r="A1682" s="5"/>
    </row>
    <row r="1683" spans="1:1">
      <c r="A1683" s="5"/>
    </row>
    <row r="1684" spans="1:1">
      <c r="A1684" s="5"/>
    </row>
    <row r="1685" spans="1:1">
      <c r="A1685" s="5"/>
    </row>
    <row r="1686" spans="1:1">
      <c r="A1686" s="5"/>
    </row>
    <row r="1687" spans="1:1">
      <c r="A1687" s="5"/>
    </row>
    <row r="1688" spans="1:1">
      <c r="A1688" s="5"/>
    </row>
    <row r="1689" spans="1:1">
      <c r="A1689" s="5"/>
    </row>
    <row r="1690" spans="1:1">
      <c r="A1690" s="5"/>
    </row>
    <row r="1691" spans="1:1">
      <c r="A1691" s="5"/>
    </row>
    <row r="1692" spans="1:1">
      <c r="A1692" s="5"/>
    </row>
    <row r="1693" spans="1:1">
      <c r="A1693" s="5"/>
    </row>
    <row r="1694" spans="1:1">
      <c r="A1694" s="5"/>
    </row>
    <row r="1695" spans="1:1">
      <c r="A1695" s="5"/>
    </row>
    <row r="1696" spans="1:1">
      <c r="A1696" s="5"/>
    </row>
    <row r="1697" spans="1:1">
      <c r="A1697" s="5"/>
    </row>
    <row r="1698" spans="1:1">
      <c r="A1698" s="5"/>
    </row>
    <row r="1699" spans="1:1">
      <c r="A1699" s="5"/>
    </row>
    <row r="1700" spans="1:1">
      <c r="A1700" s="5"/>
    </row>
    <row r="1701" spans="1:1">
      <c r="A1701" s="5"/>
    </row>
    <row r="1702" spans="1:1">
      <c r="A1702" s="5"/>
    </row>
    <row r="1703" spans="1:1">
      <c r="A1703" s="5"/>
    </row>
    <row r="1704" spans="1:1">
      <c r="A1704" s="5"/>
    </row>
    <row r="1705" spans="1:1">
      <c r="A1705" s="5"/>
    </row>
    <row r="1706" spans="1:1">
      <c r="A1706" s="5"/>
    </row>
    <row r="1707" spans="1:1">
      <c r="A1707" s="5"/>
    </row>
    <row r="1708" spans="1:1">
      <c r="A1708" s="5"/>
    </row>
    <row r="1709" spans="1:1">
      <c r="A1709" s="5"/>
    </row>
    <row r="1710" spans="1:1">
      <c r="A1710" s="5"/>
    </row>
    <row r="1711" spans="1:1">
      <c r="A1711" s="5"/>
    </row>
    <row r="1712" spans="1:1">
      <c r="A1712" s="5"/>
    </row>
    <row r="1713" spans="1:1">
      <c r="A1713" s="5"/>
    </row>
    <row r="1714" spans="1:1">
      <c r="A1714" s="5"/>
    </row>
    <row r="1715" spans="1:1">
      <c r="A1715" s="5"/>
    </row>
    <row r="1716" spans="1:1">
      <c r="A1716" s="5"/>
    </row>
    <row r="1717" spans="1:1">
      <c r="A1717" s="5"/>
    </row>
    <row r="1718" spans="1:1">
      <c r="A1718" s="5"/>
    </row>
    <row r="1719" spans="1:1">
      <c r="A1719" s="5"/>
    </row>
    <row r="1720" spans="1:1">
      <c r="A1720" s="5"/>
    </row>
    <row r="1721" spans="1:1">
      <c r="A1721" s="5"/>
    </row>
    <row r="1722" spans="1:1">
      <c r="A1722" s="5"/>
    </row>
    <row r="1723" spans="1:1">
      <c r="A1723" s="5"/>
    </row>
    <row r="1724" spans="1:1">
      <c r="A1724" s="5"/>
    </row>
    <row r="1725" spans="1:1">
      <c r="A1725" s="5"/>
    </row>
    <row r="1726" spans="1:1">
      <c r="A1726" s="5"/>
    </row>
    <row r="1727" spans="1:1">
      <c r="A1727" s="5"/>
    </row>
    <row r="1728" spans="1:1">
      <c r="A1728" s="5"/>
    </row>
    <row r="1729" spans="1:1">
      <c r="A1729" s="5"/>
    </row>
    <row r="1730" spans="1:1">
      <c r="A1730" s="5"/>
    </row>
    <row r="1731" spans="1:1">
      <c r="A1731" s="5"/>
    </row>
    <row r="1732" spans="1:1">
      <c r="A1732" s="5"/>
    </row>
    <row r="1733" spans="1:1">
      <c r="A1733" s="5"/>
    </row>
    <row r="1734" spans="1:1">
      <c r="A1734" s="5"/>
    </row>
    <row r="1735" spans="1:1">
      <c r="A1735" s="5"/>
    </row>
    <row r="1736" spans="1:1">
      <c r="A1736" s="5"/>
    </row>
    <row r="1737" spans="1:1">
      <c r="A1737" s="5"/>
    </row>
    <row r="1738" spans="1:1">
      <c r="A1738" s="5"/>
    </row>
    <row r="1739" spans="1:1">
      <c r="A1739" s="5"/>
    </row>
    <row r="1740" spans="1:1">
      <c r="A1740" s="5"/>
    </row>
    <row r="1741" spans="1:1">
      <c r="A1741" s="5"/>
    </row>
    <row r="1742" spans="1:1">
      <c r="A1742" s="5"/>
    </row>
    <row r="1743" spans="1:1">
      <c r="A1743" s="5"/>
    </row>
    <row r="1744" spans="1:1">
      <c r="A1744" s="5"/>
    </row>
    <row r="1745" spans="1:1">
      <c r="A1745" s="5"/>
    </row>
    <row r="1746" spans="1:1">
      <c r="A1746" s="5"/>
    </row>
    <row r="1747" spans="1:1">
      <c r="A1747" s="5"/>
    </row>
    <row r="1748" spans="1:1">
      <c r="A1748" s="5"/>
    </row>
    <row r="1749" spans="1:1">
      <c r="A1749" s="5"/>
    </row>
    <row r="1750" spans="1:1">
      <c r="A1750" s="5"/>
    </row>
    <row r="1751" spans="1:1">
      <c r="A1751" s="5"/>
    </row>
    <row r="1752" spans="1:1">
      <c r="A1752" s="5"/>
    </row>
    <row r="1753" spans="1:1">
      <c r="A1753" s="5"/>
    </row>
    <row r="1754" spans="1:1">
      <c r="A1754" s="5"/>
    </row>
    <row r="1755" spans="1:1">
      <c r="A1755" s="5"/>
    </row>
    <row r="1756" spans="1:1">
      <c r="A1756" s="5"/>
    </row>
    <row r="1757" spans="1:1">
      <c r="A1757" s="5"/>
    </row>
    <row r="1758" spans="1:1">
      <c r="A1758" s="5"/>
    </row>
    <row r="1759" spans="1:1">
      <c r="A1759" s="5"/>
    </row>
    <row r="1760" spans="1:1">
      <c r="A1760" s="5"/>
    </row>
    <row r="1761" spans="1:1">
      <c r="A1761" s="5"/>
    </row>
    <row r="1762" spans="1:1">
      <c r="A1762" s="5"/>
    </row>
    <row r="1763" spans="1:1">
      <c r="A1763" s="5"/>
    </row>
    <row r="1764" spans="1:1">
      <c r="A1764" s="5"/>
    </row>
    <row r="1765" spans="1:1">
      <c r="A1765" s="5"/>
    </row>
    <row r="1766" spans="1:1">
      <c r="A1766" s="5"/>
    </row>
    <row r="1767" spans="1:1">
      <c r="A1767" s="5"/>
    </row>
    <row r="1768" spans="1:1">
      <c r="A1768" s="5"/>
    </row>
    <row r="1769" spans="1:1">
      <c r="A1769" s="5"/>
    </row>
    <row r="1770" spans="1:1">
      <c r="A1770" s="5"/>
    </row>
    <row r="1771" spans="1:1">
      <c r="A1771" s="5"/>
    </row>
    <row r="1772" spans="1:1">
      <c r="A1772" s="5"/>
    </row>
    <row r="1773" spans="1:1">
      <c r="A1773" s="5"/>
    </row>
    <row r="1774" spans="1:1">
      <c r="A1774" s="5"/>
    </row>
    <row r="1775" spans="1:1">
      <c r="A1775" s="5"/>
    </row>
    <row r="1776" spans="1:1">
      <c r="A1776" s="5"/>
    </row>
    <row r="1777" spans="1:1">
      <c r="A1777" s="5"/>
    </row>
    <row r="1778" spans="1:1">
      <c r="A1778" s="5"/>
    </row>
    <row r="1779" spans="1:1">
      <c r="A1779" s="5"/>
    </row>
    <row r="1780" spans="1:1">
      <c r="A1780" s="5"/>
    </row>
    <row r="1781" spans="1:1">
      <c r="A1781" s="5"/>
    </row>
    <row r="1782" spans="1:1">
      <c r="A1782" s="5"/>
    </row>
    <row r="1783" spans="1:1">
      <c r="A1783" s="5"/>
    </row>
    <row r="1784" spans="1:1">
      <c r="A1784" s="5"/>
    </row>
    <row r="1785" spans="1:1">
      <c r="A1785" s="5"/>
    </row>
    <row r="1786" spans="1:1">
      <c r="A1786" s="5"/>
    </row>
    <row r="1787" spans="1:1">
      <c r="A1787" s="5"/>
    </row>
    <row r="1788" spans="1:1">
      <c r="A1788" s="5"/>
    </row>
    <row r="1789" spans="1:1">
      <c r="A1789" s="5"/>
    </row>
    <row r="1790" spans="1:1">
      <c r="A1790" s="5"/>
    </row>
    <row r="1791" spans="1:1">
      <c r="A1791" s="5"/>
    </row>
    <row r="1792" spans="1:1">
      <c r="A1792" s="5"/>
    </row>
    <row r="1793" spans="1:1">
      <c r="A1793" s="5"/>
    </row>
    <row r="1794" spans="1:1">
      <c r="A1794" s="5"/>
    </row>
    <row r="1795" spans="1:1">
      <c r="A1795" s="5"/>
    </row>
    <row r="1796" spans="1:1">
      <c r="A1796" s="5"/>
    </row>
    <row r="1797" spans="1:1">
      <c r="A1797" s="5"/>
    </row>
    <row r="1798" spans="1:1">
      <c r="A1798" s="5"/>
    </row>
    <row r="1799" spans="1:1">
      <c r="A1799" s="5"/>
    </row>
    <row r="1800" spans="1:1">
      <c r="A1800" s="5"/>
    </row>
    <row r="1801" spans="1:1">
      <c r="A1801" s="5"/>
    </row>
    <row r="1802" spans="1:1">
      <c r="A1802" s="5"/>
    </row>
    <row r="1803" spans="1:1">
      <c r="A1803" s="5"/>
    </row>
    <row r="1804" spans="1:1">
      <c r="A1804" s="5"/>
    </row>
    <row r="1805" spans="1:1">
      <c r="A1805" s="5"/>
    </row>
    <row r="1806" spans="1:1">
      <c r="A1806" s="5"/>
    </row>
    <row r="1807" spans="1:1">
      <c r="A1807" s="5"/>
    </row>
    <row r="1808" spans="1:1">
      <c r="A1808" s="5"/>
    </row>
    <row r="1809" spans="1:1">
      <c r="A1809" s="5"/>
    </row>
    <row r="1810" spans="1:1">
      <c r="A1810" s="5"/>
    </row>
    <row r="1811" spans="1:1">
      <c r="A1811" s="5"/>
    </row>
    <row r="1812" spans="1:1">
      <c r="A1812" s="5"/>
    </row>
    <row r="1813" spans="1:1">
      <c r="A1813" s="5"/>
    </row>
    <row r="1814" spans="1:1">
      <c r="A1814" s="5"/>
    </row>
    <row r="1815" spans="1:1">
      <c r="A1815" s="5"/>
    </row>
    <row r="1816" spans="1:1">
      <c r="A1816" s="5"/>
    </row>
    <row r="1817" spans="1:1">
      <c r="A1817" s="5"/>
    </row>
    <row r="1818" spans="1:1">
      <c r="A1818" s="5"/>
    </row>
    <row r="1819" spans="1:1">
      <c r="A1819" s="5"/>
    </row>
    <row r="1820" spans="1:1">
      <c r="A1820" s="5"/>
    </row>
    <row r="1821" spans="1:1">
      <c r="A1821" s="5"/>
    </row>
    <row r="1822" spans="1:1">
      <c r="A1822" s="5"/>
    </row>
    <row r="1823" spans="1:1">
      <c r="A1823" s="5"/>
    </row>
    <row r="1824" spans="1:1">
      <c r="A1824" s="5"/>
    </row>
    <row r="1825" spans="1:1">
      <c r="A1825" s="5"/>
    </row>
    <row r="1826" spans="1:1">
      <c r="A1826" s="5"/>
    </row>
    <row r="1827" spans="1:1">
      <c r="A1827" s="5"/>
    </row>
    <row r="1828" spans="1:1">
      <c r="A1828" s="5"/>
    </row>
    <row r="1829" spans="1:1">
      <c r="A1829" s="5"/>
    </row>
    <row r="1830" spans="1:1">
      <c r="A1830" s="5"/>
    </row>
    <row r="1831" spans="1:1">
      <c r="A1831" s="5"/>
    </row>
    <row r="1832" spans="1:1">
      <c r="A1832" s="5"/>
    </row>
    <row r="1833" spans="1:1">
      <c r="A1833" s="5"/>
    </row>
    <row r="1834" spans="1:1">
      <c r="A1834" s="5"/>
    </row>
    <row r="1835" spans="1:1">
      <c r="A1835" s="5"/>
    </row>
    <row r="1836" spans="1:1">
      <c r="A1836" s="5"/>
    </row>
    <row r="1837" spans="1:1">
      <c r="A1837" s="5"/>
    </row>
    <row r="1838" spans="1:1">
      <c r="A1838" s="5"/>
    </row>
    <row r="1839" spans="1:1">
      <c r="A1839" s="5"/>
    </row>
    <row r="1840" spans="1:1">
      <c r="A1840" s="5"/>
    </row>
    <row r="1841" spans="1:1">
      <c r="A1841" s="5"/>
    </row>
    <row r="1842" spans="1:1">
      <c r="A1842" s="5"/>
    </row>
    <row r="1843" spans="1:1">
      <c r="A1843" s="5"/>
    </row>
    <row r="1844" spans="1:1">
      <c r="A1844" s="5"/>
    </row>
    <row r="1845" spans="1:1">
      <c r="A1845" s="5"/>
    </row>
    <row r="1846" spans="1:1">
      <c r="A1846" s="5"/>
    </row>
    <row r="1847" spans="1:1">
      <c r="A1847" s="5"/>
    </row>
    <row r="1848" spans="1:1">
      <c r="A1848" s="5"/>
    </row>
    <row r="1849" spans="1:1">
      <c r="A1849" s="5"/>
    </row>
    <row r="1850" spans="1:1">
      <c r="A1850" s="5"/>
    </row>
    <row r="1851" spans="1:1">
      <c r="A1851" s="5"/>
    </row>
    <row r="1852" spans="1:1">
      <c r="A1852" s="5"/>
    </row>
    <row r="1853" spans="1:1">
      <c r="A1853" s="5"/>
    </row>
    <row r="1854" spans="1:1">
      <c r="A1854" s="5"/>
    </row>
    <row r="1855" spans="1:1">
      <c r="A1855" s="5"/>
    </row>
    <row r="1856" spans="1:1">
      <c r="A1856" s="5"/>
    </row>
    <row r="1857" spans="1:1">
      <c r="A1857" s="5"/>
    </row>
    <row r="1858" spans="1:1">
      <c r="A1858" s="5"/>
    </row>
    <row r="1859" spans="1:1">
      <c r="A1859" s="5"/>
    </row>
    <row r="1860" spans="1:1">
      <c r="A1860" s="5"/>
    </row>
    <row r="1861" spans="1:1">
      <c r="A1861" s="5"/>
    </row>
    <row r="1862" spans="1:1">
      <c r="A1862" s="5"/>
    </row>
    <row r="1863" spans="1:1">
      <c r="A1863" s="5"/>
    </row>
    <row r="1864" spans="1:1">
      <c r="A1864" s="5"/>
    </row>
    <row r="1865" spans="1:1">
      <c r="A1865" s="5"/>
    </row>
    <row r="1866" spans="1:1">
      <c r="A1866" s="5"/>
    </row>
    <row r="1867" spans="1:1">
      <c r="A1867" s="5"/>
    </row>
    <row r="1868" spans="1:1">
      <c r="A1868" s="5"/>
    </row>
    <row r="1869" spans="1:1">
      <c r="A1869" s="5"/>
    </row>
    <row r="1870" spans="1:1">
      <c r="A1870" s="5"/>
    </row>
    <row r="1871" spans="1:1">
      <c r="A1871" s="5"/>
    </row>
    <row r="1872" spans="1:1">
      <c r="A1872" s="5"/>
    </row>
    <row r="1873" spans="1:1">
      <c r="A1873" s="5"/>
    </row>
    <row r="1874" spans="1:1">
      <c r="A1874" s="5"/>
    </row>
    <row r="1875" spans="1:1">
      <c r="A1875" s="5"/>
    </row>
    <row r="1876" spans="1:1">
      <c r="A1876" s="5"/>
    </row>
    <row r="1877" spans="1:1">
      <c r="A1877" s="5"/>
    </row>
    <row r="1878" spans="1:1">
      <c r="A1878" s="5"/>
    </row>
    <row r="1879" spans="1:1">
      <c r="A1879" s="5"/>
    </row>
    <row r="1880" spans="1:1">
      <c r="A1880" s="5"/>
    </row>
    <row r="1881" spans="1:1">
      <c r="A1881" s="5"/>
    </row>
    <row r="1882" spans="1:1">
      <c r="A1882" s="5"/>
    </row>
    <row r="1883" spans="1:1">
      <c r="A1883" s="5"/>
    </row>
    <row r="1884" spans="1:1">
      <c r="A1884" s="5"/>
    </row>
    <row r="1885" spans="1:1">
      <c r="A1885" s="5"/>
    </row>
    <row r="1886" spans="1:1">
      <c r="A1886" s="5"/>
    </row>
    <row r="1887" spans="1:1">
      <c r="A1887" s="5"/>
    </row>
    <row r="1888" spans="1:1">
      <c r="A1888" s="5"/>
    </row>
    <row r="1889" spans="1:1">
      <c r="A1889" s="5"/>
    </row>
    <row r="1890" spans="1:1">
      <c r="A1890" s="5"/>
    </row>
    <row r="1891" spans="1:1">
      <c r="A1891" s="5"/>
    </row>
    <row r="1892" spans="1:1">
      <c r="A1892" s="5"/>
    </row>
    <row r="1893" spans="1:1">
      <c r="A1893" s="5"/>
    </row>
    <row r="1894" spans="1:1">
      <c r="A1894" s="5"/>
    </row>
    <row r="1895" spans="1:1">
      <c r="A1895" s="5"/>
    </row>
    <row r="1896" spans="1:1">
      <c r="A1896" s="5"/>
    </row>
    <row r="1897" spans="1:1">
      <c r="A1897" s="5"/>
    </row>
    <row r="1898" spans="1:1">
      <c r="A1898" s="5"/>
    </row>
    <row r="1899" spans="1:1">
      <c r="A1899" s="5"/>
    </row>
    <row r="1900" spans="1:1">
      <c r="A1900" s="5"/>
    </row>
    <row r="1901" spans="1:1">
      <c r="A1901" s="5"/>
    </row>
    <row r="1902" spans="1:1">
      <c r="A1902" s="5"/>
    </row>
    <row r="1903" spans="1:1">
      <c r="A1903" s="5"/>
    </row>
    <row r="1904" spans="1:1">
      <c r="A1904" s="5"/>
    </row>
    <row r="1905" spans="1:1">
      <c r="A1905" s="5"/>
    </row>
    <row r="1906" spans="1:1">
      <c r="A1906" s="5"/>
    </row>
    <row r="1907" spans="1:1">
      <c r="A1907" s="5"/>
    </row>
    <row r="1908" spans="1:1">
      <c r="A1908" s="5"/>
    </row>
    <row r="1909" spans="1:1">
      <c r="A1909" s="5"/>
    </row>
    <row r="1910" spans="1:1">
      <c r="A1910" s="5"/>
    </row>
    <row r="1911" spans="1:1">
      <c r="A1911" s="5"/>
    </row>
    <row r="1912" spans="1:1">
      <c r="A1912" s="5"/>
    </row>
    <row r="1913" spans="1:1">
      <c r="A1913" s="5"/>
    </row>
    <row r="1914" spans="1:1">
      <c r="A1914" s="5"/>
    </row>
    <row r="1915" spans="1:1">
      <c r="A1915" s="5"/>
    </row>
    <row r="1916" spans="1:1">
      <c r="A1916" s="5"/>
    </row>
    <row r="1917" spans="1:1">
      <c r="A1917" s="5"/>
    </row>
    <row r="1918" spans="1:1">
      <c r="A1918" s="5"/>
    </row>
    <row r="1919" spans="1:1">
      <c r="A1919" s="5"/>
    </row>
    <row r="1920" spans="1:1">
      <c r="A1920" s="5"/>
    </row>
    <row r="1921" spans="1:1">
      <c r="A1921" s="5"/>
    </row>
    <row r="1922" spans="1:1">
      <c r="A1922" s="5"/>
    </row>
    <row r="1923" spans="1:1">
      <c r="A1923" s="5"/>
    </row>
    <row r="1924" spans="1:1">
      <c r="A1924" s="5"/>
    </row>
    <row r="1925" spans="1:1">
      <c r="A1925" s="5"/>
    </row>
    <row r="1926" spans="1:1">
      <c r="A1926" s="5"/>
    </row>
    <row r="1927" spans="1:1">
      <c r="A1927" s="5"/>
    </row>
    <row r="1928" spans="1:1">
      <c r="A1928" s="5"/>
    </row>
    <row r="1929" spans="1:1">
      <c r="A1929" s="5"/>
    </row>
    <row r="1930" spans="1:1">
      <c r="A1930" s="5"/>
    </row>
    <row r="1931" spans="1:1">
      <c r="A1931" s="5"/>
    </row>
    <row r="1932" spans="1:1">
      <c r="A1932" s="5"/>
    </row>
    <row r="1933" spans="1:1">
      <c r="A1933" s="5"/>
    </row>
    <row r="1934" spans="1:1">
      <c r="A1934" s="5"/>
    </row>
    <row r="1935" spans="1:1">
      <c r="A1935" s="5"/>
    </row>
    <row r="1936" spans="1:1">
      <c r="A1936" s="5"/>
    </row>
    <row r="1937" spans="1:1">
      <c r="A1937" s="5"/>
    </row>
    <row r="1938" spans="1:1">
      <c r="A1938" s="5"/>
    </row>
    <row r="1939" spans="1:1">
      <c r="A1939" s="5"/>
    </row>
    <row r="1940" spans="1:1">
      <c r="A1940" s="5"/>
    </row>
    <row r="1941" spans="1:1">
      <c r="A1941" s="5"/>
    </row>
    <row r="1942" spans="1:1">
      <c r="A1942" s="5"/>
    </row>
    <row r="1943" spans="1:1">
      <c r="A1943" s="5"/>
    </row>
    <row r="1944" spans="1:1">
      <c r="A1944" s="5"/>
    </row>
    <row r="1945" spans="1:1">
      <c r="A1945" s="5"/>
    </row>
    <row r="1946" spans="1:1">
      <c r="A1946" s="5"/>
    </row>
    <row r="1947" spans="1:1">
      <c r="A1947" s="5"/>
    </row>
    <row r="1948" spans="1:1">
      <c r="A1948" s="5"/>
    </row>
    <row r="1949" spans="1:1">
      <c r="A1949" s="5"/>
    </row>
    <row r="1950" spans="1:1">
      <c r="A1950" s="5"/>
    </row>
    <row r="1951" spans="1:1">
      <c r="A1951" s="5"/>
    </row>
    <row r="1952" spans="1:1">
      <c r="A1952" s="5"/>
    </row>
    <row r="1953" spans="1:1">
      <c r="A1953" s="5"/>
    </row>
    <row r="1954" spans="1:1">
      <c r="A1954" s="5"/>
    </row>
    <row r="1955" spans="1:1">
      <c r="A1955" s="5"/>
    </row>
    <row r="1956" spans="1:1">
      <c r="A1956" s="5"/>
    </row>
    <row r="1957" spans="1:1">
      <c r="A1957" s="5"/>
    </row>
    <row r="1958" spans="1:1">
      <c r="A1958" s="5"/>
    </row>
    <row r="1959" spans="1:1">
      <c r="A1959" s="5"/>
    </row>
    <row r="1960" spans="1:1">
      <c r="A1960" s="5"/>
    </row>
    <row r="1961" spans="1:1">
      <c r="A1961" s="5"/>
    </row>
    <row r="1962" spans="1:1">
      <c r="A1962" s="5"/>
    </row>
    <row r="1963" spans="1:1">
      <c r="A1963" s="5"/>
    </row>
    <row r="1964" spans="1:1">
      <c r="A1964" s="5"/>
    </row>
    <row r="1965" spans="1:1">
      <c r="A1965" s="5"/>
    </row>
    <row r="1966" spans="1:1">
      <c r="A1966" s="5"/>
    </row>
    <row r="1967" spans="1:1">
      <c r="A1967" s="5"/>
    </row>
    <row r="1968" spans="1:1">
      <c r="A1968" s="5"/>
    </row>
    <row r="1969" spans="1:1">
      <c r="A1969" s="5"/>
    </row>
    <row r="1970" spans="1:1">
      <c r="A1970" s="5"/>
    </row>
    <row r="1971" spans="1:1">
      <c r="A1971" s="5"/>
    </row>
    <row r="1972" spans="1:1">
      <c r="A1972" s="5"/>
    </row>
    <row r="1973" spans="1:1">
      <c r="A1973" s="5"/>
    </row>
    <row r="1974" spans="1:1">
      <c r="A1974" s="5"/>
    </row>
    <row r="1975" spans="1:1">
      <c r="A1975" s="5"/>
    </row>
    <row r="1976" spans="1:1">
      <c r="A1976" s="5"/>
    </row>
    <row r="1977" spans="1:1">
      <c r="A1977" s="5"/>
    </row>
    <row r="1978" spans="1:1">
      <c r="A1978" s="5"/>
    </row>
    <row r="1979" spans="1:1">
      <c r="A1979" s="5"/>
    </row>
    <row r="1980" spans="1:1">
      <c r="A1980" s="5"/>
    </row>
    <row r="1981" spans="1:1">
      <c r="A1981" s="5"/>
    </row>
    <row r="1982" spans="1:1">
      <c r="A1982" s="5"/>
    </row>
    <row r="1983" spans="1:1">
      <c r="A1983" s="5"/>
    </row>
    <row r="1984" spans="1:1">
      <c r="A1984" s="5"/>
    </row>
    <row r="1985" spans="1:1">
      <c r="A1985" s="5"/>
    </row>
    <row r="1986" spans="1:1">
      <c r="A1986" s="5"/>
    </row>
    <row r="1987" spans="1:1">
      <c r="A1987" s="5"/>
    </row>
    <row r="1988" spans="1:1">
      <c r="A1988" s="5"/>
    </row>
    <row r="1989" spans="1:1">
      <c r="A1989" s="5"/>
    </row>
    <row r="1990" spans="1:1">
      <c r="A1990" s="5"/>
    </row>
    <row r="1991" spans="1:1">
      <c r="A1991" s="5"/>
    </row>
    <row r="1992" spans="1:1">
      <c r="A1992" s="5"/>
    </row>
    <row r="1993" spans="1:1">
      <c r="A1993" s="5"/>
    </row>
    <row r="1994" spans="1:1">
      <c r="A1994" s="5"/>
    </row>
    <row r="1995" spans="1:1">
      <c r="A1995" s="5"/>
    </row>
    <row r="1996" spans="1:1">
      <c r="A1996" s="5"/>
    </row>
    <row r="1997" spans="1:1">
      <c r="A1997" s="5"/>
    </row>
    <row r="1998" spans="1:1">
      <c r="A1998" s="5"/>
    </row>
    <row r="1999" spans="1:1">
      <c r="A1999" s="5"/>
    </row>
    <row r="2000" spans="1:1">
      <c r="A2000" s="5"/>
    </row>
    <row r="2001" spans="1:1">
      <c r="A2001" s="5"/>
    </row>
    <row r="2002" spans="1:1">
      <c r="A2002" s="5"/>
    </row>
    <row r="2003" spans="1:1">
      <c r="A2003" s="5"/>
    </row>
    <row r="2004" spans="1:1">
      <c r="A2004" s="5"/>
    </row>
    <row r="2005" spans="1:1">
      <c r="A2005" s="5"/>
    </row>
    <row r="2006" spans="1:1">
      <c r="A2006" s="5"/>
    </row>
    <row r="2007" spans="1:1">
      <c r="A2007" s="5"/>
    </row>
    <row r="2008" spans="1:1">
      <c r="A2008" s="5"/>
    </row>
    <row r="2009" spans="1:1">
      <c r="A2009" s="5"/>
    </row>
    <row r="2010" spans="1:1">
      <c r="A2010" s="5"/>
    </row>
    <row r="2011" spans="1:1">
      <c r="A2011" s="5"/>
    </row>
    <row r="2012" spans="1:1">
      <c r="A2012" s="5"/>
    </row>
    <row r="2013" spans="1:1">
      <c r="A2013" s="5"/>
    </row>
    <row r="2014" spans="1:1">
      <c r="A2014" s="5"/>
    </row>
    <row r="2015" spans="1:1">
      <c r="A2015" s="5"/>
    </row>
    <row r="2016" spans="1:1">
      <c r="A2016" s="5"/>
    </row>
    <row r="2017" spans="1:1">
      <c r="A2017" s="5"/>
    </row>
    <row r="2018" spans="1:1">
      <c r="A2018" s="5"/>
    </row>
    <row r="2019" spans="1:1">
      <c r="A2019" s="5"/>
    </row>
    <row r="2020" spans="1:1">
      <c r="A2020" s="5"/>
    </row>
    <row r="2021" spans="1:1">
      <c r="A2021" s="5"/>
    </row>
    <row r="2022" spans="1:1">
      <c r="A2022" s="5"/>
    </row>
    <row r="2023" spans="1:1">
      <c r="A2023" s="5"/>
    </row>
    <row r="2024" spans="1:1">
      <c r="A2024" s="5"/>
    </row>
    <row r="2025" spans="1:1">
      <c r="A2025" s="5"/>
    </row>
    <row r="2026" spans="1:1">
      <c r="A2026" s="5"/>
    </row>
    <row r="2027" spans="1:1">
      <c r="A2027" s="5"/>
    </row>
    <row r="2028" spans="1:1">
      <c r="A2028" s="5"/>
    </row>
    <row r="2029" spans="1:1">
      <c r="A2029" s="5"/>
    </row>
    <row r="2030" spans="1:1">
      <c r="A2030" s="5"/>
    </row>
    <row r="2031" spans="1:1">
      <c r="A2031" s="5"/>
    </row>
    <row r="2032" spans="1:1">
      <c r="A2032" s="5"/>
    </row>
    <row r="2033" spans="1:1">
      <c r="A2033" s="5"/>
    </row>
    <row r="2034" spans="1:1">
      <c r="A2034" s="5"/>
    </row>
    <row r="2035" spans="1:1">
      <c r="A2035" s="5"/>
    </row>
    <row r="2036" spans="1:1">
      <c r="A2036" s="5"/>
    </row>
    <row r="2037" spans="1:1">
      <c r="A2037" s="5"/>
    </row>
    <row r="2038" spans="1:1">
      <c r="A2038" s="5"/>
    </row>
    <row r="2039" spans="1:1">
      <c r="A2039" s="5"/>
    </row>
    <row r="2040" spans="1:1">
      <c r="A2040" s="5"/>
    </row>
    <row r="2041" spans="1:1">
      <c r="A2041" s="5"/>
    </row>
    <row r="2042" spans="1:1">
      <c r="A2042" s="5"/>
    </row>
    <row r="2043" spans="1:1">
      <c r="A2043" s="5"/>
    </row>
    <row r="2044" spans="1:1">
      <c r="A2044" s="5"/>
    </row>
    <row r="2045" spans="1:1">
      <c r="A2045" s="5"/>
    </row>
    <row r="2046" spans="1:1">
      <c r="A2046" s="5"/>
    </row>
    <row r="2047" spans="1:1">
      <c r="A2047" s="5"/>
    </row>
    <row r="2048" spans="1:1">
      <c r="A2048" s="5"/>
    </row>
    <row r="2049" spans="1:1">
      <c r="A2049" s="5"/>
    </row>
    <row r="2050" spans="1:1">
      <c r="A2050" s="5"/>
    </row>
    <row r="2051" spans="1:1">
      <c r="A2051" s="5"/>
    </row>
    <row r="2052" spans="1:1">
      <c r="A2052" s="5"/>
    </row>
    <row r="2053" spans="1:1">
      <c r="A2053" s="5"/>
    </row>
    <row r="2054" spans="1:1">
      <c r="A2054" s="5"/>
    </row>
    <row r="2055" spans="1:1">
      <c r="A2055" s="5"/>
    </row>
    <row r="2056" spans="1:1">
      <c r="A2056" s="5"/>
    </row>
    <row r="2057" spans="1:1">
      <c r="A2057" s="5"/>
    </row>
    <row r="2058" spans="1:1">
      <c r="A2058" s="5"/>
    </row>
    <row r="2059" spans="1:1">
      <c r="A2059" s="5"/>
    </row>
    <row r="2060" spans="1:1">
      <c r="A2060" s="5"/>
    </row>
    <row r="2061" spans="1:1">
      <c r="A2061" s="5"/>
    </row>
    <row r="2062" spans="1:1">
      <c r="A2062" s="5"/>
    </row>
    <row r="2063" spans="1:1">
      <c r="A2063" s="5"/>
    </row>
    <row r="2064" spans="1:1">
      <c r="A2064" s="5"/>
    </row>
    <row r="2065" spans="1:1">
      <c r="A2065" s="5"/>
    </row>
    <row r="2066" spans="1:1">
      <c r="A2066" s="5"/>
    </row>
    <row r="2067" spans="1:1">
      <c r="A2067" s="5"/>
    </row>
    <row r="2068" spans="1:1">
      <c r="A2068" s="5"/>
    </row>
    <row r="2069" spans="1:1">
      <c r="A2069" s="5"/>
    </row>
    <row r="2070" spans="1:1">
      <c r="A2070" s="5"/>
    </row>
    <row r="2071" spans="1:1">
      <c r="A2071" s="5"/>
    </row>
    <row r="2072" spans="1:1">
      <c r="A2072" s="5"/>
    </row>
    <row r="2073" spans="1:1">
      <c r="A2073" s="5"/>
    </row>
    <row r="2074" spans="1:1">
      <c r="A2074" s="5"/>
    </row>
    <row r="2075" spans="1:1">
      <c r="A2075" s="5"/>
    </row>
    <row r="2076" spans="1:1">
      <c r="A2076" s="5"/>
    </row>
    <row r="2077" spans="1:1">
      <c r="A2077" s="5"/>
    </row>
    <row r="2078" spans="1:1">
      <c r="A2078" s="5"/>
    </row>
    <row r="2079" spans="1:1">
      <c r="A2079" s="5"/>
    </row>
    <row r="2080" spans="1:1">
      <c r="A2080" s="5"/>
    </row>
    <row r="2081" spans="1:1">
      <c r="A2081" s="5"/>
    </row>
    <row r="2082" spans="1:1">
      <c r="A2082" s="5"/>
    </row>
    <row r="2083" spans="1:1">
      <c r="A2083" s="5"/>
    </row>
    <row r="2084" spans="1:1">
      <c r="A2084" s="5"/>
    </row>
    <row r="2085" spans="1:1">
      <c r="A2085" s="5"/>
    </row>
    <row r="2086" spans="1:1">
      <c r="A2086" s="5"/>
    </row>
    <row r="2087" spans="1:1">
      <c r="A2087" s="5"/>
    </row>
    <row r="2088" spans="1:1">
      <c r="A2088" s="5"/>
    </row>
    <row r="2089" spans="1:1">
      <c r="A2089" s="5"/>
    </row>
    <row r="2090" spans="1:1">
      <c r="A2090" s="5"/>
    </row>
    <row r="2091" spans="1:1">
      <c r="A2091" s="5"/>
    </row>
    <row r="2092" spans="1:1">
      <c r="A2092" s="5"/>
    </row>
    <row r="2093" spans="1:1">
      <c r="A2093" s="5"/>
    </row>
    <row r="2094" spans="1:1">
      <c r="A2094" s="5"/>
    </row>
    <row r="2095" spans="1:1">
      <c r="A2095" s="5"/>
    </row>
    <row r="2096" spans="1:1">
      <c r="A2096" s="5"/>
    </row>
    <row r="2097" spans="1:1">
      <c r="A2097" s="5"/>
    </row>
    <row r="2098" spans="1:1">
      <c r="A2098" s="5"/>
    </row>
    <row r="2099" spans="1:1">
      <c r="A2099" s="5"/>
    </row>
    <row r="2100" spans="1:1">
      <c r="A2100" s="5"/>
    </row>
    <row r="2101" spans="1:1">
      <c r="A2101" s="5"/>
    </row>
    <row r="2102" spans="1:1">
      <c r="A2102" s="5"/>
    </row>
    <row r="2103" spans="1:1">
      <c r="A2103" s="5"/>
    </row>
    <row r="2104" spans="1:1">
      <c r="A2104" s="5"/>
    </row>
    <row r="2105" spans="1:1">
      <c r="A2105" s="5"/>
    </row>
    <row r="2106" spans="1:1">
      <c r="A2106" s="5"/>
    </row>
    <row r="2107" spans="1:1">
      <c r="A2107" s="5"/>
    </row>
    <row r="2108" spans="1:1">
      <c r="A2108" s="5"/>
    </row>
    <row r="2109" spans="1:1">
      <c r="A2109" s="5"/>
    </row>
    <row r="2110" spans="1:1">
      <c r="A2110" s="5"/>
    </row>
    <row r="2111" spans="1:1">
      <c r="A2111" s="5"/>
    </row>
    <row r="2112" spans="1:1">
      <c r="A2112" s="5"/>
    </row>
    <row r="2113" spans="1:1">
      <c r="A2113" s="5"/>
    </row>
    <row r="2114" spans="1:1">
      <c r="A2114" s="5"/>
    </row>
    <row r="2115" spans="1:1">
      <c r="A2115" s="5"/>
    </row>
    <row r="2116" spans="1:1">
      <c r="A2116" s="5"/>
    </row>
    <row r="2117" spans="1:1">
      <c r="A2117" s="5"/>
    </row>
    <row r="2118" spans="1:1">
      <c r="A2118" s="5"/>
    </row>
    <row r="2119" spans="1:1">
      <c r="A2119" s="5"/>
    </row>
    <row r="2120" spans="1:1">
      <c r="A2120" s="5"/>
    </row>
    <row r="2121" spans="1:1">
      <c r="A2121" s="5"/>
    </row>
    <row r="2122" spans="1:1">
      <c r="A2122" s="5"/>
    </row>
    <row r="2123" spans="1:1">
      <c r="A2123" s="5"/>
    </row>
    <row r="2124" spans="1:1">
      <c r="A2124" s="5"/>
    </row>
    <row r="2125" spans="1:1">
      <c r="A2125" s="5"/>
    </row>
    <row r="2126" spans="1:1">
      <c r="A2126" s="5"/>
    </row>
    <row r="2127" spans="1:1">
      <c r="A2127" s="5"/>
    </row>
    <row r="2128" spans="1:1">
      <c r="A2128" s="5"/>
    </row>
    <row r="2129" spans="1:1">
      <c r="A2129" s="5"/>
    </row>
    <row r="2130" spans="1:1">
      <c r="A2130" s="5"/>
    </row>
    <row r="2131" spans="1:1">
      <c r="A2131" s="5"/>
    </row>
    <row r="2132" spans="1:1">
      <c r="A2132" s="5"/>
    </row>
    <row r="2133" spans="1:1">
      <c r="A2133" s="5"/>
    </row>
    <row r="2134" spans="1:1">
      <c r="A2134" s="5"/>
    </row>
    <row r="2135" spans="1:1">
      <c r="A2135" s="5"/>
    </row>
    <row r="2136" spans="1:1">
      <c r="A2136" s="5"/>
    </row>
    <row r="2137" spans="1:1">
      <c r="A2137" s="5"/>
    </row>
    <row r="2138" spans="1:1">
      <c r="A2138" s="5"/>
    </row>
    <row r="2139" spans="1:1">
      <c r="A2139" s="5"/>
    </row>
    <row r="2140" spans="1:1">
      <c r="A2140" s="5"/>
    </row>
    <row r="2141" spans="1:1">
      <c r="A2141" s="5"/>
    </row>
    <row r="2142" spans="1:1">
      <c r="A2142" s="5"/>
    </row>
    <row r="2143" spans="1:1">
      <c r="A2143" s="5"/>
    </row>
    <row r="2144" spans="1:1">
      <c r="A2144" s="5"/>
    </row>
    <row r="2145" spans="1:1">
      <c r="A2145" s="5"/>
    </row>
    <row r="2146" spans="1:1">
      <c r="A2146" s="5"/>
    </row>
    <row r="2147" spans="1:1">
      <c r="A2147" s="5"/>
    </row>
    <row r="2148" spans="1:1">
      <c r="A2148" s="5"/>
    </row>
    <row r="2149" spans="1:1">
      <c r="A2149" s="5"/>
    </row>
    <row r="2150" spans="1:1">
      <c r="A2150" s="5"/>
    </row>
    <row r="2151" spans="1:1">
      <c r="A2151" s="5"/>
    </row>
    <row r="2152" spans="1:1">
      <c r="A2152" s="5"/>
    </row>
    <row r="2153" spans="1:1">
      <c r="A2153" s="5"/>
    </row>
    <row r="2154" spans="1:1">
      <c r="A2154" s="5"/>
    </row>
    <row r="2155" spans="1:1">
      <c r="A2155" s="5"/>
    </row>
    <row r="2156" spans="1:1">
      <c r="A2156" s="5"/>
    </row>
    <row r="2157" spans="1:1">
      <c r="A2157" s="5"/>
    </row>
    <row r="2158" spans="1:1">
      <c r="A2158" s="5"/>
    </row>
    <row r="2159" spans="1:1">
      <c r="A2159" s="5"/>
    </row>
    <row r="2160" spans="1:1">
      <c r="A2160" s="5"/>
    </row>
    <row r="2161" spans="1:1">
      <c r="A2161" s="5"/>
    </row>
    <row r="2162" spans="1:1">
      <c r="A2162" s="5"/>
    </row>
    <row r="2163" spans="1:1">
      <c r="A2163" s="5"/>
    </row>
    <row r="2164" spans="1:1">
      <c r="A2164" s="5"/>
    </row>
    <row r="2165" spans="1:1">
      <c r="A2165" s="5"/>
    </row>
    <row r="2166" spans="1:1">
      <c r="A2166" s="5"/>
    </row>
    <row r="2167" spans="1:1">
      <c r="A2167" s="5"/>
    </row>
    <row r="2168" spans="1:1">
      <c r="A2168" s="5"/>
    </row>
    <row r="2169" spans="1:1">
      <c r="A2169" s="5"/>
    </row>
    <row r="2170" spans="1:1">
      <c r="A2170" s="5"/>
    </row>
    <row r="2171" spans="1:1">
      <c r="A2171" s="5"/>
    </row>
    <row r="2172" spans="1:1">
      <c r="A2172" s="5"/>
    </row>
    <row r="2173" spans="1:1">
      <c r="A2173" s="5"/>
    </row>
    <row r="2174" spans="1:1">
      <c r="A2174" s="5"/>
    </row>
    <row r="2175" spans="1:1">
      <c r="A2175" s="5"/>
    </row>
    <row r="2176" spans="1:1">
      <c r="A2176" s="5"/>
    </row>
    <row r="2177" spans="1:1">
      <c r="A2177" s="5"/>
    </row>
    <row r="2178" spans="1:1">
      <c r="A2178" s="5"/>
    </row>
    <row r="2179" spans="1:1">
      <c r="A2179" s="5"/>
    </row>
    <row r="2180" spans="1:1">
      <c r="A2180" s="5"/>
    </row>
    <row r="2181" spans="1:1">
      <c r="A2181" s="5"/>
    </row>
    <row r="2182" spans="1:1">
      <c r="A2182" s="5"/>
    </row>
    <row r="2183" spans="1:1">
      <c r="A2183" s="5"/>
    </row>
    <row r="2184" spans="1:1">
      <c r="A2184" s="5"/>
    </row>
    <row r="2185" spans="1:1">
      <c r="A2185" s="5"/>
    </row>
    <row r="2186" spans="1:1">
      <c r="A2186" s="5"/>
    </row>
    <row r="2187" spans="1:1">
      <c r="A2187" s="5"/>
    </row>
    <row r="2188" spans="1:1">
      <c r="A2188" s="5"/>
    </row>
    <row r="2189" spans="1:1">
      <c r="A2189" s="5"/>
    </row>
    <row r="2190" spans="1:1">
      <c r="A2190" s="5"/>
    </row>
    <row r="2191" spans="1:1">
      <c r="A2191" s="5"/>
    </row>
    <row r="2192" spans="1:1">
      <c r="A2192" s="5"/>
    </row>
    <row r="2193" spans="1:1">
      <c r="A2193" s="5"/>
    </row>
    <row r="2194" spans="1:1">
      <c r="A2194" s="5"/>
    </row>
    <row r="2195" spans="1:1">
      <c r="A2195" s="5"/>
    </row>
    <row r="2196" spans="1:1">
      <c r="A2196" s="5"/>
    </row>
    <row r="2197" spans="1:1">
      <c r="A2197" s="5"/>
    </row>
    <row r="2198" spans="1:1">
      <c r="A2198" s="5"/>
    </row>
    <row r="2199" spans="1:1">
      <c r="A2199" s="5"/>
    </row>
    <row r="2200" spans="1:1">
      <c r="A2200" s="5"/>
    </row>
    <row r="2201" spans="1:1">
      <c r="A2201" s="5"/>
    </row>
    <row r="2202" spans="1:1">
      <c r="A2202" s="5"/>
    </row>
    <row r="2203" spans="1:1">
      <c r="A2203" s="5"/>
    </row>
    <row r="2204" spans="1:1">
      <c r="A2204" s="5"/>
    </row>
    <row r="2205" spans="1:1">
      <c r="A2205" s="5"/>
    </row>
    <row r="2206" spans="1:1">
      <c r="A2206" s="5"/>
    </row>
    <row r="2207" spans="1:1">
      <c r="A2207" s="5"/>
    </row>
    <row r="2208" spans="1:1">
      <c r="A2208" s="5"/>
    </row>
    <row r="2209" spans="1:1">
      <c r="A2209" s="5"/>
    </row>
    <row r="2210" spans="1:1">
      <c r="A2210" s="5"/>
    </row>
    <row r="2211" spans="1:1">
      <c r="A2211" s="5"/>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49974-9EF8-4745-ABC5-D5F99D337D6D}">
  <sheetPr>
    <tabColor theme="1"/>
  </sheetPr>
  <dimension ref="A1"/>
  <sheetViews>
    <sheetView workbookViewId="0">
      <selection activeCell="Z44" sqref="Z44"/>
    </sheetView>
  </sheetViews>
  <sheetFormatPr defaultRowHeight="14.4"/>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1EE92-B1D4-4581-BD6D-F72891924DA5}">
  <dimension ref="A1:Q16"/>
  <sheetViews>
    <sheetView zoomScaleNormal="100" workbookViewId="0">
      <selection activeCell="S42" sqref="S42"/>
    </sheetView>
  </sheetViews>
  <sheetFormatPr defaultColWidth="9.109375" defaultRowHeight="15.6"/>
  <cols>
    <col min="1" max="1" width="2.33203125" style="225" customWidth="1"/>
    <col min="2" max="4" width="14.6640625" style="225" customWidth="1"/>
    <col min="5" max="5" width="41.44140625" style="225" customWidth="1"/>
    <col min="6" max="6" width="1" style="1031" customWidth="1"/>
    <col min="7" max="7" width="3.6640625" style="1030" customWidth="1"/>
    <col min="8" max="8" width="9.109375" style="1030" customWidth="1"/>
    <col min="9" max="9" width="9.109375" style="1030"/>
    <col min="10" max="10" width="9.109375" style="1030" customWidth="1"/>
    <col min="11" max="16" width="9.109375" style="1030"/>
    <col min="17" max="17" width="1" style="1067" customWidth="1"/>
    <col min="18" max="16384" width="9.109375" style="1030"/>
  </cols>
  <sheetData>
    <row r="1" spans="1:16">
      <c r="A1" s="256" t="s">
        <v>1600</v>
      </c>
      <c r="G1" s="256" t="s">
        <v>1600</v>
      </c>
      <c r="H1" s="225"/>
      <c r="I1" s="225"/>
      <c r="J1" s="225"/>
      <c r="K1" s="225"/>
      <c r="L1" s="225"/>
      <c r="M1" s="225"/>
      <c r="N1" s="225"/>
      <c r="O1" s="225"/>
      <c r="P1" s="225"/>
    </row>
    <row r="2" spans="1:16">
      <c r="A2" s="256" t="s">
        <v>1433</v>
      </c>
      <c r="G2" s="256" t="s">
        <v>1433</v>
      </c>
      <c r="H2" s="225"/>
      <c r="I2" s="225"/>
      <c r="J2" s="225"/>
      <c r="K2" s="225"/>
      <c r="L2" s="225"/>
      <c r="M2" s="225"/>
      <c r="N2" s="225"/>
      <c r="O2" s="225"/>
      <c r="P2" s="225"/>
    </row>
    <row r="3" spans="1:16">
      <c r="A3" s="256" t="s">
        <v>1335</v>
      </c>
      <c r="G3" s="256" t="s">
        <v>1335</v>
      </c>
      <c r="H3" s="225"/>
      <c r="I3" s="225"/>
      <c r="J3" s="225"/>
      <c r="K3" s="225"/>
      <c r="L3" s="225"/>
      <c r="M3" s="225"/>
      <c r="N3" s="225"/>
      <c r="O3" s="225"/>
      <c r="P3" s="225"/>
    </row>
    <row r="4" spans="1:16">
      <c r="G4" s="225"/>
      <c r="H4" s="225"/>
      <c r="I4" s="225"/>
      <c r="J4" s="225"/>
      <c r="K4" s="225"/>
      <c r="L4" s="225"/>
      <c r="M4" s="225"/>
      <c r="N4" s="225"/>
      <c r="O4" s="225"/>
      <c r="P4" s="225"/>
    </row>
    <row r="5" spans="1:16" ht="16.2">
      <c r="A5" s="1074" t="s">
        <v>1467</v>
      </c>
      <c r="G5" s="1074" t="s">
        <v>1466</v>
      </c>
      <c r="H5" s="225"/>
      <c r="I5" s="225"/>
      <c r="J5" s="225"/>
      <c r="K5" s="225"/>
      <c r="L5" s="225"/>
      <c r="M5" s="225"/>
      <c r="N5" s="225"/>
      <c r="O5" s="225"/>
      <c r="P5" s="225"/>
    </row>
    <row r="6" spans="1:16" ht="16.2">
      <c r="A6" s="1074"/>
      <c r="G6" s="1074"/>
      <c r="H6" s="225"/>
      <c r="I6" s="225"/>
      <c r="J6" s="225"/>
      <c r="K6" s="225"/>
      <c r="L6" s="225"/>
      <c r="M6" s="225"/>
      <c r="N6" s="225"/>
      <c r="O6" s="225"/>
      <c r="P6" s="225"/>
    </row>
    <row r="7" spans="1:16" ht="15.75" customHeight="1">
      <c r="A7" s="237" t="s">
        <v>1465</v>
      </c>
      <c r="E7" s="1068"/>
      <c r="G7" s="225" t="s">
        <v>1464</v>
      </c>
      <c r="H7" s="2009" t="s">
        <v>1599</v>
      </c>
      <c r="I7" s="2009"/>
      <c r="J7" s="2009"/>
      <c r="K7" s="2009"/>
      <c r="L7" s="2009"/>
      <c r="M7" s="2009"/>
      <c r="N7" s="2009"/>
      <c r="O7" s="2009"/>
      <c r="P7" s="2009"/>
    </row>
    <row r="8" spans="1:16">
      <c r="B8" s="1068"/>
      <c r="C8" s="1068"/>
      <c r="D8" s="1068"/>
      <c r="E8" s="1068"/>
      <c r="G8" s="225"/>
      <c r="H8" s="2009"/>
      <c r="I8" s="2009"/>
      <c r="J8" s="2009"/>
      <c r="K8" s="2009"/>
      <c r="L8" s="2009"/>
      <c r="M8" s="2009"/>
      <c r="N8" s="2009"/>
      <c r="O8" s="2009"/>
      <c r="P8" s="2009"/>
    </row>
    <row r="9" spans="1:16" ht="15.75" customHeight="1">
      <c r="A9" s="1151"/>
      <c r="B9" s="2009" t="s">
        <v>1598</v>
      </c>
      <c r="C9" s="2009"/>
      <c r="D9" s="2009"/>
      <c r="E9" s="2009"/>
      <c r="G9" s="225"/>
      <c r="H9" s="1068"/>
      <c r="I9" s="1068"/>
      <c r="J9" s="1068"/>
      <c r="K9" s="1068"/>
      <c r="L9" s="1068"/>
      <c r="M9" s="1068"/>
      <c r="N9" s="1068"/>
      <c r="O9" s="1068"/>
      <c r="P9" s="1068"/>
    </row>
    <row r="10" spans="1:16">
      <c r="B10" s="2009"/>
      <c r="C10" s="2009"/>
      <c r="D10" s="2009"/>
      <c r="E10" s="2009"/>
      <c r="G10" s="225"/>
      <c r="H10" s="2009" t="s">
        <v>1426</v>
      </c>
      <c r="I10" s="2009"/>
      <c r="J10" s="2009"/>
      <c r="K10" s="2009"/>
      <c r="L10" s="2009"/>
      <c r="M10" s="2009"/>
      <c r="N10" s="2009"/>
      <c r="O10" s="2009"/>
      <c r="P10" s="2009"/>
    </row>
    <row r="11" spans="1:16">
      <c r="B11" s="1068"/>
      <c r="C11" s="1068"/>
      <c r="D11" s="1068"/>
      <c r="E11" s="1068"/>
      <c r="G11" s="225"/>
      <c r="H11" s="1068"/>
      <c r="I11" s="1068"/>
      <c r="J11" s="1068"/>
      <c r="K11" s="1068"/>
      <c r="L11" s="1068"/>
      <c r="M11" s="1068"/>
      <c r="N11" s="1068"/>
      <c r="O11" s="1068"/>
      <c r="P11" s="1068"/>
    </row>
    <row r="12" spans="1:16">
      <c r="B12" s="1150" t="s">
        <v>322</v>
      </c>
      <c r="C12" s="1150">
        <v>2020</v>
      </c>
      <c r="D12" s="1150">
        <v>2021</v>
      </c>
      <c r="E12" s="1068"/>
    </row>
    <row r="13" spans="1:16">
      <c r="B13" s="1150" t="s">
        <v>1416</v>
      </c>
      <c r="C13" s="1149">
        <v>400000</v>
      </c>
      <c r="D13" s="1149">
        <v>600000</v>
      </c>
    </row>
    <row r="15" spans="1:16">
      <c r="B15" s="2009" t="s">
        <v>1597</v>
      </c>
      <c r="C15" s="2009"/>
      <c r="D15" s="2009"/>
      <c r="E15" s="2009"/>
    </row>
    <row r="16" spans="1:16" ht="15.75" customHeight="1">
      <c r="B16" s="2009"/>
      <c r="C16" s="2009"/>
      <c r="D16" s="2009"/>
      <c r="E16" s="2009"/>
    </row>
  </sheetData>
  <sheetProtection algorithmName="SHA-512" hashValue="Jf2Z1Z3/6D7MrWdCHSQmxjpXW8IJPCsw7S6bmQKJRP+t15l4N1KIEc/ZUsUtmLYDWoahkvkaIbbCHaZgmbDuDg==" saltValue="qrAECrRfNpcHnwxhOht2Eg==" spinCount="100000" sheet="1" objects="1" scenarios="1" formatCells="0" formatColumns="0" formatRows="0" insertColumns="0" insertRows="0"/>
  <mergeCells count="4">
    <mergeCell ref="H7:P8"/>
    <mergeCell ref="B9:E10"/>
    <mergeCell ref="H10:P10"/>
    <mergeCell ref="B15:E16"/>
  </mergeCells>
  <pageMargins left="0.7" right="0.7" top="0.75" bottom="0.75" header="0.3" footer="0.3"/>
  <pageSetup orientation="portrait" horizontalDpi="4294967293"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A57DD-5947-48DA-AE50-F9EBEA66FEDB}">
  <dimension ref="A1:Q30"/>
  <sheetViews>
    <sheetView zoomScaleNormal="100" workbookViewId="0"/>
  </sheetViews>
  <sheetFormatPr defaultColWidth="9.109375" defaultRowHeight="15.6"/>
  <cols>
    <col min="1" max="1" width="2.44140625" style="225" customWidth="1"/>
    <col min="2" max="4" width="14.44140625" style="225" customWidth="1"/>
    <col min="5" max="5" width="41.44140625" style="225" customWidth="1"/>
    <col min="6" max="6" width="1" style="1031" customWidth="1"/>
    <col min="7" max="7" width="3.44140625" style="1030" customWidth="1"/>
    <col min="8" max="8" width="16.44140625" style="1030" customWidth="1"/>
    <col min="9" max="9" width="36.88671875" style="1030" customWidth="1"/>
    <col min="10" max="10" width="9.109375" style="1030" customWidth="1"/>
    <col min="11" max="11" width="9.109375" style="1030"/>
    <col min="12" max="12" width="13.109375" style="1030" bestFit="1" customWidth="1"/>
    <col min="13" max="16" width="9.109375" style="1030"/>
    <col min="17" max="17" width="1" style="1067" customWidth="1"/>
    <col min="18" max="16384" width="9.109375" style="1030"/>
  </cols>
  <sheetData>
    <row r="1" spans="1:16">
      <c r="A1" s="256" t="s">
        <v>1600</v>
      </c>
      <c r="G1" s="256" t="s">
        <v>1600</v>
      </c>
      <c r="H1" s="225"/>
      <c r="I1" s="225"/>
      <c r="J1" s="225"/>
      <c r="K1" s="225"/>
      <c r="L1" s="225"/>
      <c r="M1" s="225"/>
      <c r="N1" s="225"/>
      <c r="O1" s="225"/>
      <c r="P1" s="225"/>
    </row>
    <row r="2" spans="1:16">
      <c r="A2" s="256" t="s">
        <v>1433</v>
      </c>
      <c r="G2" s="256" t="s">
        <v>1433</v>
      </c>
      <c r="H2" s="225"/>
      <c r="I2" s="225"/>
      <c r="J2" s="225"/>
      <c r="K2" s="225"/>
      <c r="L2" s="225"/>
      <c r="M2" s="225"/>
      <c r="N2" s="225"/>
      <c r="O2" s="225"/>
      <c r="P2" s="225"/>
    </row>
    <row r="3" spans="1:16">
      <c r="A3" s="256" t="s">
        <v>1335</v>
      </c>
      <c r="G3" s="256" t="s">
        <v>1335</v>
      </c>
      <c r="H3" s="225"/>
      <c r="I3" s="225"/>
      <c r="J3" s="225"/>
      <c r="K3" s="225"/>
      <c r="L3" s="225"/>
      <c r="M3" s="225"/>
      <c r="N3" s="225"/>
      <c r="O3" s="225"/>
      <c r="P3" s="225"/>
    </row>
    <row r="4" spans="1:16">
      <c r="G4" s="225"/>
      <c r="H4" s="225"/>
      <c r="I4" s="225"/>
      <c r="J4" s="225"/>
      <c r="K4" s="225"/>
      <c r="L4" s="225"/>
      <c r="M4" s="225"/>
      <c r="N4" s="225"/>
      <c r="O4" s="225"/>
      <c r="P4" s="225"/>
    </row>
    <row r="5" spans="1:16" ht="16.2">
      <c r="A5" s="1074" t="s">
        <v>1467</v>
      </c>
      <c r="G5" s="1074" t="s">
        <v>1466</v>
      </c>
      <c r="H5" s="225"/>
      <c r="I5" s="225"/>
      <c r="J5" s="225"/>
      <c r="K5" s="225"/>
      <c r="L5" s="225"/>
      <c r="M5" s="225"/>
      <c r="N5" s="225"/>
      <c r="O5" s="225"/>
      <c r="P5" s="225"/>
    </row>
    <row r="6" spans="1:16" ht="16.2">
      <c r="A6" s="1074"/>
      <c r="G6" s="1074"/>
      <c r="H6" s="225"/>
      <c r="I6" s="225"/>
      <c r="J6" s="225"/>
      <c r="K6" s="225"/>
      <c r="L6" s="225"/>
      <c r="M6" s="225"/>
      <c r="N6" s="225"/>
      <c r="O6" s="225"/>
      <c r="P6" s="225"/>
    </row>
    <row r="7" spans="1:16" ht="15.75" customHeight="1">
      <c r="A7" s="237" t="s">
        <v>1465</v>
      </c>
      <c r="E7" s="1068"/>
      <c r="G7" s="225" t="s">
        <v>1464</v>
      </c>
      <c r="H7" s="2009" t="s">
        <v>1599</v>
      </c>
      <c r="I7" s="2009"/>
      <c r="J7" s="2009"/>
      <c r="K7" s="2009"/>
      <c r="L7" s="2009"/>
      <c r="M7" s="2009"/>
      <c r="N7" s="2009"/>
      <c r="O7" s="2009"/>
      <c r="P7" s="2009"/>
    </row>
    <row r="8" spans="1:16">
      <c r="B8" s="1068"/>
      <c r="C8" s="1068"/>
      <c r="D8" s="1068"/>
      <c r="E8" s="1068"/>
      <c r="G8" s="225"/>
      <c r="H8" s="2009"/>
      <c r="I8" s="2009"/>
      <c r="J8" s="2009"/>
      <c r="K8" s="2009"/>
      <c r="L8" s="2009"/>
      <c r="M8" s="2009"/>
      <c r="N8" s="2009"/>
      <c r="O8" s="2009"/>
      <c r="P8" s="2009"/>
    </row>
    <row r="9" spans="1:16" ht="15.75" customHeight="1">
      <c r="A9" s="1151"/>
      <c r="B9" s="2009" t="s">
        <v>1598</v>
      </c>
      <c r="C9" s="2009"/>
      <c r="D9" s="2009"/>
      <c r="E9" s="2009"/>
      <c r="G9" s="225"/>
      <c r="H9" s="1068"/>
      <c r="I9" s="1068"/>
      <c r="J9" s="1068"/>
      <c r="K9" s="1068"/>
      <c r="L9" s="1068"/>
      <c r="M9" s="1068"/>
      <c r="N9" s="1068"/>
      <c r="O9" s="1068"/>
      <c r="P9" s="1068"/>
    </row>
    <row r="10" spans="1:16">
      <c r="B10" s="2009"/>
      <c r="C10" s="2009"/>
      <c r="D10" s="2009"/>
      <c r="E10" s="2009"/>
      <c r="G10" s="225"/>
      <c r="H10" s="2009" t="s">
        <v>1426</v>
      </c>
      <c r="I10" s="2009"/>
      <c r="J10" s="2009"/>
      <c r="K10" s="2009"/>
      <c r="L10" s="2009"/>
      <c r="M10" s="2009"/>
      <c r="N10" s="2009"/>
      <c r="O10" s="2009"/>
      <c r="P10" s="2009"/>
    </row>
    <row r="11" spans="1:16">
      <c r="B11" s="1068"/>
      <c r="C11" s="1068"/>
      <c r="D11" s="1068"/>
      <c r="E11" s="1068"/>
      <c r="G11" s="225"/>
      <c r="H11" s="1068"/>
      <c r="I11" s="1068"/>
      <c r="J11" s="1068"/>
      <c r="K11" s="1068"/>
      <c r="L11" s="1068"/>
      <c r="M11" s="1068"/>
      <c r="N11" s="1068"/>
      <c r="O11" s="1068"/>
      <c r="P11" s="1068"/>
    </row>
    <row r="12" spans="1:16">
      <c r="B12" s="1150" t="s">
        <v>322</v>
      </c>
      <c r="C12" s="1150">
        <v>2020</v>
      </c>
      <c r="D12" s="1150">
        <v>2021</v>
      </c>
      <c r="E12" s="1068"/>
    </row>
    <row r="13" spans="1:16">
      <c r="B13" s="1150" t="s">
        <v>1416</v>
      </c>
      <c r="C13" s="1149">
        <v>400000</v>
      </c>
      <c r="D13" s="1149">
        <v>600000</v>
      </c>
    </row>
    <row r="14" spans="1:16">
      <c r="H14" s="1152"/>
      <c r="I14" s="1152"/>
      <c r="J14" s="1152" t="s">
        <v>1607</v>
      </c>
      <c r="K14" s="1152" t="s">
        <v>1606</v>
      </c>
      <c r="L14" s="1052"/>
    </row>
    <row r="15" spans="1:16">
      <c r="B15" s="2009" t="s">
        <v>1597</v>
      </c>
      <c r="C15" s="2009"/>
      <c r="D15" s="2009"/>
      <c r="E15" s="2009"/>
      <c r="H15" s="1154">
        <v>43831</v>
      </c>
      <c r="I15" s="1152"/>
      <c r="J15" s="1153">
        <v>0</v>
      </c>
      <c r="K15" s="1153">
        <v>0</v>
      </c>
      <c r="L15" s="1052"/>
    </row>
    <row r="16" spans="1:16" ht="15.75" customHeight="1">
      <c r="B16" s="2009"/>
      <c r="C16" s="2009"/>
      <c r="D16" s="2009"/>
      <c r="E16" s="2009"/>
      <c r="H16" s="1152" t="s">
        <v>1605</v>
      </c>
      <c r="I16" s="1152"/>
      <c r="J16" s="1153">
        <f>C13</f>
        <v>400000</v>
      </c>
      <c r="K16" s="1153"/>
      <c r="L16" s="1052"/>
    </row>
    <row r="17" spans="8:12">
      <c r="H17" s="1152" t="s">
        <v>1604</v>
      </c>
      <c r="I17" s="1152"/>
      <c r="J17" s="1153">
        <f>J16*0.02</f>
        <v>8000</v>
      </c>
      <c r="K17" s="1153"/>
    </row>
    <row r="18" spans="8:12">
      <c r="H18" s="1152" t="s">
        <v>1603</v>
      </c>
      <c r="I18" s="1152"/>
      <c r="J18" s="1153">
        <f>SUM(J16:J17)*-0.5</f>
        <v>-204000</v>
      </c>
      <c r="K18" s="1153">
        <f>-J18</f>
        <v>204000</v>
      </c>
    </row>
    <row r="19" spans="8:12">
      <c r="H19" s="1154">
        <v>44196</v>
      </c>
      <c r="I19" s="1152"/>
      <c r="J19" s="1153">
        <f>SUM(J15:J18)</f>
        <v>204000</v>
      </c>
      <c r="K19" s="1153">
        <f>SUM(K15:K18)</f>
        <v>204000</v>
      </c>
    </row>
    <row r="20" spans="8:12">
      <c r="H20" s="1152"/>
      <c r="I20" s="1152"/>
      <c r="J20" s="1153"/>
      <c r="K20" s="1153"/>
      <c r="L20" s="1052"/>
    </row>
    <row r="21" spans="8:12">
      <c r="H21" s="1154">
        <v>44197</v>
      </c>
      <c r="I21" s="1152"/>
      <c r="J21" s="1153">
        <f>J19</f>
        <v>204000</v>
      </c>
      <c r="K21" s="1153">
        <f>K19</f>
        <v>204000</v>
      </c>
      <c r="L21" s="1052"/>
    </row>
    <row r="22" spans="8:12">
      <c r="H22" s="1152" t="s">
        <v>1605</v>
      </c>
      <c r="I22" s="1152"/>
      <c r="J22" s="1153">
        <f>D13</f>
        <v>600000</v>
      </c>
      <c r="K22" s="1153"/>
      <c r="L22" s="1052"/>
    </row>
    <row r="23" spans="8:12">
      <c r="H23" s="1152" t="s">
        <v>1604</v>
      </c>
      <c r="I23" s="1152"/>
      <c r="J23" s="1153">
        <f>0.02*(J22+J21)</f>
        <v>16080</v>
      </c>
      <c r="K23" s="1153"/>
    </row>
    <row r="24" spans="8:12">
      <c r="H24" s="1152" t="s">
        <v>1603</v>
      </c>
      <c r="I24" s="1152"/>
      <c r="J24" s="1153">
        <f>(J22+J23)*-0.5</f>
        <v>-308040</v>
      </c>
      <c r="K24" s="1153">
        <f>-J24</f>
        <v>308040</v>
      </c>
    </row>
    <row r="25" spans="8:12">
      <c r="H25" s="1154">
        <v>44561</v>
      </c>
      <c r="I25" s="1152"/>
      <c r="J25" s="1153">
        <f>SUM(J21:J24)</f>
        <v>512040</v>
      </c>
      <c r="K25" s="1153">
        <f>SUM(K21:K24)</f>
        <v>512040</v>
      </c>
      <c r="L25" s="1061"/>
    </row>
    <row r="26" spans="8:12">
      <c r="H26" s="1152"/>
      <c r="I26" s="1152"/>
      <c r="J26" s="1153"/>
      <c r="K26" s="1153"/>
      <c r="L26" s="1061"/>
    </row>
    <row r="27" spans="8:12">
      <c r="H27" s="1154">
        <v>44562</v>
      </c>
      <c r="I27" s="1152"/>
      <c r="J27" s="1153">
        <f>J25</f>
        <v>512040</v>
      </c>
      <c r="K27" s="1153">
        <f>K25</f>
        <v>512040</v>
      </c>
    </row>
    <row r="28" spans="8:12">
      <c r="H28" s="1152" t="s">
        <v>729</v>
      </c>
      <c r="I28" s="1152"/>
      <c r="J28" s="1153">
        <v>0</v>
      </c>
      <c r="K28" s="1153">
        <v>0</v>
      </c>
      <c r="L28" s="1061"/>
    </row>
    <row r="29" spans="8:12">
      <c r="H29" s="1154" t="s">
        <v>1602</v>
      </c>
      <c r="I29" s="1152"/>
      <c r="J29" s="1153">
        <f>SUM(J27:J28)</f>
        <v>512040</v>
      </c>
      <c r="K29" s="1153">
        <f>SUM(K27:K28)</f>
        <v>512040</v>
      </c>
    </row>
    <row r="30" spans="8:12">
      <c r="H30" s="1152" t="s">
        <v>1601</v>
      </c>
      <c r="I30" s="1152"/>
      <c r="J30" s="1153">
        <f>SUM(J29:K29)</f>
        <v>1024080</v>
      </c>
      <c r="K30" s="1152"/>
    </row>
  </sheetData>
  <sheetProtection algorithmName="SHA-512" hashValue="Jf2Z1Z3/6D7MrWdCHSQmxjpXW8IJPCsw7S6bmQKJRP+t15l4N1KIEc/ZUsUtmLYDWoahkvkaIbbCHaZgmbDuDg==" saltValue="qrAECrRfNpcHnwxhOht2Eg==" spinCount="100000" sheet="1" objects="1" scenarios="1" formatCells="0" formatColumns="0" formatRows="0" insertColumns="0" insertRows="0"/>
  <mergeCells count="4">
    <mergeCell ref="H7:P8"/>
    <mergeCell ref="B9:E10"/>
    <mergeCell ref="H10:P10"/>
    <mergeCell ref="B15:E16"/>
  </mergeCells>
  <pageMargins left="0.7" right="0.7" top="0.75" bottom="0.75" header="0.3" footer="0.3"/>
  <pageSetup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D4456-2D76-487E-B178-1C4DEBD5D934}">
  <dimension ref="A1:J76"/>
  <sheetViews>
    <sheetView zoomScale="90" zoomScaleNormal="90" workbookViewId="0"/>
  </sheetViews>
  <sheetFormatPr defaultColWidth="8.88671875" defaultRowHeight="15.6"/>
  <cols>
    <col min="1" max="1" width="3.5546875" style="90" customWidth="1"/>
    <col min="2" max="2" width="20.109375" style="90" customWidth="1"/>
    <col min="3" max="5" width="17" style="90" customWidth="1"/>
    <col min="6" max="6" width="14.88671875" style="90" customWidth="1"/>
    <col min="7" max="7" width="8.88671875" style="90"/>
    <col min="8" max="8" width="3.109375" style="90" customWidth="1"/>
    <col min="9" max="9" width="4.44140625" style="172" customWidth="1"/>
    <col min="10" max="16384" width="8.88671875" style="3"/>
  </cols>
  <sheetData>
    <row r="1" spans="1:10">
      <c r="A1" s="90" t="s">
        <v>205</v>
      </c>
      <c r="J1" s="3" t="s">
        <v>205</v>
      </c>
    </row>
    <row r="2" spans="1:10">
      <c r="A2" s="90" t="s">
        <v>1</v>
      </c>
      <c r="J2" s="3" t="s">
        <v>1</v>
      </c>
    </row>
    <row r="3" spans="1:10" ht="18.45" customHeight="1">
      <c r="A3" s="106"/>
    </row>
    <row r="4" spans="1:10" ht="18.45" customHeight="1">
      <c r="A4" s="105"/>
      <c r="J4" s="3" t="s">
        <v>203</v>
      </c>
    </row>
    <row r="5" spans="1:10">
      <c r="A5" s="105"/>
      <c r="B5" s="91" t="s">
        <v>1650</v>
      </c>
      <c r="C5" s="90" t="s">
        <v>1649</v>
      </c>
    </row>
    <row r="6" spans="1:10">
      <c r="A6" s="105"/>
      <c r="B6" s="91"/>
      <c r="C6" s="90" t="s">
        <v>1648</v>
      </c>
    </row>
    <row r="7" spans="1:10">
      <c r="A7" s="966"/>
    </row>
    <row r="8" spans="1:10">
      <c r="B8" s="90" t="s">
        <v>1647</v>
      </c>
    </row>
    <row r="9" spans="1:10" ht="15.45" customHeight="1">
      <c r="B9" s="1990" t="s">
        <v>1646</v>
      </c>
      <c r="C9" s="1990"/>
      <c r="D9" s="1990"/>
      <c r="E9" s="1990"/>
      <c r="F9" s="2136">
        <v>25600000</v>
      </c>
    </row>
    <row r="10" spans="1:10">
      <c r="B10" s="1990"/>
      <c r="C10" s="1990"/>
      <c r="D10" s="1990"/>
      <c r="E10" s="1990"/>
      <c r="F10" s="2136"/>
    </row>
    <row r="11" spans="1:10">
      <c r="B11" s="1990"/>
      <c r="C11" s="1990"/>
      <c r="D11" s="1990"/>
      <c r="E11" s="1990"/>
      <c r="F11" s="2136"/>
    </row>
    <row r="12" spans="1:10">
      <c r="B12" s="1970" t="s">
        <v>1645</v>
      </c>
      <c r="C12" s="1970"/>
      <c r="D12" s="1970"/>
      <c r="E12" s="1970"/>
      <c r="F12" s="989">
        <v>30000000</v>
      </c>
    </row>
    <row r="13" spans="1:10">
      <c r="B13" s="1970" t="s">
        <v>1644</v>
      </c>
      <c r="C13" s="1970"/>
      <c r="D13" s="1970"/>
      <c r="E13" s="1970"/>
      <c r="F13" s="989">
        <v>10000000</v>
      </c>
    </row>
    <row r="14" spans="1:10">
      <c r="B14" s="1970" t="s">
        <v>1643</v>
      </c>
      <c r="C14" s="1970"/>
      <c r="D14" s="1970"/>
      <c r="E14" s="1970"/>
      <c r="F14" s="989">
        <v>120000</v>
      </c>
    </row>
    <row r="15" spans="1:10">
      <c r="B15" s="1970" t="s">
        <v>1642</v>
      </c>
      <c r="C15" s="1970"/>
      <c r="D15" s="1970"/>
      <c r="E15" s="1970"/>
      <c r="F15" s="989">
        <v>50000</v>
      </c>
    </row>
    <row r="16" spans="1:10" ht="15.45" customHeight="1">
      <c r="B16" s="1990" t="s">
        <v>1641</v>
      </c>
      <c r="C16" s="1990"/>
      <c r="D16" s="1990"/>
      <c r="E16" s="1990"/>
      <c r="F16" s="2137">
        <v>0.06</v>
      </c>
    </row>
    <row r="17" spans="1:6">
      <c r="B17" s="1990"/>
      <c r="C17" s="1990"/>
      <c r="D17" s="1990"/>
      <c r="E17" s="1990"/>
      <c r="F17" s="2138"/>
    </row>
    <row r="18" spans="1:6">
      <c r="B18" s="1970" t="s">
        <v>1640</v>
      </c>
      <c r="C18" s="1970"/>
      <c r="D18" s="1970"/>
      <c r="E18" s="1970"/>
      <c r="F18" s="98">
        <v>0.16039999999999999</v>
      </c>
    </row>
    <row r="19" spans="1:6">
      <c r="B19" s="1970" t="s">
        <v>1639</v>
      </c>
      <c r="C19" s="1970"/>
      <c r="D19" s="1970"/>
      <c r="E19" s="1970"/>
      <c r="F19" s="989">
        <v>200000</v>
      </c>
    </row>
    <row r="20" spans="1:6">
      <c r="B20" s="1970" t="s">
        <v>1638</v>
      </c>
      <c r="C20" s="1970"/>
      <c r="D20" s="1970"/>
      <c r="E20" s="1970"/>
      <c r="F20" s="93">
        <v>16</v>
      </c>
    </row>
    <row r="21" spans="1:6">
      <c r="B21" s="1970" t="s">
        <v>1637</v>
      </c>
      <c r="C21" s="1970"/>
      <c r="D21" s="1970"/>
      <c r="E21" s="1970"/>
      <c r="F21" s="93">
        <v>20</v>
      </c>
    </row>
    <row r="23" spans="1:6">
      <c r="B23" s="102" t="s">
        <v>1636</v>
      </c>
      <c r="C23" s="101"/>
      <c r="D23" s="101"/>
      <c r="E23" s="100"/>
      <c r="F23" s="989">
        <v>31400000</v>
      </c>
    </row>
    <row r="24" spans="1:6">
      <c r="B24" s="102" t="s">
        <v>1635</v>
      </c>
      <c r="C24" s="101"/>
      <c r="D24" s="101"/>
      <c r="E24" s="100"/>
      <c r="F24" s="989">
        <v>38800000</v>
      </c>
    </row>
    <row r="25" spans="1:6">
      <c r="B25" s="102" t="s">
        <v>1634</v>
      </c>
      <c r="C25" s="101"/>
      <c r="D25" s="101"/>
      <c r="E25" s="100"/>
      <c r="F25" s="989">
        <v>15800000</v>
      </c>
    </row>
    <row r="26" spans="1:6">
      <c r="B26" s="102" t="s">
        <v>1633</v>
      </c>
      <c r="C26" s="101"/>
      <c r="D26" s="101"/>
      <c r="E26" s="100"/>
      <c r="F26" s="989">
        <v>0</v>
      </c>
    </row>
    <row r="27" spans="1:6">
      <c r="B27" s="102" t="s">
        <v>1632</v>
      </c>
      <c r="C27" s="101"/>
      <c r="D27" s="101"/>
      <c r="E27" s="100"/>
      <c r="F27" s="1160">
        <v>3.2000000000000001E-2</v>
      </c>
    </row>
    <row r="28" spans="1:6">
      <c r="B28" s="102" t="s">
        <v>1631</v>
      </c>
      <c r="C28" s="101"/>
      <c r="D28" s="101"/>
      <c r="E28" s="100"/>
      <c r="F28" s="989">
        <v>200000</v>
      </c>
    </row>
    <row r="30" spans="1:6">
      <c r="B30" s="90" t="s">
        <v>1630</v>
      </c>
    </row>
    <row r="32" spans="1:6">
      <c r="A32" s="90" t="s">
        <v>26</v>
      </c>
      <c r="B32" s="91" t="s">
        <v>27</v>
      </c>
      <c r="C32" s="90" t="s">
        <v>1629</v>
      </c>
    </row>
    <row r="34" spans="2:9">
      <c r="C34" s="1635" t="s">
        <v>153</v>
      </c>
      <c r="D34" s="1635"/>
      <c r="E34" s="1635"/>
      <c r="F34" s="1635"/>
      <c r="G34" s="1635"/>
      <c r="H34" s="1635"/>
      <c r="I34" s="1635"/>
    </row>
    <row r="36" spans="2:9">
      <c r="B36" s="90" t="s">
        <v>1628</v>
      </c>
    </row>
    <row r="37" spans="2:9">
      <c r="B37" s="102" t="s">
        <v>1627</v>
      </c>
      <c r="C37" s="101"/>
      <c r="D37" s="101"/>
      <c r="E37" s="100"/>
      <c r="F37" s="989">
        <v>14400000</v>
      </c>
    </row>
    <row r="38" spans="2:9">
      <c r="B38" s="102" t="s">
        <v>1626</v>
      </c>
      <c r="C38" s="101"/>
      <c r="D38" s="101"/>
      <c r="E38" s="100"/>
      <c r="F38" s="989">
        <v>200000</v>
      </c>
    </row>
    <row r="39" spans="2:9">
      <c r="B39" s="102" t="s">
        <v>1625</v>
      </c>
      <c r="C39" s="101"/>
      <c r="D39" s="101"/>
      <c r="E39" s="100"/>
      <c r="F39" s="989">
        <v>600000</v>
      </c>
    </row>
    <row r="40" spans="2:9">
      <c r="B40" s="102" t="s">
        <v>1624</v>
      </c>
      <c r="C40" s="101"/>
      <c r="D40" s="101"/>
      <c r="E40" s="100"/>
      <c r="F40" s="989">
        <v>150000</v>
      </c>
    </row>
    <row r="41" spans="2:9">
      <c r="B41" s="102" t="s">
        <v>1623</v>
      </c>
      <c r="C41" s="101"/>
      <c r="D41" s="101"/>
      <c r="E41" s="100"/>
      <c r="F41" s="989">
        <v>250000</v>
      </c>
    </row>
    <row r="42" spans="2:9">
      <c r="B42" s="102" t="s">
        <v>1622</v>
      </c>
      <c r="C42" s="101"/>
      <c r="D42" s="101"/>
      <c r="E42" s="101"/>
      <c r="F42" s="100"/>
    </row>
    <row r="43" spans="2:9">
      <c r="B43" s="102" t="s">
        <v>1621</v>
      </c>
      <c r="C43" s="101"/>
      <c r="D43" s="101"/>
      <c r="E43" s="101"/>
      <c r="F43" s="100"/>
    </row>
    <row r="44" spans="2:9">
      <c r="B44" s="102" t="s">
        <v>1620</v>
      </c>
      <c r="C44" s="101"/>
      <c r="D44" s="101"/>
      <c r="E44" s="101"/>
      <c r="F44" s="98">
        <v>5.0000000000000001E-4</v>
      </c>
    </row>
    <row r="45" spans="2:9">
      <c r="B45" s="101"/>
      <c r="C45" s="101"/>
      <c r="D45" s="101"/>
      <c r="E45" s="101"/>
      <c r="F45" s="1159"/>
    </row>
    <row r="46" spans="2:9">
      <c r="B46" s="102" t="s">
        <v>1619</v>
      </c>
      <c r="C46" s="101"/>
      <c r="D46" s="101"/>
      <c r="E46" s="101"/>
      <c r="F46" s="100"/>
    </row>
    <row r="47" spans="2:9">
      <c r="B47" s="2139" t="s">
        <v>1618</v>
      </c>
      <c r="C47" s="2140"/>
      <c r="D47" s="2140"/>
      <c r="E47" s="2141"/>
      <c r="F47" s="1158">
        <v>0.45</v>
      </c>
    </row>
    <row r="48" spans="2:9">
      <c r="B48" s="2139" t="s">
        <v>1617</v>
      </c>
      <c r="C48" s="2140"/>
      <c r="D48" s="2140"/>
      <c r="E48" s="2141"/>
      <c r="F48" s="1157">
        <v>0.55000000000000004</v>
      </c>
    </row>
    <row r="50" spans="2:10">
      <c r="B50" s="960" t="s">
        <v>1616</v>
      </c>
      <c r="C50" s="965"/>
      <c r="D50" s="965"/>
      <c r="I50" s="90"/>
      <c r="J50" s="1155"/>
    </row>
    <row r="51" spans="2:10" ht="31.2">
      <c r="B51" s="959" t="s">
        <v>1615</v>
      </c>
      <c r="C51" s="959" t="s">
        <v>1614</v>
      </c>
      <c r="D51" s="959" t="s">
        <v>1613</v>
      </c>
      <c r="I51" s="90"/>
      <c r="J51" s="1155"/>
    </row>
    <row r="52" spans="2:10">
      <c r="B52" s="1156">
        <v>0</v>
      </c>
      <c r="C52" s="1156">
        <v>0</v>
      </c>
      <c r="D52" s="1156">
        <v>0</v>
      </c>
      <c r="I52" s="90"/>
      <c r="J52" s="1155"/>
    </row>
    <row r="53" spans="2:10">
      <c r="B53" s="1156">
        <v>0.2</v>
      </c>
      <c r="C53" s="1156">
        <v>0.02</v>
      </c>
      <c r="D53" s="1156">
        <v>0.01</v>
      </c>
      <c r="I53" s="90"/>
      <c r="J53" s="1155"/>
    </row>
    <row r="54" spans="2:10">
      <c r="B54" s="1156">
        <v>0.4</v>
      </c>
      <c r="C54" s="1156">
        <v>0.04</v>
      </c>
      <c r="D54" s="1156">
        <v>0.02</v>
      </c>
      <c r="I54" s="90"/>
      <c r="J54" s="1155"/>
    </row>
    <row r="55" spans="2:10">
      <c r="B55" s="1156">
        <v>0.5</v>
      </c>
      <c r="C55" s="1156">
        <v>0.05</v>
      </c>
      <c r="D55" s="1156">
        <v>0.03</v>
      </c>
      <c r="I55" s="90"/>
      <c r="J55" s="1155"/>
    </row>
    <row r="56" spans="2:10">
      <c r="B56" s="1156">
        <v>0.6</v>
      </c>
      <c r="C56" s="1156">
        <v>7.0000000000000007E-2</v>
      </c>
      <c r="D56" s="1156">
        <v>0.04</v>
      </c>
      <c r="I56" s="90"/>
      <c r="J56" s="1155"/>
    </row>
    <row r="57" spans="2:10">
      <c r="B57" s="1156">
        <v>0.7</v>
      </c>
      <c r="C57" s="1156">
        <v>0.11</v>
      </c>
      <c r="D57" s="1156">
        <v>0.06</v>
      </c>
      <c r="I57" s="90"/>
      <c r="J57" s="1155"/>
    </row>
    <row r="58" spans="2:10">
      <c r="B58" s="1156">
        <v>0.8</v>
      </c>
      <c r="C58" s="1156">
        <v>0.15</v>
      </c>
      <c r="D58" s="1156">
        <v>0.08</v>
      </c>
      <c r="I58" s="90"/>
      <c r="J58" s="1155"/>
    </row>
    <row r="59" spans="2:10">
      <c r="B59" s="1156">
        <v>1</v>
      </c>
      <c r="C59" s="1156">
        <v>0.23</v>
      </c>
      <c r="D59" s="1156">
        <v>0.12</v>
      </c>
      <c r="I59" s="90"/>
      <c r="J59" s="1155"/>
    </row>
    <row r="60" spans="2:10">
      <c r="I60" s="90"/>
      <c r="J60" s="1155"/>
    </row>
    <row r="61" spans="2:10">
      <c r="B61" s="970" t="s">
        <v>1612</v>
      </c>
      <c r="G61" s="2134">
        <v>0.02</v>
      </c>
      <c r="H61" s="2134"/>
      <c r="I61" s="2134"/>
      <c r="J61" s="1155"/>
    </row>
    <row r="62" spans="2:10">
      <c r="B62" s="970"/>
      <c r="I62" s="90"/>
      <c r="J62" s="1155"/>
    </row>
    <row r="63" spans="2:10">
      <c r="B63" s="970" t="s">
        <v>1611</v>
      </c>
      <c r="I63" s="90"/>
      <c r="J63" s="1155"/>
    </row>
    <row r="64" spans="2:10">
      <c r="B64" s="970"/>
      <c r="I64" s="90"/>
      <c r="J64" s="1155"/>
    </row>
    <row r="65" spans="1:10" ht="15.75" customHeight="1">
      <c r="B65" s="2135" t="s">
        <v>1610</v>
      </c>
      <c r="C65" s="2135"/>
      <c r="D65" s="2135"/>
      <c r="E65" s="2135"/>
      <c r="F65" s="2135"/>
      <c r="G65" s="2135"/>
      <c r="H65" s="2135"/>
      <c r="I65" s="90"/>
      <c r="J65" s="1155"/>
    </row>
    <row r="66" spans="1:10">
      <c r="B66" s="2135"/>
      <c r="C66" s="2135"/>
      <c r="D66" s="2135"/>
      <c r="E66" s="2135"/>
      <c r="F66" s="2135"/>
      <c r="G66" s="2135"/>
      <c r="H66" s="2135"/>
      <c r="I66" s="90"/>
      <c r="J66" s="1155"/>
    </row>
    <row r="67" spans="1:10">
      <c r="B67" s="2135"/>
      <c r="C67" s="2135"/>
      <c r="D67" s="2135"/>
      <c r="E67" s="2135"/>
      <c r="F67" s="2135"/>
      <c r="G67" s="2135"/>
      <c r="H67" s="2135"/>
      <c r="I67" s="90"/>
      <c r="J67" s="1155"/>
    </row>
    <row r="68" spans="1:10">
      <c r="B68" s="2135"/>
      <c r="C68" s="2135"/>
      <c r="D68" s="2135"/>
      <c r="E68" s="2135"/>
      <c r="F68" s="2135"/>
      <c r="G68" s="2135"/>
      <c r="H68" s="2135"/>
      <c r="I68" s="90"/>
      <c r="J68" s="1155"/>
    </row>
    <row r="69" spans="1:10">
      <c r="B69" s="2135"/>
      <c r="C69" s="2135"/>
      <c r="D69" s="2135"/>
      <c r="E69" s="2135"/>
      <c r="F69" s="2135"/>
      <c r="G69" s="2135"/>
      <c r="H69" s="2135"/>
      <c r="I69" s="90"/>
      <c r="J69" s="1155"/>
    </row>
    <row r="70" spans="1:10">
      <c r="B70" s="2135"/>
      <c r="C70" s="2135"/>
      <c r="D70" s="2135"/>
      <c r="E70" s="2135"/>
      <c r="F70" s="2135"/>
      <c r="G70" s="2135"/>
      <c r="H70" s="2135"/>
      <c r="I70" s="90"/>
      <c r="J70" s="1155"/>
    </row>
    <row r="71" spans="1:10">
      <c r="B71" s="2135"/>
      <c r="C71" s="2135"/>
      <c r="D71" s="2135"/>
      <c r="E71" s="2135"/>
      <c r="F71" s="2135"/>
      <c r="G71" s="2135"/>
      <c r="H71" s="2135"/>
      <c r="I71" s="90"/>
      <c r="J71" s="1155"/>
    </row>
    <row r="73" spans="1:10">
      <c r="A73" s="90" t="s">
        <v>34</v>
      </c>
      <c r="B73" s="91" t="s">
        <v>568</v>
      </c>
      <c r="C73" s="90" t="s">
        <v>1609</v>
      </c>
    </row>
    <row r="74" spans="1:10">
      <c r="B74" s="91"/>
      <c r="C74" s="90" t="s">
        <v>1608</v>
      </c>
    </row>
    <row r="76" spans="1:10">
      <c r="C76" s="1635" t="s">
        <v>153</v>
      </c>
      <c r="D76" s="1635"/>
      <c r="E76" s="1635"/>
      <c r="F76" s="1635"/>
      <c r="G76" s="1635"/>
      <c r="H76" s="1635"/>
      <c r="I76" s="1635"/>
    </row>
  </sheetData>
  <mergeCells count="18">
    <mergeCell ref="C76:I76"/>
    <mergeCell ref="B16:E17"/>
    <mergeCell ref="F16:F17"/>
    <mergeCell ref="B18:E18"/>
    <mergeCell ref="B19:E19"/>
    <mergeCell ref="B20:E20"/>
    <mergeCell ref="B21:E21"/>
    <mergeCell ref="C34:I34"/>
    <mergeCell ref="B47:E47"/>
    <mergeCell ref="B48:E48"/>
    <mergeCell ref="G61:I61"/>
    <mergeCell ref="B65:H71"/>
    <mergeCell ref="B15:E15"/>
    <mergeCell ref="B9:E11"/>
    <mergeCell ref="F9:F11"/>
    <mergeCell ref="B12:E12"/>
    <mergeCell ref="B13:E13"/>
    <mergeCell ref="B14:E14"/>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1F4B0-4E78-4431-8D03-105726D10B84}">
  <dimension ref="A1:L144"/>
  <sheetViews>
    <sheetView zoomScale="70" zoomScaleNormal="70" workbookViewId="0"/>
  </sheetViews>
  <sheetFormatPr defaultColWidth="8.88671875" defaultRowHeight="15.6"/>
  <cols>
    <col min="1" max="1" width="3.5546875" style="90" customWidth="1"/>
    <col min="2" max="2" width="11.109375" style="90" customWidth="1"/>
    <col min="3" max="3" width="10.6640625" style="90" customWidth="1"/>
    <col min="4" max="4" width="13.5546875" style="90" customWidth="1"/>
    <col min="5" max="5" width="13.33203125" style="90" customWidth="1"/>
    <col min="6" max="6" width="11.6640625" style="90" customWidth="1"/>
    <col min="7" max="7" width="12.88671875" style="90" customWidth="1"/>
    <col min="8" max="8" width="12.5546875" style="90" customWidth="1"/>
    <col min="9" max="11" width="10.6640625" style="90" customWidth="1"/>
    <col min="12" max="13" width="8.88671875" style="3"/>
    <col min="14" max="14" width="14.109375" style="3" bestFit="1" customWidth="1"/>
    <col min="15" max="16384" width="8.88671875" style="3"/>
  </cols>
  <sheetData>
    <row r="1" spans="1:12">
      <c r="A1" s="90" t="s">
        <v>205</v>
      </c>
      <c r="L1" s="3" t="s">
        <v>205</v>
      </c>
    </row>
    <row r="2" spans="1:12">
      <c r="A2" s="90" t="s">
        <v>1487</v>
      </c>
      <c r="L2" s="3" t="s">
        <v>1487</v>
      </c>
    </row>
    <row r="3" spans="1:12" ht="18.45" customHeight="1">
      <c r="A3" s="106"/>
    </row>
    <row r="4" spans="1:12" ht="18.45" customHeight="1">
      <c r="A4" s="105"/>
      <c r="L4" s="3" t="s">
        <v>1702</v>
      </c>
    </row>
    <row r="5" spans="1:12">
      <c r="A5" s="105"/>
      <c r="B5" s="91" t="s">
        <v>1701</v>
      </c>
      <c r="C5" s="90" t="s">
        <v>1700</v>
      </c>
    </row>
    <row r="6" spans="1:12">
      <c r="C6" s="90" t="s">
        <v>1699</v>
      </c>
    </row>
    <row r="8" spans="1:12">
      <c r="C8" s="90" t="s">
        <v>1698</v>
      </c>
    </row>
    <row r="10" spans="1:12">
      <c r="D10" s="1635" t="s">
        <v>153</v>
      </c>
      <c r="E10" s="1635"/>
      <c r="F10" s="1635"/>
      <c r="G10" s="1635"/>
      <c r="H10" s="1635"/>
      <c r="I10" s="1635"/>
      <c r="J10" s="1635"/>
    </row>
    <row r="11" spans="1:12">
      <c r="D11" s="1170"/>
      <c r="E11" s="1170"/>
      <c r="F11" s="1170"/>
      <c r="G11" s="1170"/>
      <c r="H11" s="1170"/>
      <c r="I11" s="1170"/>
      <c r="J11" s="1170"/>
    </row>
    <row r="12" spans="1:12">
      <c r="C12" s="90" t="s">
        <v>323</v>
      </c>
    </row>
    <row r="14" spans="1:12">
      <c r="C14" s="94" t="s">
        <v>522</v>
      </c>
    </row>
    <row r="15" spans="1:12">
      <c r="C15" s="2142" t="s">
        <v>190</v>
      </c>
      <c r="D15" s="2142"/>
      <c r="E15" s="2142"/>
      <c r="F15" s="1645" t="s">
        <v>127</v>
      </c>
      <c r="G15" s="1646"/>
      <c r="H15" s="1646"/>
      <c r="I15" s="1646"/>
      <c r="J15" s="1647"/>
    </row>
    <row r="16" spans="1:12">
      <c r="C16" s="2047" t="s">
        <v>189</v>
      </c>
      <c r="D16" s="2143"/>
      <c r="E16" s="2048"/>
      <c r="F16" s="2024" t="s">
        <v>1697</v>
      </c>
      <c r="G16" s="2145"/>
      <c r="H16" s="2145"/>
      <c r="I16" s="2145"/>
      <c r="J16" s="2146"/>
    </row>
    <row r="17" spans="3:11">
      <c r="C17" s="2051"/>
      <c r="D17" s="2144"/>
      <c r="E17" s="2052"/>
      <c r="F17" s="2147"/>
      <c r="G17" s="2148"/>
      <c r="H17" s="2148"/>
      <c r="I17" s="2148"/>
      <c r="J17" s="2149"/>
      <c r="K17" s="1077"/>
    </row>
    <row r="18" spans="3:11">
      <c r="C18" s="2018" t="s">
        <v>1696</v>
      </c>
      <c r="D18" s="2150"/>
      <c r="E18" s="2019"/>
      <c r="F18" s="2024" t="s">
        <v>1695</v>
      </c>
      <c r="G18" s="2145"/>
      <c r="H18" s="2145"/>
      <c r="I18" s="2145"/>
      <c r="J18" s="2146"/>
      <c r="K18" s="1077"/>
    </row>
    <row r="19" spans="3:11">
      <c r="C19" s="2022"/>
      <c r="D19" s="2151"/>
      <c r="E19" s="2023"/>
      <c r="F19" s="2147"/>
      <c r="G19" s="2148"/>
      <c r="H19" s="2148"/>
      <c r="I19" s="2148"/>
      <c r="J19" s="2149"/>
      <c r="K19" s="1077"/>
    </row>
    <row r="20" spans="3:11">
      <c r="C20" s="2142" t="s">
        <v>187</v>
      </c>
      <c r="D20" s="2142"/>
      <c r="E20" s="2142"/>
      <c r="F20" s="1645" t="s">
        <v>135</v>
      </c>
      <c r="G20" s="1646"/>
      <c r="H20" s="1646"/>
      <c r="I20" s="1646"/>
      <c r="J20" s="1647"/>
    </row>
    <row r="21" spans="3:11">
      <c r="C21" s="2142" t="s">
        <v>186</v>
      </c>
      <c r="D21" s="2142"/>
      <c r="E21" s="2142"/>
      <c r="F21" s="1644" t="s">
        <v>1694</v>
      </c>
      <c r="G21" s="1644"/>
      <c r="H21" s="1644"/>
      <c r="I21" s="1644"/>
      <c r="J21" s="1644"/>
      <c r="K21" s="1077"/>
    </row>
    <row r="22" spans="3:11">
      <c r="C22" s="2142" t="s">
        <v>184</v>
      </c>
      <c r="D22" s="2142"/>
      <c r="E22" s="2142"/>
      <c r="F22" s="2152" t="s">
        <v>1693</v>
      </c>
      <c r="G22" s="2152"/>
      <c r="H22" s="2152"/>
      <c r="I22" s="2152"/>
      <c r="J22" s="2152"/>
      <c r="K22" s="1075"/>
    </row>
    <row r="23" spans="3:11">
      <c r="C23" s="2142"/>
      <c r="D23" s="2142"/>
      <c r="E23" s="2142"/>
      <c r="F23" s="2152"/>
      <c r="G23" s="2152"/>
      <c r="H23" s="2152"/>
      <c r="I23" s="2152"/>
      <c r="J23" s="2152"/>
      <c r="K23" s="1075"/>
    </row>
    <row r="24" spans="3:11">
      <c r="C24" s="2142"/>
      <c r="D24" s="2142"/>
      <c r="E24" s="2142"/>
      <c r="F24" s="2152"/>
      <c r="G24" s="2152"/>
      <c r="H24" s="2152"/>
      <c r="I24" s="2152"/>
      <c r="J24" s="2152"/>
      <c r="K24" s="1075"/>
    </row>
    <row r="25" spans="3:11">
      <c r="C25" s="2142"/>
      <c r="D25" s="2142"/>
      <c r="E25" s="2142"/>
      <c r="F25" s="2152"/>
      <c r="G25" s="2152"/>
      <c r="H25" s="2152"/>
      <c r="I25" s="2152"/>
      <c r="J25" s="2152"/>
      <c r="K25" s="1075"/>
    </row>
    <row r="26" spans="3:11">
      <c r="C26" s="2142" t="s">
        <v>182</v>
      </c>
      <c r="D26" s="2142"/>
      <c r="E26" s="2142"/>
      <c r="F26" s="2152" t="s">
        <v>181</v>
      </c>
      <c r="G26" s="2152"/>
      <c r="H26" s="2152"/>
      <c r="I26" s="2152"/>
      <c r="J26" s="2152"/>
      <c r="K26" s="1077"/>
    </row>
    <row r="27" spans="3:11">
      <c r="C27" s="2142"/>
      <c r="D27" s="2142"/>
      <c r="E27" s="2142"/>
      <c r="F27" s="2152"/>
      <c r="G27" s="2152"/>
      <c r="H27" s="2152"/>
      <c r="I27" s="2152"/>
      <c r="J27" s="2152"/>
      <c r="K27" s="1077"/>
    </row>
    <row r="28" spans="3:11">
      <c r="C28" s="2142"/>
      <c r="D28" s="2142"/>
      <c r="E28" s="2142"/>
      <c r="F28" s="2152"/>
      <c r="G28" s="2152"/>
      <c r="H28" s="2152"/>
      <c r="I28" s="2152"/>
      <c r="J28" s="2152"/>
      <c r="K28" s="1077"/>
    </row>
    <row r="29" spans="3:11">
      <c r="C29" s="2142" t="s">
        <v>180</v>
      </c>
      <c r="D29" s="2142"/>
      <c r="E29" s="2142"/>
      <c r="F29" s="1644" t="s">
        <v>498</v>
      </c>
      <c r="G29" s="1644"/>
      <c r="H29" s="1644"/>
      <c r="I29" s="1644"/>
      <c r="J29" s="1644"/>
      <c r="K29" s="1077"/>
    </row>
    <row r="31" spans="3:11">
      <c r="C31" s="94" t="s">
        <v>1692</v>
      </c>
    </row>
    <row r="32" spans="3:11">
      <c r="C32" s="1645" t="s">
        <v>1691</v>
      </c>
      <c r="D32" s="1646"/>
      <c r="E32" s="1646"/>
      <c r="F32" s="1646"/>
      <c r="G32" s="1646"/>
      <c r="H32" s="1646"/>
      <c r="I32" s="1646"/>
      <c r="J32" s="1647"/>
    </row>
    <row r="33" spans="3:11">
      <c r="C33" s="1168" t="s">
        <v>1684</v>
      </c>
      <c r="D33" s="101"/>
      <c r="E33" s="101"/>
      <c r="F33" s="1169">
        <v>2.5000000000000001E-2</v>
      </c>
      <c r="G33" s="101" t="s">
        <v>1690</v>
      </c>
      <c r="H33" s="101"/>
      <c r="I33" s="1159">
        <v>2.5000000000000001E-2</v>
      </c>
      <c r="J33" s="100" t="s">
        <v>1689</v>
      </c>
    </row>
    <row r="34" spans="3:11">
      <c r="C34" s="1168" t="s">
        <v>1688</v>
      </c>
      <c r="D34" s="101"/>
      <c r="E34" s="101"/>
      <c r="F34" s="1169">
        <v>2.5000000000000001E-2</v>
      </c>
      <c r="G34" s="101" t="s">
        <v>1687</v>
      </c>
      <c r="H34" s="101"/>
      <c r="I34" s="101"/>
      <c r="J34" s="100"/>
    </row>
    <row r="35" spans="3:11">
      <c r="C35" s="1645" t="s">
        <v>1686</v>
      </c>
      <c r="D35" s="1646"/>
      <c r="E35" s="1646"/>
      <c r="F35" s="1646"/>
      <c r="G35" s="1646"/>
      <c r="H35" s="1646"/>
      <c r="I35" s="1646"/>
      <c r="J35" s="1647"/>
    </row>
    <row r="36" spans="3:11">
      <c r="C36" s="2153" t="s">
        <v>1684</v>
      </c>
      <c r="D36" s="2154"/>
      <c r="E36" s="2154"/>
      <c r="F36" s="2024" t="s">
        <v>1676</v>
      </c>
      <c r="G36" s="2145"/>
      <c r="H36" s="2145"/>
      <c r="I36" s="2145"/>
      <c r="J36" s="2146"/>
      <c r="K36" s="1077"/>
    </row>
    <row r="37" spans="3:11">
      <c r="C37" s="2155"/>
      <c r="D37" s="2156"/>
      <c r="E37" s="2156"/>
      <c r="F37" s="2147"/>
      <c r="G37" s="2148"/>
      <c r="H37" s="2148"/>
      <c r="I37" s="2148"/>
      <c r="J37" s="2149"/>
      <c r="K37" s="1077"/>
    </row>
    <row r="38" spans="3:11">
      <c r="C38" s="2153" t="s">
        <v>1683</v>
      </c>
      <c r="D38" s="2154"/>
      <c r="E38" s="2154"/>
      <c r="F38" s="2024" t="s">
        <v>1676</v>
      </c>
      <c r="G38" s="2145"/>
      <c r="H38" s="2145"/>
      <c r="I38" s="2145"/>
      <c r="J38" s="2146"/>
      <c r="K38" s="1077"/>
    </row>
    <row r="39" spans="3:11">
      <c r="C39" s="2155"/>
      <c r="D39" s="2156"/>
      <c r="E39" s="2156"/>
      <c r="F39" s="2147"/>
      <c r="G39" s="2148"/>
      <c r="H39" s="2148"/>
      <c r="I39" s="2148"/>
      <c r="J39" s="2149"/>
      <c r="K39" s="1077"/>
    </row>
    <row r="40" spans="3:11">
      <c r="C40" s="1645" t="s">
        <v>1685</v>
      </c>
      <c r="D40" s="1646"/>
      <c r="E40" s="1646"/>
      <c r="F40" s="1646"/>
      <c r="G40" s="1646"/>
      <c r="H40" s="1646"/>
      <c r="I40" s="1646"/>
      <c r="J40" s="1647"/>
    </row>
    <row r="41" spans="3:11">
      <c r="C41" s="1168" t="s">
        <v>1684</v>
      </c>
      <c r="D41" s="101"/>
      <c r="E41" s="101"/>
      <c r="F41" s="102" t="s">
        <v>498</v>
      </c>
      <c r="G41" s="101"/>
      <c r="H41" s="101"/>
      <c r="I41" s="101"/>
      <c r="J41" s="100"/>
    </row>
    <row r="42" spans="3:11">
      <c r="C42" s="1167" t="s">
        <v>1683</v>
      </c>
      <c r="D42" s="1080"/>
      <c r="E42" s="1080"/>
      <c r="F42" s="1081" t="s">
        <v>498</v>
      </c>
      <c r="G42" s="1080"/>
      <c r="H42" s="1080"/>
      <c r="I42" s="1080"/>
      <c r="J42" s="982"/>
    </row>
    <row r="43" spans="3:11">
      <c r="C43" s="2157" t="s">
        <v>1682</v>
      </c>
      <c r="D43" s="2157"/>
      <c r="E43" s="2157"/>
      <c r="F43" s="2159" t="s">
        <v>1681</v>
      </c>
      <c r="G43" s="2159"/>
      <c r="H43" s="2159"/>
      <c r="I43" s="2159"/>
      <c r="J43" s="2159"/>
    </row>
    <row r="44" spans="3:11">
      <c r="C44" s="2158"/>
      <c r="D44" s="2158"/>
      <c r="E44" s="2158"/>
      <c r="F44" s="2160"/>
      <c r="G44" s="2160"/>
      <c r="H44" s="2160"/>
      <c r="I44" s="2160"/>
      <c r="J44" s="2160"/>
    </row>
    <row r="46" spans="3:11">
      <c r="C46" s="94" t="s">
        <v>1680</v>
      </c>
    </row>
    <row r="47" spans="3:11">
      <c r="C47" s="1645" t="s">
        <v>1679</v>
      </c>
      <c r="D47" s="1646"/>
      <c r="E47" s="1647"/>
      <c r="F47" s="1159">
        <v>0.03</v>
      </c>
      <c r="G47" s="101" t="s">
        <v>1678</v>
      </c>
      <c r="H47" s="101"/>
      <c r="I47" s="101"/>
      <c r="J47" s="100"/>
    </row>
    <row r="48" spans="3:11">
      <c r="C48" s="2047" t="s">
        <v>1677</v>
      </c>
      <c r="D48" s="2143"/>
      <c r="E48" s="2048"/>
      <c r="F48" s="2145" t="s">
        <v>1676</v>
      </c>
      <c r="G48" s="2145"/>
      <c r="H48" s="2145"/>
      <c r="I48" s="2145"/>
      <c r="J48" s="2146"/>
      <c r="K48" s="1077"/>
    </row>
    <row r="49" spans="3:11">
      <c r="C49" s="2051"/>
      <c r="D49" s="2144"/>
      <c r="E49" s="2052"/>
      <c r="F49" s="2148"/>
      <c r="G49" s="2148"/>
      <c r="H49" s="2148"/>
      <c r="I49" s="2148"/>
      <c r="J49" s="2149"/>
      <c r="K49" s="1077"/>
    </row>
    <row r="50" spans="3:11">
      <c r="C50" s="1645" t="s">
        <v>1675</v>
      </c>
      <c r="D50" s="1646"/>
      <c r="E50" s="1647"/>
      <c r="F50" s="1646" t="s">
        <v>498</v>
      </c>
      <c r="G50" s="1646"/>
      <c r="H50" s="1646"/>
      <c r="I50" s="1646"/>
      <c r="J50" s="1647"/>
    </row>
    <row r="51" spans="3:11">
      <c r="C51" s="2047" t="s">
        <v>1674</v>
      </c>
      <c r="D51" s="2143"/>
      <c r="E51" s="2048"/>
      <c r="F51" s="2162" t="s">
        <v>252</v>
      </c>
      <c r="G51" s="2163"/>
      <c r="H51" s="2164" t="s">
        <v>1672</v>
      </c>
      <c r="I51" s="2165"/>
      <c r="J51" s="2166"/>
      <c r="K51" s="1166"/>
    </row>
    <row r="52" spans="3:11">
      <c r="C52" s="2049"/>
      <c r="D52" s="2161"/>
      <c r="E52" s="2050"/>
      <c r="F52" s="2167">
        <v>60</v>
      </c>
      <c r="G52" s="2168"/>
      <c r="H52" s="2169">
        <v>0.15</v>
      </c>
      <c r="I52" s="2170"/>
      <c r="J52" s="2171"/>
      <c r="K52" s="1165"/>
    </row>
    <row r="53" spans="3:11">
      <c r="C53" s="2049"/>
      <c r="D53" s="2161"/>
      <c r="E53" s="2050"/>
      <c r="F53" s="2167">
        <v>62</v>
      </c>
      <c r="G53" s="2168"/>
      <c r="H53" s="2169">
        <v>0.15</v>
      </c>
      <c r="I53" s="2170"/>
      <c r="J53" s="2171"/>
      <c r="K53" s="1165"/>
    </row>
    <row r="54" spans="3:11">
      <c r="C54" s="2049"/>
      <c r="D54" s="2161"/>
      <c r="E54" s="2050"/>
      <c r="F54" s="2167">
        <v>65</v>
      </c>
      <c r="G54" s="2168"/>
      <c r="H54" s="2169">
        <v>1</v>
      </c>
      <c r="I54" s="2170"/>
      <c r="J54" s="2171"/>
      <c r="K54" s="1165"/>
    </row>
    <row r="55" spans="3:11">
      <c r="C55" s="2051"/>
      <c r="D55" s="2144"/>
      <c r="E55" s="2052"/>
      <c r="F55" s="2172" t="s">
        <v>1671</v>
      </c>
      <c r="G55" s="2173"/>
      <c r="H55" s="2170">
        <v>0</v>
      </c>
      <c r="I55" s="2170"/>
      <c r="J55" s="2171"/>
      <c r="K55" s="1165"/>
    </row>
    <row r="56" spans="3:11">
      <c r="C56" s="2047" t="s">
        <v>1673</v>
      </c>
      <c r="D56" s="2143"/>
      <c r="E56" s="2048"/>
      <c r="F56" s="2162" t="s">
        <v>252</v>
      </c>
      <c r="G56" s="2163"/>
      <c r="H56" s="2164" t="s">
        <v>1672</v>
      </c>
      <c r="I56" s="2165"/>
      <c r="J56" s="2166"/>
      <c r="K56" s="1166"/>
    </row>
    <row r="57" spans="3:11">
      <c r="C57" s="2049"/>
      <c r="D57" s="2161"/>
      <c r="E57" s="2050"/>
      <c r="F57" s="2167">
        <v>35</v>
      </c>
      <c r="G57" s="2168"/>
      <c r="H57" s="2169">
        <v>0.03</v>
      </c>
      <c r="I57" s="2170"/>
      <c r="J57" s="2171"/>
      <c r="K57" s="1165"/>
    </row>
    <row r="58" spans="3:11">
      <c r="C58" s="2049"/>
      <c r="D58" s="2161"/>
      <c r="E58" s="2050"/>
      <c r="F58" s="2167">
        <v>40</v>
      </c>
      <c r="G58" s="2168"/>
      <c r="H58" s="2169">
        <v>0.02</v>
      </c>
      <c r="I58" s="2170"/>
      <c r="J58" s="2171"/>
      <c r="K58" s="1165"/>
    </row>
    <row r="59" spans="3:11">
      <c r="C59" s="2049"/>
      <c r="D59" s="2161"/>
      <c r="E59" s="2050"/>
      <c r="F59" s="2167">
        <v>45</v>
      </c>
      <c r="G59" s="2168"/>
      <c r="H59" s="2169">
        <v>0.01</v>
      </c>
      <c r="I59" s="2170"/>
      <c r="J59" s="2171"/>
      <c r="K59" s="1165"/>
    </row>
    <row r="60" spans="3:11">
      <c r="C60" s="2051"/>
      <c r="D60" s="2144"/>
      <c r="E60" s="2052"/>
      <c r="F60" s="2172" t="s">
        <v>1671</v>
      </c>
      <c r="G60" s="2173"/>
      <c r="H60" s="2170">
        <v>0</v>
      </c>
      <c r="I60" s="2170"/>
      <c r="J60" s="2171"/>
      <c r="K60" s="1165"/>
    </row>
    <row r="61" spans="3:11">
      <c r="C61" s="2174" t="s">
        <v>1670</v>
      </c>
      <c r="D61" s="2175"/>
      <c r="E61" s="2176"/>
      <c r="F61" s="2041" t="s">
        <v>1669</v>
      </c>
      <c r="G61" s="2042"/>
      <c r="H61" s="2042"/>
      <c r="I61" s="2042"/>
      <c r="J61" s="2043"/>
      <c r="K61" s="1164"/>
    </row>
    <row r="63" spans="3:11">
      <c r="C63" s="94" t="s">
        <v>1668</v>
      </c>
    </row>
    <row r="64" spans="3:11">
      <c r="C64" s="1645" t="s">
        <v>1667</v>
      </c>
      <c r="D64" s="1646"/>
      <c r="E64" s="1646"/>
      <c r="F64" s="1645" t="s">
        <v>498</v>
      </c>
      <c r="G64" s="1646"/>
      <c r="H64" s="1646"/>
      <c r="I64" s="1646"/>
      <c r="J64" s="1647"/>
    </row>
    <row r="65" spans="3:11">
      <c r="C65" s="2177" t="s">
        <v>1666</v>
      </c>
      <c r="D65" s="2178"/>
      <c r="E65" s="2179"/>
      <c r="F65" s="2024" t="s">
        <v>1665</v>
      </c>
      <c r="G65" s="2145"/>
      <c r="H65" s="2145"/>
      <c r="I65" s="2145"/>
      <c r="J65" s="2146"/>
    </row>
    <row r="66" spans="3:11">
      <c r="C66" s="2180"/>
      <c r="D66" s="2016"/>
      <c r="E66" s="2181"/>
      <c r="F66" s="2185"/>
      <c r="G66" s="2040"/>
      <c r="H66" s="2040"/>
      <c r="I66" s="2040"/>
      <c r="J66" s="2186"/>
    </row>
    <row r="67" spans="3:11">
      <c r="C67" s="2180"/>
      <c r="D67" s="2016"/>
      <c r="E67" s="2181"/>
      <c r="F67" s="2185"/>
      <c r="G67" s="2040"/>
      <c r="H67" s="2040"/>
      <c r="I67" s="2040"/>
      <c r="J67" s="2186"/>
    </row>
    <row r="68" spans="3:11">
      <c r="C68" s="2180"/>
      <c r="D68" s="2016"/>
      <c r="E68" s="2181"/>
      <c r="F68" s="2185"/>
      <c r="G68" s="2040"/>
      <c r="H68" s="2040"/>
      <c r="I68" s="2040"/>
      <c r="J68" s="2186"/>
    </row>
    <row r="69" spans="3:11">
      <c r="C69" s="2182"/>
      <c r="D69" s="2183"/>
      <c r="E69" s="2184"/>
      <c r="F69" s="2147"/>
      <c r="G69" s="2148"/>
      <c r="H69" s="2148"/>
      <c r="I69" s="2148"/>
      <c r="J69" s="2149"/>
    </row>
    <row r="70" spans="3:11">
      <c r="C70" s="2047" t="s">
        <v>1664</v>
      </c>
      <c r="D70" s="2143"/>
      <c r="E70" s="2048"/>
      <c r="F70" s="2177" t="s">
        <v>1663</v>
      </c>
      <c r="G70" s="2178"/>
      <c r="H70" s="2178"/>
      <c r="I70" s="2178"/>
      <c r="J70" s="2179"/>
      <c r="K70" s="1077"/>
    </row>
    <row r="71" spans="3:11" ht="15.45" customHeight="1">
      <c r="C71" s="2049"/>
      <c r="D71" s="2161"/>
      <c r="E71" s="2050"/>
      <c r="F71" s="2180"/>
      <c r="G71" s="2016"/>
      <c r="H71" s="2016"/>
      <c r="I71" s="2016"/>
      <c r="J71" s="2181"/>
      <c r="K71" s="1077"/>
    </row>
    <row r="72" spans="3:11">
      <c r="C72" s="2051"/>
      <c r="D72" s="2144"/>
      <c r="E72" s="2052"/>
      <c r="F72" s="2182"/>
      <c r="G72" s="2183"/>
      <c r="H72" s="2183"/>
      <c r="I72" s="2183"/>
      <c r="J72" s="2184"/>
      <c r="K72" s="1077"/>
    </row>
    <row r="74" spans="3:11">
      <c r="C74" s="94" t="s">
        <v>1662</v>
      </c>
    </row>
    <row r="75" spans="3:11">
      <c r="C75" s="2187" t="s">
        <v>390</v>
      </c>
      <c r="D75" s="2189" t="s">
        <v>1499</v>
      </c>
      <c r="E75" s="2189" t="s">
        <v>1661</v>
      </c>
      <c r="F75" s="2191" t="s">
        <v>252</v>
      </c>
      <c r="G75" s="2191" t="s">
        <v>1660</v>
      </c>
      <c r="H75" s="2191" t="s">
        <v>1659</v>
      </c>
      <c r="I75" s="2191" t="s">
        <v>1658</v>
      </c>
      <c r="J75" s="2191" t="s">
        <v>1657</v>
      </c>
      <c r="K75" s="2191" t="s">
        <v>804</v>
      </c>
    </row>
    <row r="76" spans="3:11">
      <c r="C76" s="2188"/>
      <c r="D76" s="2190"/>
      <c r="E76" s="2190"/>
      <c r="F76" s="2191"/>
      <c r="G76" s="2191"/>
      <c r="H76" s="2191"/>
      <c r="I76" s="2191"/>
      <c r="J76" s="2191"/>
      <c r="K76" s="2191"/>
    </row>
    <row r="77" spans="3:11">
      <c r="C77" s="93">
        <v>12001</v>
      </c>
      <c r="D77" s="1161" t="s">
        <v>386</v>
      </c>
      <c r="E77" s="1161" t="s">
        <v>1655</v>
      </c>
      <c r="F77" s="1161">
        <v>33</v>
      </c>
      <c r="G77" s="1163">
        <v>65000</v>
      </c>
      <c r="H77" s="1163">
        <v>63000</v>
      </c>
      <c r="I77" s="1163">
        <v>62500</v>
      </c>
      <c r="J77" s="1161" t="s">
        <v>1521</v>
      </c>
      <c r="K77" s="1162">
        <v>10</v>
      </c>
    </row>
    <row r="78" spans="3:11">
      <c r="C78" s="93">
        <v>12004</v>
      </c>
      <c r="D78" s="1161" t="s">
        <v>386</v>
      </c>
      <c r="E78" s="1161" t="s">
        <v>1655</v>
      </c>
      <c r="F78" s="1161">
        <v>40</v>
      </c>
      <c r="G78" s="1163">
        <v>72000</v>
      </c>
      <c r="H78" s="1163">
        <v>71500</v>
      </c>
      <c r="I78" s="1163">
        <v>70400</v>
      </c>
      <c r="J78" s="1161" t="s">
        <v>1521</v>
      </c>
      <c r="K78" s="1162">
        <v>16</v>
      </c>
    </row>
    <row r="79" spans="3:11">
      <c r="C79" s="93">
        <v>14052</v>
      </c>
      <c r="D79" s="1161" t="s">
        <v>386</v>
      </c>
      <c r="E79" s="1161" t="s">
        <v>1655</v>
      </c>
      <c r="F79" s="1161">
        <v>59</v>
      </c>
      <c r="G79" s="1163">
        <v>82500</v>
      </c>
      <c r="H79" s="1163">
        <v>81000</v>
      </c>
      <c r="I79" s="1163">
        <v>80000</v>
      </c>
      <c r="J79" s="1161" t="s">
        <v>1521</v>
      </c>
      <c r="K79" s="1162">
        <v>20</v>
      </c>
    </row>
    <row r="80" spans="3:11">
      <c r="C80" s="2192">
        <v>30001</v>
      </c>
      <c r="D80" s="2194" t="s">
        <v>1656</v>
      </c>
      <c r="E80" s="2196" t="s">
        <v>1655</v>
      </c>
      <c r="F80" s="2196">
        <v>70</v>
      </c>
      <c r="G80" s="2196" t="s">
        <v>1521</v>
      </c>
      <c r="H80" s="2196" t="s">
        <v>1521</v>
      </c>
      <c r="I80" s="2196" t="s">
        <v>1521</v>
      </c>
      <c r="J80" s="2198">
        <v>2000</v>
      </c>
      <c r="K80" s="2196" t="s">
        <v>1521</v>
      </c>
    </row>
    <row r="81" spans="3:11">
      <c r="C81" s="2193"/>
      <c r="D81" s="2195"/>
      <c r="E81" s="2197"/>
      <c r="F81" s="2197"/>
      <c r="G81" s="2197"/>
      <c r="H81" s="2197"/>
      <c r="I81" s="2197"/>
      <c r="J81" s="2199"/>
      <c r="K81" s="2197"/>
    </row>
    <row r="83" spans="3:11">
      <c r="C83" s="94" t="s">
        <v>1654</v>
      </c>
    </row>
    <row r="84" spans="3:11">
      <c r="C84" s="2189" t="s">
        <v>252</v>
      </c>
      <c r="D84" s="2191" t="s">
        <v>1653</v>
      </c>
      <c r="E84" s="2200" t="s">
        <v>65</v>
      </c>
      <c r="F84" s="2200"/>
      <c r="G84" s="2200"/>
      <c r="H84" s="2200"/>
    </row>
    <row r="85" spans="3:11">
      <c r="C85" s="2190"/>
      <c r="D85" s="2191"/>
      <c r="E85" s="2201" t="s">
        <v>1652</v>
      </c>
      <c r="F85" s="2201"/>
      <c r="G85" s="2201" t="s">
        <v>1651</v>
      </c>
      <c r="H85" s="2201"/>
    </row>
    <row r="86" spans="3:11">
      <c r="C86" s="1161">
        <v>33</v>
      </c>
      <c r="D86" s="1161">
        <v>22</v>
      </c>
      <c r="E86" s="2202">
        <v>12.78001779407788</v>
      </c>
      <c r="F86" s="2202"/>
      <c r="G86" s="2202">
        <v>12.794461158724545</v>
      </c>
      <c r="H86" s="2202"/>
    </row>
    <row r="87" spans="3:11">
      <c r="C87" s="1161">
        <v>33</v>
      </c>
      <c r="D87" s="1161">
        <v>23</v>
      </c>
      <c r="E87" s="2202">
        <v>12.24245297597373</v>
      </c>
      <c r="F87" s="2202"/>
      <c r="G87" s="2202">
        <v>12.256650260536771</v>
      </c>
      <c r="H87" s="2202"/>
    </row>
    <row r="88" spans="3:11">
      <c r="C88" s="1161">
        <v>33</v>
      </c>
      <c r="D88" s="1161">
        <v>24</v>
      </c>
      <c r="E88" s="2202">
        <v>11.720683242203746</v>
      </c>
      <c r="F88" s="2202"/>
      <c r="G88" s="2202">
        <v>11.734625762836613</v>
      </c>
      <c r="H88" s="2202"/>
    </row>
    <row r="89" spans="3:11">
      <c r="C89" s="1161">
        <v>33</v>
      </c>
      <c r="D89" s="1161">
        <v>25</v>
      </c>
      <c r="E89" s="2202">
        <v>11.214195051599424</v>
      </c>
      <c r="F89" s="2202"/>
      <c r="G89" s="2202">
        <v>11.227852706156071</v>
      </c>
      <c r="H89" s="2202"/>
    </row>
    <row r="90" spans="3:11">
      <c r="C90" s="1161">
        <v>33</v>
      </c>
      <c r="D90" s="1161">
        <v>26</v>
      </c>
      <c r="E90" s="2202">
        <v>10.72229815064208</v>
      </c>
      <c r="F90" s="2202"/>
      <c r="G90" s="2202">
        <v>10.735677098338554</v>
      </c>
      <c r="H90" s="2202"/>
    </row>
    <row r="91" spans="3:11">
      <c r="C91" s="1161">
        <v>33</v>
      </c>
      <c r="D91" s="1161">
        <v>27</v>
      </c>
      <c r="E91" s="2202">
        <v>10.244220553474067</v>
      </c>
      <c r="F91" s="2202"/>
      <c r="G91" s="2202">
        <v>10.257316566494257</v>
      </c>
      <c r="H91" s="2202"/>
    </row>
    <row r="92" spans="3:11">
      <c r="C92" s="1161">
        <v>33</v>
      </c>
      <c r="D92" s="1161">
        <v>28</v>
      </c>
      <c r="E92" s="2202">
        <v>9.7790968797910924</v>
      </c>
      <c r="F92" s="2202"/>
      <c r="G92" s="2202">
        <v>9.7919066039690463</v>
      </c>
      <c r="H92" s="2202"/>
    </row>
    <row r="93" spans="3:11">
      <c r="C93" s="1161">
        <v>33</v>
      </c>
      <c r="D93" s="1161">
        <v>29</v>
      </c>
      <c r="E93" s="2202">
        <v>9.3262115946361934</v>
      </c>
      <c r="F93" s="2202"/>
      <c r="G93" s="2202">
        <v>9.3387326424596502</v>
      </c>
      <c r="H93" s="2202"/>
    </row>
    <row r="94" spans="3:11">
      <c r="C94" s="1161">
        <v>33</v>
      </c>
      <c r="D94" s="1161">
        <v>30</v>
      </c>
      <c r="E94" s="2202">
        <v>8.8849618034682205</v>
      </c>
      <c r="F94" s="2202"/>
      <c r="G94" s="2202">
        <v>8.8972019727573901</v>
      </c>
      <c r="H94" s="2202"/>
    </row>
    <row r="95" spans="3:11">
      <c r="C95" s="1161">
        <v>33</v>
      </c>
      <c r="D95" s="1161">
        <v>31</v>
      </c>
      <c r="E95" s="2202">
        <v>8.4551826934758338</v>
      </c>
      <c r="F95" s="2202"/>
      <c r="G95" s="2202">
        <v>8.4671417697520308</v>
      </c>
      <c r="H95" s="2202"/>
    </row>
    <row r="96" spans="3:11">
      <c r="C96" s="1161">
        <v>33</v>
      </c>
      <c r="D96" s="1161">
        <v>32</v>
      </c>
      <c r="E96" s="2202">
        <v>8.0367299701285475</v>
      </c>
      <c r="F96" s="2202"/>
      <c r="G96" s="2202">
        <v>8.0484092697173732</v>
      </c>
      <c r="H96" s="2202"/>
    </row>
    <row r="97" spans="3:8">
      <c r="C97" s="1161">
        <v>34</v>
      </c>
      <c r="D97" s="1161">
        <v>21</v>
      </c>
      <c r="E97" s="2202">
        <v>13.08463867278312</v>
      </c>
      <c r="F97" s="2202"/>
      <c r="G97" s="2202">
        <v>13.099518238929827</v>
      </c>
      <c r="H97" s="2202"/>
    </row>
    <row r="98" spans="3:8">
      <c r="C98" s="1161">
        <v>34</v>
      </c>
      <c r="D98" s="1161">
        <v>22</v>
      </c>
      <c r="E98" s="2202">
        <v>12.533898909601126</v>
      </c>
      <c r="F98" s="2202"/>
      <c r="G98" s="2202">
        <v>12.548514300373078</v>
      </c>
      <c r="H98" s="2202"/>
    </row>
    <row r="99" spans="3:8">
      <c r="C99" s="1161">
        <v>34</v>
      </c>
      <c r="D99" s="1161">
        <v>23</v>
      </c>
      <c r="E99" s="2202">
        <v>11.999357441815571</v>
      </c>
      <c r="F99" s="2202"/>
      <c r="G99" s="2202">
        <v>12.013700323258837</v>
      </c>
      <c r="H99" s="2202"/>
    </row>
    <row r="100" spans="3:8">
      <c r="C100" s="1161">
        <v>34</v>
      </c>
      <c r="D100" s="1161">
        <v>24</v>
      </c>
      <c r="E100" s="2202">
        <v>11.480486259947986</v>
      </c>
      <c r="F100" s="2202"/>
      <c r="G100" s="2202">
        <v>11.494549927889407</v>
      </c>
      <c r="H100" s="2202"/>
    </row>
    <row r="101" spans="3:8">
      <c r="C101" s="1161">
        <v>34</v>
      </c>
      <c r="D101" s="1161">
        <v>25</v>
      </c>
      <c r="E101" s="2202">
        <v>10.9765878047115</v>
      </c>
      <c r="F101" s="2202"/>
      <c r="G101" s="2202">
        <v>10.99035560440813</v>
      </c>
      <c r="H101" s="2202"/>
    </row>
    <row r="102" spans="3:8">
      <c r="C102" s="1161">
        <v>34</v>
      </c>
      <c r="D102" s="1161">
        <v>26</v>
      </c>
      <c r="E102" s="2202">
        <v>10.486857962894005</v>
      </c>
      <c r="F102" s="2202"/>
      <c r="G102" s="2202">
        <v>10.50032606731091</v>
      </c>
      <c r="H102" s="2202"/>
    </row>
    <row r="103" spans="3:8">
      <c r="C103" s="1161">
        <v>34</v>
      </c>
      <c r="D103" s="1161">
        <v>27</v>
      </c>
      <c r="E103" s="2202">
        <v>10.010408844271382</v>
      </c>
      <c r="F103" s="2202"/>
      <c r="G103" s="2202">
        <v>10.023574301785873</v>
      </c>
      <c r="H103" s="2202"/>
    </row>
    <row r="104" spans="3:8">
      <c r="C104" s="1161">
        <v>34</v>
      </c>
      <c r="D104" s="1161">
        <v>28</v>
      </c>
      <c r="E104" s="2202">
        <v>9.5464962325112257</v>
      </c>
      <c r="F104" s="2202"/>
      <c r="G104" s="2202">
        <v>9.5593668845021007</v>
      </c>
      <c r="H104" s="2202"/>
    </row>
    <row r="105" spans="3:8">
      <c r="C105" s="1161">
        <v>34</v>
      </c>
      <c r="D105" s="1161">
        <v>29</v>
      </c>
      <c r="E105" s="2202">
        <v>9.0945019936146512</v>
      </c>
      <c r="F105" s="2202"/>
      <c r="G105" s="2202">
        <v>9.1070858485549131</v>
      </c>
      <c r="H105" s="2202"/>
    </row>
    <row r="106" spans="3:8">
      <c r="C106" s="1161">
        <v>34</v>
      </c>
      <c r="D106" s="1161">
        <v>30</v>
      </c>
      <c r="E106" s="2202">
        <v>8.6542564661548624</v>
      </c>
      <c r="F106" s="2202"/>
      <c r="G106" s="2202">
        <v>8.6665622608127304</v>
      </c>
      <c r="H106" s="2202"/>
    </row>
    <row r="107" spans="3:8">
      <c r="C107" s="1161">
        <v>34</v>
      </c>
      <c r="D107" s="1161">
        <v>31</v>
      </c>
      <c r="E107" s="2202">
        <v>8.2256194840984485</v>
      </c>
      <c r="F107" s="2202"/>
      <c r="G107" s="2202">
        <v>8.2376482193817573</v>
      </c>
      <c r="H107" s="2202"/>
    </row>
    <row r="108" spans="3:8">
      <c r="C108" s="1161">
        <v>40</v>
      </c>
      <c r="D108" s="1161">
        <v>15</v>
      </c>
      <c r="E108" s="2202">
        <v>15.069531500209486</v>
      </c>
      <c r="F108" s="2202"/>
      <c r="G108" s="2202">
        <v>15.087100085644273</v>
      </c>
      <c r="H108" s="2202"/>
    </row>
    <row r="109" spans="3:8">
      <c r="C109" s="1161">
        <v>40</v>
      </c>
      <c r="D109" s="1161">
        <v>16</v>
      </c>
      <c r="E109" s="2202">
        <v>14.432704175839046</v>
      </c>
      <c r="F109" s="2202"/>
      <c r="G109" s="2202">
        <v>14.449957537939296</v>
      </c>
      <c r="H109" s="2202"/>
    </row>
    <row r="110" spans="3:8">
      <c r="C110" s="1161">
        <v>40</v>
      </c>
      <c r="D110" s="1161">
        <v>17</v>
      </c>
      <c r="E110" s="2202">
        <v>13.814745024006397</v>
      </c>
      <c r="F110" s="2202"/>
      <c r="G110" s="2202">
        <v>13.831674527713197</v>
      </c>
      <c r="H110" s="2202"/>
    </row>
    <row r="111" spans="3:8">
      <c r="C111" s="1161">
        <v>40</v>
      </c>
      <c r="D111" s="1161">
        <v>18</v>
      </c>
      <c r="E111" s="2202">
        <v>13.215014613055788</v>
      </c>
      <c r="F111" s="2202"/>
      <c r="G111" s="2202">
        <v>13.231613459529134</v>
      </c>
      <c r="H111" s="2202"/>
    </row>
    <row r="112" spans="3:8">
      <c r="C112" s="1161">
        <v>40</v>
      </c>
      <c r="D112" s="1161">
        <v>19</v>
      </c>
      <c r="E112" s="2202">
        <v>12.632706756043412</v>
      </c>
      <c r="F112" s="2202"/>
      <c r="G112" s="2202">
        <v>12.648956677432052</v>
      </c>
      <c r="H112" s="2202"/>
    </row>
    <row r="113" spans="3:8">
      <c r="C113" s="1161">
        <v>40</v>
      </c>
      <c r="D113" s="1161">
        <v>20</v>
      </c>
      <c r="E113" s="2202">
        <v>12.06685450765274</v>
      </c>
      <c r="F113" s="2202"/>
      <c r="G113" s="2202">
        <v>12.082751939762707</v>
      </c>
      <c r="H113" s="2202"/>
    </row>
    <row r="114" spans="3:8">
      <c r="C114" s="1161">
        <v>40</v>
      </c>
      <c r="D114" s="1161">
        <v>21</v>
      </c>
      <c r="E114" s="2202">
        <v>11.516410373027631</v>
      </c>
      <c r="F114" s="2202"/>
      <c r="G114" s="2202">
        <v>11.531952709310282</v>
      </c>
      <c r="H114" s="2202"/>
    </row>
    <row r="115" spans="3:8">
      <c r="C115" s="1161">
        <v>40</v>
      </c>
      <c r="D115" s="1161">
        <v>22</v>
      </c>
      <c r="E115" s="2202">
        <v>10.980494444611677</v>
      </c>
      <c r="F115" s="2202"/>
      <c r="G115" s="2202">
        <v>10.995680140349863</v>
      </c>
      <c r="H115" s="2202"/>
    </row>
    <row r="116" spans="3:8">
      <c r="C116" s="1161">
        <v>40</v>
      </c>
      <c r="D116" s="1161">
        <v>23</v>
      </c>
      <c r="E116" s="2202">
        <v>10.458363198105644</v>
      </c>
      <c r="F116" s="2202"/>
      <c r="G116" s="2202">
        <v>10.473202636651344</v>
      </c>
      <c r="H116" s="2202"/>
    </row>
    <row r="117" spans="3:8">
      <c r="C117" s="1161">
        <v>40</v>
      </c>
      <c r="D117" s="1161">
        <v>24</v>
      </c>
      <c r="E117" s="2202">
        <v>9.949833422065959</v>
      </c>
      <c r="F117" s="2202"/>
      <c r="G117" s="2202">
        <v>9.964337833460041</v>
      </c>
      <c r="H117" s="2202"/>
    </row>
    <row r="118" spans="3:8">
      <c r="C118" s="1161">
        <v>40</v>
      </c>
      <c r="D118" s="1161">
        <v>25</v>
      </c>
      <c r="E118" s="2202">
        <v>9.4547433316655987</v>
      </c>
      <c r="F118" s="2202"/>
      <c r="G118" s="2202">
        <v>9.4689150447005961</v>
      </c>
      <c r="H118" s="2202"/>
    </row>
    <row r="119" spans="3:8">
      <c r="C119" s="1161">
        <v>41</v>
      </c>
      <c r="D119" s="1161">
        <v>14</v>
      </c>
      <c r="E119" s="2202">
        <v>15.428165286258524</v>
      </c>
      <c r="F119" s="2202"/>
      <c r="G119" s="2202">
        <v>15.446269787714723</v>
      </c>
      <c r="H119" s="2202"/>
    </row>
    <row r="120" spans="3:8">
      <c r="C120" s="1161">
        <v>41</v>
      </c>
      <c r="D120" s="1161">
        <v>15</v>
      </c>
      <c r="E120" s="2202">
        <v>14.775739191077886</v>
      </c>
      <c r="F120" s="2202"/>
      <c r="G120" s="2202">
        <v>14.793521780235025</v>
      </c>
      <c r="H120" s="2202"/>
    </row>
    <row r="121" spans="3:8">
      <c r="C121" s="1161">
        <v>41</v>
      </c>
      <c r="D121" s="1161">
        <v>16</v>
      </c>
      <c r="E121" s="2202">
        <v>14.142661737404257</v>
      </c>
      <c r="F121" s="2202"/>
      <c r="G121" s="2202">
        <v>14.160113649606552</v>
      </c>
      <c r="H121" s="2202"/>
    </row>
    <row r="122" spans="3:8">
      <c r="C122" s="1161">
        <v>41</v>
      </c>
      <c r="D122" s="1161">
        <v>17</v>
      </c>
      <c r="E122" s="2202">
        <v>13.528289508554112</v>
      </c>
      <c r="F122" s="2202"/>
      <c r="G122" s="2202">
        <v>13.54538997838219</v>
      </c>
      <c r="H122" s="2202"/>
    </row>
    <row r="123" spans="3:8">
      <c r="C123" s="1161">
        <v>41</v>
      </c>
      <c r="D123" s="1161">
        <v>18</v>
      </c>
      <c r="E123" s="2202">
        <v>12.931780182133442</v>
      </c>
      <c r="F123" s="2202"/>
      <c r="G123" s="2202">
        <v>12.948524424944496</v>
      </c>
      <c r="H123" s="2202"/>
    </row>
    <row r="124" spans="3:8">
      <c r="C124" s="1161">
        <v>41</v>
      </c>
      <c r="D124" s="1161">
        <v>19</v>
      </c>
      <c r="E124" s="2202">
        <v>12.35215412921524</v>
      </c>
      <c r="F124" s="2202"/>
      <c r="G124" s="2202">
        <v>12.368525870344053</v>
      </c>
      <c r="H124" s="2202"/>
    </row>
    <row r="125" spans="3:8">
      <c r="C125" s="1161">
        <v>41</v>
      </c>
      <c r="D125" s="1161">
        <v>20</v>
      </c>
      <c r="E125" s="2202">
        <v>11.788311362225604</v>
      </c>
      <c r="F125" s="2202"/>
      <c r="G125" s="2202">
        <v>11.804320632353319</v>
      </c>
      <c r="H125" s="2202"/>
    </row>
    <row r="126" spans="3:8">
      <c r="C126" s="1161">
        <v>41</v>
      </c>
      <c r="D126" s="1161">
        <v>21</v>
      </c>
      <c r="E126" s="2202">
        <v>11.239349963777203</v>
      </c>
      <c r="F126" s="2202"/>
      <c r="G126" s="2202">
        <v>11.255006805726961</v>
      </c>
      <c r="H126" s="2202"/>
    </row>
    <row r="127" spans="3:8">
      <c r="C127" s="1161">
        <v>41</v>
      </c>
      <c r="D127" s="1161">
        <v>22</v>
      </c>
      <c r="E127" s="2202">
        <v>10.704518705682247</v>
      </c>
      <c r="F127" s="2202"/>
      <c r="G127" s="2202">
        <v>10.719822278058283</v>
      </c>
      <c r="H127" s="2202"/>
    </row>
    <row r="128" spans="3:8">
      <c r="C128" s="1161">
        <v>41</v>
      </c>
      <c r="D128" s="1161">
        <v>23</v>
      </c>
      <c r="E128" s="2202">
        <v>10.183627910327257</v>
      </c>
      <c r="F128" s="2202"/>
      <c r="G128" s="2202">
        <v>10.198579257617602</v>
      </c>
      <c r="H128" s="2202"/>
    </row>
    <row r="129" spans="3:8">
      <c r="C129" s="1161">
        <v>41</v>
      </c>
      <c r="D129" s="1161">
        <v>24</v>
      </c>
      <c r="E129" s="2203">
        <v>9.66</v>
      </c>
      <c r="F129" s="2204"/>
      <c r="G129" s="2203">
        <v>9.68</v>
      </c>
      <c r="H129" s="2204"/>
    </row>
    <row r="130" spans="3:8">
      <c r="C130" s="1161">
        <v>59</v>
      </c>
      <c r="D130" s="1161">
        <v>0</v>
      </c>
      <c r="E130" s="2202">
        <v>19.673126829870348</v>
      </c>
      <c r="F130" s="2202"/>
      <c r="G130" s="2202">
        <v>19.70446967097509</v>
      </c>
      <c r="H130" s="2202"/>
    </row>
    <row r="131" spans="3:8">
      <c r="C131" s="1161">
        <v>59</v>
      </c>
      <c r="D131" s="1161">
        <v>1</v>
      </c>
      <c r="E131" s="2202">
        <v>18.783091465035188</v>
      </c>
      <c r="F131" s="2202"/>
      <c r="G131" s="2202">
        <v>18.81308608976337</v>
      </c>
      <c r="H131" s="2202"/>
    </row>
    <row r="132" spans="3:8">
      <c r="C132" s="1161">
        <v>59</v>
      </c>
      <c r="D132" s="1161">
        <v>2</v>
      </c>
      <c r="E132" s="2202">
        <v>17.917165991086502</v>
      </c>
      <c r="F132" s="2202"/>
      <c r="G132" s="2202">
        <v>17.945862875667384</v>
      </c>
      <c r="H132" s="2202"/>
    </row>
    <row r="133" spans="3:8">
      <c r="C133" s="1161">
        <v>59</v>
      </c>
      <c r="D133" s="1161">
        <v>3</v>
      </c>
      <c r="E133" s="2202">
        <v>17.073813563370496</v>
      </c>
      <c r="F133" s="2202"/>
      <c r="G133" s="2202">
        <v>17.101279357635097</v>
      </c>
      <c r="H133" s="2202"/>
    </row>
    <row r="134" spans="3:8">
      <c r="C134" s="1161">
        <v>59</v>
      </c>
      <c r="D134" s="1161">
        <v>4</v>
      </c>
      <c r="E134" s="2202">
        <v>16.2517969010662</v>
      </c>
      <c r="F134" s="2202"/>
      <c r="G134" s="2202">
        <v>16.278112508505703</v>
      </c>
      <c r="H134" s="2202"/>
    </row>
    <row r="135" spans="3:8">
      <c r="C135" s="1161">
        <v>59</v>
      </c>
      <c r="D135" s="1161">
        <v>5</v>
      </c>
      <c r="E135" s="2202">
        <v>15.450903646435638</v>
      </c>
      <c r="F135" s="2202"/>
      <c r="G135" s="2202">
        <v>15.476163508652556</v>
      </c>
      <c r="H135" s="2202"/>
    </row>
    <row r="136" spans="3:8">
      <c r="C136" s="1161">
        <v>59</v>
      </c>
      <c r="D136" s="1161">
        <v>6</v>
      </c>
      <c r="E136" s="2202">
        <v>14.67097301679487</v>
      </c>
      <c r="F136" s="2202"/>
      <c r="G136" s="2202">
        <v>14.695283015346643</v>
      </c>
      <c r="H136" s="2202"/>
    </row>
    <row r="137" spans="3:8">
      <c r="C137" s="1161">
        <v>60</v>
      </c>
      <c r="D137" s="1161">
        <v>0</v>
      </c>
      <c r="E137" s="2202">
        <v>19.220951006668756</v>
      </c>
      <c r="F137" s="2202"/>
      <c r="G137" s="2202">
        <v>19.252668751661041</v>
      </c>
      <c r="H137" s="2202"/>
    </row>
    <row r="138" spans="3:8">
      <c r="C138" s="1161">
        <v>60</v>
      </c>
      <c r="D138" s="1161">
        <v>1</v>
      </c>
      <c r="E138" s="2202">
        <v>18.334829758225766</v>
      </c>
      <c r="F138" s="2202"/>
      <c r="G138" s="2202">
        <v>18.365095140863659</v>
      </c>
      <c r="H138" s="2202"/>
    </row>
    <row r="139" spans="3:8">
      <c r="C139" s="1161">
        <v>60</v>
      </c>
      <c r="D139" s="1161">
        <v>2</v>
      </c>
      <c r="E139" s="2202">
        <v>17.471772132527168</v>
      </c>
      <c r="F139" s="2202"/>
      <c r="G139" s="2202">
        <v>17.500658902454788</v>
      </c>
      <c r="H139" s="2202"/>
    </row>
    <row r="140" spans="3:8">
      <c r="C140" s="1161">
        <v>60</v>
      </c>
      <c r="D140" s="1161">
        <v>3</v>
      </c>
      <c r="E140" s="2202">
        <v>16.630495536703311</v>
      </c>
      <c r="F140" s="2202"/>
      <c r="G140" s="2202">
        <v>16.658091823592859</v>
      </c>
      <c r="H140" s="2202"/>
    </row>
    <row r="141" spans="3:8">
      <c r="C141" s="1161">
        <v>60</v>
      </c>
      <c r="D141" s="1161">
        <v>4</v>
      </c>
      <c r="E141" s="2202">
        <v>15.810768605882654</v>
      </c>
      <c r="F141" s="2202"/>
      <c r="G141" s="2202">
        <v>15.83717623759653</v>
      </c>
      <c r="H141" s="2202"/>
    </row>
    <row r="142" spans="3:8">
      <c r="C142" s="1161">
        <v>60</v>
      </c>
      <c r="D142" s="1161">
        <v>5</v>
      </c>
      <c r="E142" s="2202">
        <v>15.012430502750071</v>
      </c>
      <c r="F142" s="2202"/>
      <c r="G142" s="2202">
        <v>15.037747342214729</v>
      </c>
      <c r="H142" s="2202"/>
    </row>
    <row r="143" spans="3:8">
      <c r="C143" s="1161">
        <v>70</v>
      </c>
      <c r="D143" s="1161">
        <v>0</v>
      </c>
      <c r="E143" s="2202">
        <v>14.223643405641875</v>
      </c>
      <c r="F143" s="2202"/>
      <c r="G143" s="2202">
        <v>14.258893456798148</v>
      </c>
      <c r="H143" s="2202"/>
    </row>
    <row r="144" spans="3:8">
      <c r="C144" s="1161">
        <v>71</v>
      </c>
      <c r="D144" s="1161">
        <v>0</v>
      </c>
      <c r="E144" s="2202">
        <v>13.68446233686355</v>
      </c>
      <c r="F144" s="2202"/>
      <c r="G144" s="2202">
        <v>13.719966909053658</v>
      </c>
      <c r="H144" s="2202"/>
    </row>
  </sheetData>
  <mergeCells count="202">
    <mergeCell ref="E138:F138"/>
    <mergeCell ref="G138:H138"/>
    <mergeCell ref="E139:F139"/>
    <mergeCell ref="G139:H139"/>
    <mergeCell ref="E140:F140"/>
    <mergeCell ref="G140:H140"/>
    <mergeCell ref="E144:F144"/>
    <mergeCell ref="G144:H144"/>
    <mergeCell ref="E141:F141"/>
    <mergeCell ref="G141:H141"/>
    <mergeCell ref="E142:F142"/>
    <mergeCell ref="G142:H142"/>
    <mergeCell ref="E143:F143"/>
    <mergeCell ref="G143:H143"/>
    <mergeCell ref="E133:F133"/>
    <mergeCell ref="G133:H133"/>
    <mergeCell ref="E134:F134"/>
    <mergeCell ref="G134:H134"/>
    <mergeCell ref="E135:F135"/>
    <mergeCell ref="G135:H135"/>
    <mergeCell ref="E136:F136"/>
    <mergeCell ref="G136:H136"/>
    <mergeCell ref="E137:F137"/>
    <mergeCell ref="G137:H137"/>
    <mergeCell ref="E128:F128"/>
    <mergeCell ref="G128:H128"/>
    <mergeCell ref="E129:F129"/>
    <mergeCell ref="G129:H129"/>
    <mergeCell ref="E130:F130"/>
    <mergeCell ref="G130:H130"/>
    <mergeCell ref="E131:F131"/>
    <mergeCell ref="G131:H131"/>
    <mergeCell ref="E132:F132"/>
    <mergeCell ref="G132:H132"/>
    <mergeCell ref="E123:F123"/>
    <mergeCell ref="G123:H123"/>
    <mergeCell ref="E124:F124"/>
    <mergeCell ref="G124:H124"/>
    <mergeCell ref="E125:F125"/>
    <mergeCell ref="G125:H125"/>
    <mergeCell ref="E126:F126"/>
    <mergeCell ref="G126:H126"/>
    <mergeCell ref="E127:F127"/>
    <mergeCell ref="G127:H127"/>
    <mergeCell ref="E118:F118"/>
    <mergeCell ref="G118:H118"/>
    <mergeCell ref="E119:F119"/>
    <mergeCell ref="G119:H119"/>
    <mergeCell ref="E120:F120"/>
    <mergeCell ref="G120:H120"/>
    <mergeCell ref="E121:F121"/>
    <mergeCell ref="G121:H121"/>
    <mergeCell ref="E122:F122"/>
    <mergeCell ref="G122:H122"/>
    <mergeCell ref="E113:F113"/>
    <mergeCell ref="G113:H113"/>
    <mergeCell ref="E114:F114"/>
    <mergeCell ref="G114:H114"/>
    <mergeCell ref="E115:F115"/>
    <mergeCell ref="G115:H115"/>
    <mergeCell ref="E116:F116"/>
    <mergeCell ref="G116:H116"/>
    <mergeCell ref="E117:F117"/>
    <mergeCell ref="G117:H117"/>
    <mergeCell ref="E108:F108"/>
    <mergeCell ref="G108:H108"/>
    <mergeCell ref="E109:F109"/>
    <mergeCell ref="G109:H109"/>
    <mergeCell ref="E110:F110"/>
    <mergeCell ref="G110:H110"/>
    <mergeCell ref="E111:F111"/>
    <mergeCell ref="G111:H111"/>
    <mergeCell ref="E112:F112"/>
    <mergeCell ref="G112:H112"/>
    <mergeCell ref="E103:F103"/>
    <mergeCell ref="G103:H103"/>
    <mergeCell ref="E104:F104"/>
    <mergeCell ref="G104:H104"/>
    <mergeCell ref="E105:F105"/>
    <mergeCell ref="G105:H105"/>
    <mergeCell ref="E106:F106"/>
    <mergeCell ref="G106:H106"/>
    <mergeCell ref="E107:F107"/>
    <mergeCell ref="G107:H107"/>
    <mergeCell ref="E98:F98"/>
    <mergeCell ref="G98:H98"/>
    <mergeCell ref="E99:F99"/>
    <mergeCell ref="G99:H99"/>
    <mergeCell ref="E100:F100"/>
    <mergeCell ref="G100:H100"/>
    <mergeCell ref="E101:F101"/>
    <mergeCell ref="G101:H101"/>
    <mergeCell ref="E102:F102"/>
    <mergeCell ref="G102:H102"/>
    <mergeCell ref="E93:F93"/>
    <mergeCell ref="G93:H93"/>
    <mergeCell ref="E94:F94"/>
    <mergeCell ref="G94:H94"/>
    <mergeCell ref="E95:F95"/>
    <mergeCell ref="G95:H95"/>
    <mergeCell ref="E96:F96"/>
    <mergeCell ref="G96:H96"/>
    <mergeCell ref="E97:F97"/>
    <mergeCell ref="G97:H97"/>
    <mergeCell ref="E88:F88"/>
    <mergeCell ref="G88:H88"/>
    <mergeCell ref="E89:F89"/>
    <mergeCell ref="G89:H89"/>
    <mergeCell ref="E90:F90"/>
    <mergeCell ref="G90:H90"/>
    <mergeCell ref="E91:F91"/>
    <mergeCell ref="G91:H91"/>
    <mergeCell ref="E92:F92"/>
    <mergeCell ref="G92:H92"/>
    <mergeCell ref="C84:C85"/>
    <mergeCell ref="D84:D85"/>
    <mergeCell ref="E84:H84"/>
    <mergeCell ref="E85:F85"/>
    <mergeCell ref="G85:H85"/>
    <mergeCell ref="E86:F86"/>
    <mergeCell ref="G86:H86"/>
    <mergeCell ref="E87:F87"/>
    <mergeCell ref="G87:H87"/>
    <mergeCell ref="K75:K76"/>
    <mergeCell ref="C80:C81"/>
    <mergeCell ref="D80:D81"/>
    <mergeCell ref="E80:E81"/>
    <mergeCell ref="F80:F81"/>
    <mergeCell ref="G80:G81"/>
    <mergeCell ref="H80:H81"/>
    <mergeCell ref="I80:I81"/>
    <mergeCell ref="J80:J81"/>
    <mergeCell ref="K80:K81"/>
    <mergeCell ref="C70:E72"/>
    <mergeCell ref="F70:J72"/>
    <mergeCell ref="C75:C76"/>
    <mergeCell ref="D75:D76"/>
    <mergeCell ref="E75:E76"/>
    <mergeCell ref="F75:F76"/>
    <mergeCell ref="G75:G76"/>
    <mergeCell ref="H75:H76"/>
    <mergeCell ref="I75:I76"/>
    <mergeCell ref="J75:J76"/>
    <mergeCell ref="C61:E61"/>
    <mergeCell ref="F61:J61"/>
    <mergeCell ref="C64:E64"/>
    <mergeCell ref="F64:J64"/>
    <mergeCell ref="C65:E69"/>
    <mergeCell ref="F65:J69"/>
    <mergeCell ref="C56:E60"/>
    <mergeCell ref="F56:G56"/>
    <mergeCell ref="H56:J56"/>
    <mergeCell ref="F60:G60"/>
    <mergeCell ref="F53:G53"/>
    <mergeCell ref="H53:J53"/>
    <mergeCell ref="F54:G54"/>
    <mergeCell ref="H54:J54"/>
    <mergeCell ref="F55:G55"/>
    <mergeCell ref="H55:J55"/>
    <mergeCell ref="F57:G57"/>
    <mergeCell ref="H57:J57"/>
    <mergeCell ref="F58:G58"/>
    <mergeCell ref="H58:J58"/>
    <mergeCell ref="F59:G59"/>
    <mergeCell ref="H59:J59"/>
    <mergeCell ref="H60:J60"/>
    <mergeCell ref="C48:E49"/>
    <mergeCell ref="F48:J49"/>
    <mergeCell ref="C50:E50"/>
    <mergeCell ref="F50:J50"/>
    <mergeCell ref="C51:E55"/>
    <mergeCell ref="F51:G51"/>
    <mergeCell ref="H51:J51"/>
    <mergeCell ref="F52:G52"/>
    <mergeCell ref="H52:J52"/>
    <mergeCell ref="C35:J35"/>
    <mergeCell ref="C36:E37"/>
    <mergeCell ref="F36:J37"/>
    <mergeCell ref="C38:E39"/>
    <mergeCell ref="F38:J39"/>
    <mergeCell ref="C40:J40"/>
    <mergeCell ref="C43:E44"/>
    <mergeCell ref="F43:J44"/>
    <mergeCell ref="C47:E47"/>
    <mergeCell ref="C21:E21"/>
    <mergeCell ref="F21:J21"/>
    <mergeCell ref="C22:E25"/>
    <mergeCell ref="F22:J25"/>
    <mergeCell ref="C26:E28"/>
    <mergeCell ref="F26:J28"/>
    <mergeCell ref="C29:E29"/>
    <mergeCell ref="F29:J29"/>
    <mergeCell ref="C32:J32"/>
    <mergeCell ref="D10:J10"/>
    <mergeCell ref="C15:E15"/>
    <mergeCell ref="F15:J15"/>
    <mergeCell ref="C16:E17"/>
    <mergeCell ref="F16:J17"/>
    <mergeCell ref="C18:E19"/>
    <mergeCell ref="F18:J19"/>
    <mergeCell ref="C20:E20"/>
    <mergeCell ref="F20:J20"/>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526EE-878D-4236-BB31-8D27F86E28DB}">
  <dimension ref="A1:V93"/>
  <sheetViews>
    <sheetView zoomScale="85" zoomScaleNormal="85" workbookViewId="0"/>
  </sheetViews>
  <sheetFormatPr defaultRowHeight="15.6"/>
  <cols>
    <col min="1" max="1" width="3.6640625" style="225" customWidth="1"/>
    <col min="2" max="2" width="47" style="225" customWidth="1"/>
    <col min="3" max="6" width="16.6640625" style="225" customWidth="1"/>
    <col min="7" max="7" width="4" style="225" customWidth="1"/>
    <col min="8" max="8" width="2.6640625" style="225" customWidth="1"/>
    <col min="9" max="9" width="1" style="1031" customWidth="1"/>
    <col min="10" max="10" width="4.6640625" style="1152" customWidth="1"/>
    <col min="11" max="11" width="12" style="1152" customWidth="1"/>
    <col min="12" max="12" width="17.33203125" style="1152" customWidth="1"/>
    <col min="13" max="13" width="13.44140625" style="1152" customWidth="1"/>
    <col min="14" max="14" width="12.5546875" style="1152" bestFit="1" customWidth="1"/>
    <col min="15" max="15" width="15" style="1152" customWidth="1"/>
    <col min="16" max="16" width="8.88671875" style="1152"/>
    <col min="17" max="17" width="11" style="1152" customWidth="1"/>
    <col min="18" max="18" width="8.88671875" style="1152"/>
    <col min="19" max="19" width="14.6640625" style="1152" customWidth="1"/>
    <col min="20" max="20" width="12.44140625" style="1152" customWidth="1"/>
    <col min="21" max="21" width="7.6640625" style="1152" customWidth="1"/>
    <col min="22" max="22" width="1" style="1031" customWidth="1"/>
  </cols>
  <sheetData>
    <row r="1" spans="1:21">
      <c r="A1" s="256" t="s">
        <v>1713</v>
      </c>
      <c r="J1" s="256" t="s">
        <v>1713</v>
      </c>
      <c r="K1" s="225"/>
      <c r="L1" s="225"/>
      <c r="M1" s="225"/>
      <c r="N1" s="225"/>
      <c r="O1" s="225"/>
      <c r="P1" s="225"/>
      <c r="Q1" s="225"/>
      <c r="R1" s="225"/>
      <c r="S1" s="225"/>
      <c r="T1" s="225"/>
      <c r="U1" s="225"/>
    </row>
    <row r="2" spans="1:21">
      <c r="A2" s="256" t="s">
        <v>1433</v>
      </c>
      <c r="J2" s="256" t="s">
        <v>1433</v>
      </c>
      <c r="K2" s="225"/>
      <c r="L2" s="225"/>
      <c r="M2" s="225"/>
      <c r="N2" s="225"/>
      <c r="O2" s="225"/>
      <c r="P2" s="225"/>
      <c r="Q2" s="225"/>
      <c r="R2" s="225"/>
      <c r="S2" s="225"/>
      <c r="T2" s="225"/>
      <c r="U2" s="225"/>
    </row>
    <row r="3" spans="1:21">
      <c r="A3" s="256" t="s">
        <v>569</v>
      </c>
      <c r="J3" s="256" t="s">
        <v>569</v>
      </c>
      <c r="K3" s="225"/>
      <c r="L3" s="225"/>
      <c r="M3" s="225"/>
      <c r="N3" s="225"/>
      <c r="O3" s="225"/>
      <c r="P3" s="225"/>
      <c r="Q3" s="225"/>
      <c r="R3" s="225"/>
      <c r="S3" s="225"/>
      <c r="T3" s="225"/>
      <c r="U3" s="225"/>
    </row>
    <row r="4" spans="1:21">
      <c r="J4" s="225"/>
      <c r="K4" s="225"/>
      <c r="L4" s="225"/>
      <c r="M4" s="225"/>
      <c r="N4" s="225"/>
      <c r="O4" s="225"/>
      <c r="P4" s="225"/>
      <c r="Q4" s="225"/>
      <c r="R4" s="225"/>
      <c r="S4" s="225"/>
      <c r="T4" s="225"/>
      <c r="U4" s="225"/>
    </row>
    <row r="5" spans="1:21" ht="16.2" customHeight="1">
      <c r="A5" s="2205" t="s">
        <v>1712</v>
      </c>
      <c r="B5" s="2205"/>
      <c r="C5" s="2205"/>
      <c r="D5" s="2205"/>
      <c r="E5" s="2205"/>
      <c r="F5" s="2205"/>
      <c r="G5" s="1189"/>
      <c r="H5" s="1189"/>
      <c r="J5" s="1074" t="s">
        <v>1431</v>
      </c>
      <c r="K5" s="225"/>
      <c r="L5" s="225"/>
      <c r="M5" s="225"/>
      <c r="N5" s="225"/>
      <c r="O5" s="225"/>
      <c r="P5" s="225"/>
      <c r="Q5" s="225"/>
      <c r="R5" s="225"/>
      <c r="S5" s="225"/>
      <c r="T5" s="225"/>
      <c r="U5" s="225"/>
    </row>
    <row r="6" spans="1:21">
      <c r="A6" s="2205"/>
      <c r="B6" s="2205"/>
      <c r="C6" s="2205"/>
      <c r="D6" s="2205"/>
      <c r="E6" s="2205"/>
      <c r="F6" s="2205"/>
      <c r="G6" s="1189"/>
      <c r="H6" s="1189"/>
      <c r="J6" s="225"/>
      <c r="K6" s="225"/>
      <c r="L6" s="225"/>
      <c r="M6" s="225"/>
      <c r="N6" s="225"/>
      <c r="O6" s="225"/>
      <c r="P6" s="225"/>
      <c r="Q6" s="225"/>
      <c r="R6" s="225"/>
      <c r="S6" s="225"/>
      <c r="T6" s="225"/>
      <c r="U6" s="225"/>
    </row>
    <row r="7" spans="1:21" ht="15.6" customHeight="1">
      <c r="A7" s="1189"/>
      <c r="B7" s="1189"/>
      <c r="C7" s="1189"/>
      <c r="D7" s="1189"/>
      <c r="E7" s="1189"/>
      <c r="F7" s="1189"/>
      <c r="G7" s="1189"/>
      <c r="H7" s="1189"/>
      <c r="J7" s="225" t="s">
        <v>34</v>
      </c>
      <c r="K7" s="2009" t="s">
        <v>1711</v>
      </c>
      <c r="L7" s="2009"/>
      <c r="M7" s="2009"/>
      <c r="N7" s="2009"/>
      <c r="O7" s="2009"/>
      <c r="P7" s="2009"/>
      <c r="Q7" s="2009"/>
      <c r="R7" s="2009"/>
      <c r="S7" s="2009"/>
      <c r="T7" s="2009"/>
      <c r="U7" s="2009"/>
    </row>
    <row r="8" spans="1:21" ht="15.6" customHeight="1">
      <c r="A8" s="225" t="s">
        <v>1710</v>
      </c>
      <c r="B8" s="1189"/>
      <c r="C8" s="1189"/>
      <c r="D8" s="1189"/>
      <c r="E8" s="1189"/>
      <c r="F8" s="1189"/>
      <c r="G8" s="1189"/>
      <c r="H8" s="1189"/>
      <c r="J8" s="225"/>
      <c r="K8" s="2009"/>
      <c r="L8" s="2009"/>
      <c r="M8" s="2009"/>
      <c r="N8" s="2009"/>
      <c r="O8" s="2009"/>
      <c r="P8" s="2009"/>
      <c r="Q8" s="2009"/>
      <c r="R8" s="2009"/>
      <c r="S8" s="2009"/>
      <c r="T8" s="2009"/>
      <c r="U8" s="2009"/>
    </row>
    <row r="9" spans="1:21" ht="15.75" customHeight="1">
      <c r="B9" s="1189"/>
      <c r="C9" s="1189"/>
      <c r="D9" s="1189"/>
      <c r="E9" s="1189"/>
      <c r="F9" s="1189"/>
      <c r="G9" s="1189"/>
      <c r="H9" s="1189"/>
      <c r="J9" s="225"/>
      <c r="K9" s="2009"/>
      <c r="L9" s="2009"/>
      <c r="M9" s="2009"/>
      <c r="N9" s="2009"/>
      <c r="O9" s="2009"/>
      <c r="P9" s="2009"/>
      <c r="Q9" s="2009"/>
      <c r="R9" s="2009"/>
      <c r="S9" s="2009"/>
      <c r="T9" s="2009"/>
      <c r="U9" s="2009"/>
    </row>
    <row r="10" spans="1:21" ht="15.75" customHeight="1">
      <c r="A10" s="1195" t="s">
        <v>1709</v>
      </c>
      <c r="B10" s="1189"/>
      <c r="C10" s="1189"/>
      <c r="D10" s="1189"/>
      <c r="E10" s="1189"/>
      <c r="F10" s="1189"/>
      <c r="G10" s="1189"/>
      <c r="H10" s="1189"/>
      <c r="J10" s="225"/>
      <c r="K10" s="2009"/>
      <c r="L10" s="2009"/>
      <c r="M10" s="2009"/>
      <c r="N10" s="2009"/>
      <c r="O10" s="2009"/>
      <c r="P10" s="2009"/>
      <c r="Q10" s="2009"/>
      <c r="R10" s="2009"/>
      <c r="S10" s="2009"/>
      <c r="T10" s="2009"/>
      <c r="U10" s="2009"/>
    </row>
    <row r="11" spans="1:21">
      <c r="A11" s="1195"/>
      <c r="B11" s="1189"/>
      <c r="C11" s="1189"/>
      <c r="D11" s="1189"/>
      <c r="E11" s="1189"/>
      <c r="F11" s="1189"/>
      <c r="G11" s="1189"/>
      <c r="H11" s="1189"/>
      <c r="J11" s="225"/>
      <c r="K11" s="2009"/>
      <c r="L11" s="2009"/>
      <c r="M11" s="2009"/>
      <c r="N11" s="2009"/>
      <c r="O11" s="2009"/>
      <c r="P11" s="2009"/>
      <c r="Q11" s="2009"/>
      <c r="R11" s="2009"/>
      <c r="S11" s="2009"/>
      <c r="T11" s="2009"/>
      <c r="U11" s="2009"/>
    </row>
    <row r="12" spans="1:21" ht="15" customHeight="1">
      <c r="A12" s="1195" t="s">
        <v>1708</v>
      </c>
      <c r="B12" s="1189"/>
      <c r="C12" s="1189"/>
      <c r="D12" s="1189"/>
      <c r="E12" s="1189"/>
      <c r="F12" s="1189"/>
      <c r="G12" s="1189"/>
      <c r="H12" s="1189"/>
      <c r="J12" s="225"/>
      <c r="K12" s="1070"/>
      <c r="L12" s="1070"/>
      <c r="M12" s="1070"/>
      <c r="N12" s="1070"/>
      <c r="O12" s="1070"/>
      <c r="P12" s="1070"/>
      <c r="Q12" s="1070"/>
      <c r="R12" s="1070"/>
      <c r="S12" s="1070"/>
      <c r="T12" s="1070"/>
      <c r="U12" s="1070"/>
    </row>
    <row r="13" spans="1:21" ht="15" customHeight="1">
      <c r="A13" s="1195"/>
      <c r="B13" s="1189"/>
      <c r="C13" s="1189"/>
      <c r="D13" s="1189"/>
      <c r="E13" s="1189"/>
      <c r="F13" s="1189"/>
      <c r="G13" s="1189"/>
      <c r="H13" s="1189"/>
      <c r="J13" s="1070"/>
      <c r="K13" s="1069" t="s">
        <v>1426</v>
      </c>
      <c r="L13" s="1070"/>
      <c r="M13" s="1070"/>
      <c r="N13" s="1070"/>
      <c r="O13" s="1070"/>
      <c r="P13" s="1070"/>
      <c r="Q13" s="1070"/>
      <c r="R13" s="1070"/>
      <c r="S13" s="1070"/>
      <c r="T13" s="1070"/>
      <c r="U13" s="1070"/>
    </row>
    <row r="14" spans="1:21" ht="15.6" customHeight="1">
      <c r="A14" s="1073" t="s">
        <v>1628</v>
      </c>
      <c r="B14" s="1194"/>
      <c r="C14" s="1194"/>
      <c r="D14" s="1194"/>
      <c r="E14" s="1189"/>
      <c r="F14" s="1189"/>
      <c r="G14" s="1189"/>
      <c r="H14" s="1189"/>
      <c r="J14" s="1070"/>
      <c r="K14" s="1069"/>
      <c r="L14" s="1070"/>
      <c r="M14" s="1070"/>
      <c r="N14" s="1070"/>
      <c r="O14" s="1070"/>
      <c r="P14" s="1070"/>
      <c r="Q14" s="1070"/>
      <c r="R14" s="1070"/>
      <c r="S14" s="1070"/>
      <c r="T14" s="1070"/>
      <c r="U14" s="1070"/>
    </row>
    <row r="15" spans="1:21" ht="15.6" customHeight="1">
      <c r="A15" s="1194"/>
      <c r="B15" s="1194"/>
      <c r="C15" s="1194"/>
      <c r="D15" s="1194"/>
      <c r="E15" s="1189"/>
      <c r="F15" s="1189"/>
      <c r="G15" s="1189"/>
      <c r="H15" s="1189"/>
    </row>
    <row r="16" spans="1:21">
      <c r="A16" s="1194"/>
      <c r="B16" s="1150" t="s">
        <v>322</v>
      </c>
      <c r="C16" s="1193">
        <v>1</v>
      </c>
      <c r="D16" s="1193">
        <v>2</v>
      </c>
      <c r="E16" s="1193">
        <v>3</v>
      </c>
      <c r="F16" s="1193">
        <v>4</v>
      </c>
      <c r="G16" s="1189"/>
      <c r="H16" s="1189"/>
    </row>
    <row r="17" spans="1:12" ht="15.6" customHeight="1">
      <c r="A17" s="1189"/>
      <c r="B17" s="1150" t="s">
        <v>1707</v>
      </c>
      <c r="C17" s="1192">
        <v>200000</v>
      </c>
      <c r="D17" s="1192">
        <v>220000</v>
      </c>
      <c r="E17" s="1192">
        <v>230000</v>
      </c>
      <c r="F17" s="1192">
        <v>250000</v>
      </c>
      <c r="G17" s="1189"/>
      <c r="H17" s="1189"/>
      <c r="L17" s="1154"/>
    </row>
    <row r="18" spans="1:12">
      <c r="A18" s="1189"/>
      <c r="B18" s="1150" t="s">
        <v>1706</v>
      </c>
      <c r="C18" s="1191">
        <v>0.04</v>
      </c>
      <c r="D18" s="1191">
        <v>0.06</v>
      </c>
      <c r="E18" s="1191">
        <v>-0.02</v>
      </c>
      <c r="F18" s="1191">
        <v>0.05</v>
      </c>
      <c r="G18" s="1189"/>
      <c r="H18" s="1189"/>
    </row>
    <row r="19" spans="1:12" ht="15.6" customHeight="1">
      <c r="A19" s="1189"/>
      <c r="B19" s="1189"/>
      <c r="C19" s="1189"/>
      <c r="D19" s="1189"/>
      <c r="E19" s="1189"/>
      <c r="F19" s="1189"/>
      <c r="G19" s="1189"/>
      <c r="H19" s="1189"/>
    </row>
    <row r="20" spans="1:12" ht="15.6" customHeight="1">
      <c r="A20" s="225" t="s">
        <v>1705</v>
      </c>
      <c r="B20" s="1189"/>
      <c r="C20" s="1189"/>
      <c r="D20" s="1189"/>
      <c r="E20" s="1189"/>
      <c r="F20" s="1189"/>
      <c r="G20" s="1189"/>
      <c r="H20" s="1189"/>
    </row>
    <row r="21" spans="1:12">
      <c r="A21" s="1190"/>
      <c r="B21" s="1189"/>
      <c r="C21" s="1189"/>
      <c r="D21" s="1189"/>
      <c r="E21" s="1189"/>
      <c r="F21" s="1189"/>
      <c r="G21" s="1189"/>
      <c r="H21" s="1189"/>
    </row>
    <row r="22" spans="1:12">
      <c r="A22" s="2206" t="s">
        <v>1704</v>
      </c>
      <c r="B22" s="2206"/>
      <c r="C22" s="2206"/>
      <c r="D22" s="2206"/>
      <c r="E22" s="2206"/>
      <c r="F22" s="2206"/>
      <c r="G22" s="1189"/>
      <c r="H22" s="1189"/>
    </row>
    <row r="23" spans="1:12" ht="15.6" customHeight="1">
      <c r="A23" s="2206"/>
      <c r="B23" s="2206"/>
      <c r="C23" s="2206"/>
      <c r="D23" s="2206"/>
      <c r="E23" s="2206"/>
      <c r="F23" s="2206"/>
      <c r="G23" s="1189"/>
      <c r="H23" s="1189"/>
    </row>
    <row r="24" spans="1:12" ht="15.6" customHeight="1">
      <c r="A24" s="1189"/>
      <c r="B24" s="1189"/>
      <c r="C24" s="1189"/>
      <c r="D24" s="1189"/>
      <c r="E24" s="1189"/>
      <c r="F24" s="1189"/>
      <c r="G24" s="1189"/>
      <c r="H24" s="1189"/>
      <c r="K24" s="1185"/>
    </row>
    <row r="25" spans="1:12">
      <c r="A25" s="225" t="s">
        <v>34</v>
      </c>
      <c r="B25" s="2009" t="s">
        <v>1703</v>
      </c>
      <c r="C25" s="2009"/>
      <c r="D25" s="2009"/>
      <c r="E25" s="2009"/>
      <c r="F25" s="1070"/>
      <c r="K25" s="1172"/>
    </row>
    <row r="26" spans="1:12" ht="15.75" customHeight="1">
      <c r="A26" s="1070"/>
      <c r="B26" s="2009"/>
      <c r="C26" s="2009"/>
      <c r="D26" s="2009"/>
      <c r="E26" s="2009"/>
      <c r="F26" s="1070"/>
      <c r="K26" s="1172"/>
    </row>
    <row r="27" spans="1:12">
      <c r="A27" s="1070"/>
      <c r="B27" s="2009"/>
      <c r="C27" s="2009"/>
      <c r="D27" s="2009"/>
      <c r="E27" s="2009"/>
      <c r="F27" s="1070"/>
      <c r="K27" s="1172"/>
    </row>
    <row r="28" spans="1:12">
      <c r="A28" s="1070"/>
      <c r="B28" s="2009"/>
      <c r="C28" s="2009"/>
      <c r="D28" s="2009"/>
      <c r="E28" s="2009"/>
      <c r="F28" s="1070"/>
    </row>
    <row r="29" spans="1:12">
      <c r="A29" s="1070"/>
      <c r="B29" s="2009"/>
      <c r="C29" s="2009"/>
      <c r="D29" s="2009"/>
      <c r="E29" s="2009"/>
      <c r="F29" s="1070"/>
    </row>
    <row r="30" spans="1:12">
      <c r="A30" s="1070"/>
      <c r="B30" s="2009"/>
      <c r="C30" s="2009"/>
      <c r="D30" s="2009"/>
      <c r="E30" s="2009"/>
      <c r="F30" s="1070"/>
    </row>
    <row r="31" spans="1:12">
      <c r="A31" s="1070"/>
      <c r="B31" s="2009"/>
      <c r="C31" s="2009"/>
      <c r="D31" s="2009"/>
      <c r="E31" s="2009"/>
      <c r="F31" s="1070"/>
      <c r="K31" s="1185"/>
    </row>
    <row r="32" spans="1:12">
      <c r="B32" s="1069" t="s">
        <v>1426</v>
      </c>
    </row>
    <row r="33" spans="2:13" ht="16.2">
      <c r="B33" s="1188" t="s">
        <v>1395</v>
      </c>
    </row>
    <row r="34" spans="2:13">
      <c r="K34" s="1187"/>
    </row>
    <row r="35" spans="2:13">
      <c r="K35" s="1187"/>
    </row>
    <row r="36" spans="2:13">
      <c r="K36" s="1185"/>
      <c r="M36" s="1182"/>
    </row>
    <row r="37" spans="2:13">
      <c r="K37" s="1185"/>
    </row>
    <row r="38" spans="2:13">
      <c r="K38" s="1185"/>
    </row>
    <row r="39" spans="2:13">
      <c r="K39" s="1187"/>
    </row>
    <row r="40" spans="2:13">
      <c r="K40" s="1185"/>
    </row>
    <row r="41" spans="2:13">
      <c r="K41" s="1185"/>
    </row>
    <row r="42" spans="2:13">
      <c r="K42" s="1185"/>
    </row>
    <row r="43" spans="2:13">
      <c r="K43" s="1187"/>
    </row>
    <row r="44" spans="2:13">
      <c r="K44" s="1185"/>
    </row>
    <row r="45" spans="2:13">
      <c r="K45" s="1185"/>
    </row>
    <row r="46" spans="2:13">
      <c r="K46" s="1187"/>
    </row>
    <row r="47" spans="2:13">
      <c r="K47" s="1187"/>
    </row>
    <row r="48" spans="2:13">
      <c r="K48" s="1187"/>
    </row>
    <row r="56" spans="13:13">
      <c r="M56" s="1185"/>
    </row>
    <row r="58" spans="13:13">
      <c r="M58" s="1185"/>
    </row>
    <row r="59" spans="13:13">
      <c r="M59" s="1185"/>
    </row>
    <row r="62" spans="13:13">
      <c r="M62" s="1178"/>
    </row>
    <row r="63" spans="13:13">
      <c r="M63" s="1185"/>
    </row>
    <row r="65" spans="11:15">
      <c r="M65" s="1182"/>
    </row>
    <row r="66" spans="11:15">
      <c r="M66" s="1186"/>
    </row>
    <row r="67" spans="11:15">
      <c r="L67" s="1185"/>
    </row>
    <row r="68" spans="11:15">
      <c r="L68" s="1185"/>
    </row>
    <row r="70" spans="11:15">
      <c r="L70" s="1184"/>
      <c r="M70" s="1183"/>
      <c r="O70" s="1183"/>
    </row>
    <row r="71" spans="11:15">
      <c r="L71" s="1182"/>
      <c r="M71" s="1182"/>
      <c r="N71" s="1178"/>
      <c r="O71" s="1182"/>
    </row>
    <row r="72" spans="11:15">
      <c r="L72" s="1182"/>
      <c r="M72" s="1182"/>
      <c r="N72" s="1178"/>
      <c r="O72" s="1182"/>
    </row>
    <row r="73" spans="11:15">
      <c r="L73" s="1182"/>
      <c r="M73" s="1182"/>
      <c r="N73" s="1178"/>
      <c r="O73" s="1182"/>
    </row>
    <row r="74" spans="11:15">
      <c r="L74" s="1181"/>
      <c r="M74" s="1181"/>
      <c r="N74" s="1181"/>
      <c r="O74" s="1181"/>
    </row>
    <row r="79" spans="11:15">
      <c r="K79" s="1180"/>
    </row>
    <row r="81" spans="10:15">
      <c r="K81" s="1172"/>
    </row>
    <row r="82" spans="10:15">
      <c r="K82" s="1172"/>
    </row>
    <row r="83" spans="10:15">
      <c r="K83" s="1172"/>
    </row>
    <row r="84" spans="10:15">
      <c r="K84" s="1172"/>
    </row>
    <row r="85" spans="10:15">
      <c r="L85" s="1179"/>
    </row>
    <row r="88" spans="10:15">
      <c r="K88" s="1178"/>
      <c r="M88" s="1177"/>
      <c r="N88" s="1177"/>
      <c r="O88" s="1176"/>
    </row>
    <row r="89" spans="10:15">
      <c r="M89" s="1172"/>
      <c r="N89" s="1175"/>
      <c r="O89" s="1172"/>
    </row>
    <row r="90" spans="10:15">
      <c r="M90" s="1172"/>
      <c r="N90" s="1175"/>
      <c r="O90" s="1172"/>
    </row>
    <row r="91" spans="10:15">
      <c r="M91" s="1174"/>
      <c r="N91" s="1173"/>
      <c r="O91" s="1172"/>
    </row>
    <row r="92" spans="10:15">
      <c r="M92" s="1172"/>
      <c r="N92" s="1172"/>
      <c r="O92" s="1172"/>
    </row>
    <row r="93" spans="10:15">
      <c r="J93" s="1171"/>
    </row>
  </sheetData>
  <sheetProtection algorithmName="SHA-512" hashValue="57/eBNbA2SfCowQOqUYwHql1n+3efy1vK5j/gHyWGaDSpui7UmvyXTZWSR30Lo/IffOtI/bfjzE3iwKAlsnEig==" saltValue="3tH4hxyNReKkmeRj408qpA==" spinCount="100000" sheet="1" objects="1" scenarios="1" formatCells="0" formatColumns="0" formatRows="0" insertColumns="0" insertRows="0"/>
  <mergeCells count="4">
    <mergeCell ref="A5:F6"/>
    <mergeCell ref="K7:U11"/>
    <mergeCell ref="A22:F23"/>
    <mergeCell ref="B25:E3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C453-19E5-49C6-A3B1-45283C7CD971}">
  <sheetPr>
    <tabColor theme="1"/>
  </sheetPr>
  <dimension ref="A1"/>
  <sheetViews>
    <sheetView workbookViewId="0"/>
  </sheetViews>
  <sheetFormatPr defaultRowHeight="14.4"/>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FDB66-3C5B-486D-A827-83BC3AB4FE1B}">
  <dimension ref="A1:Z56"/>
  <sheetViews>
    <sheetView zoomScale="80" zoomScaleNormal="80" zoomScaleSheetLayoutView="100" workbookViewId="0"/>
  </sheetViews>
  <sheetFormatPr defaultColWidth="9.33203125" defaultRowHeight="15.6"/>
  <cols>
    <col min="1" max="1" width="3.6640625" style="225" customWidth="1"/>
    <col min="2" max="2" width="39" style="225" customWidth="1"/>
    <col min="3" max="6" width="15.5546875" style="225" customWidth="1"/>
    <col min="7" max="7" width="10" style="225" bestFit="1" customWidth="1"/>
    <col min="8" max="8" width="6.88671875" style="225" bestFit="1" customWidth="1"/>
    <col min="9" max="9" width="10" style="225" bestFit="1" customWidth="1"/>
    <col min="10" max="10" width="6.88671875" style="225" bestFit="1" customWidth="1"/>
    <col min="11" max="11" width="10" style="225" bestFit="1" customWidth="1"/>
    <col min="12" max="12" width="2.6640625" style="225" customWidth="1"/>
    <col min="13" max="13" width="1" style="1031" customWidth="1"/>
    <col min="14" max="14" width="4" style="1030" customWidth="1"/>
    <col min="15" max="16" width="9.44140625" style="1030" customWidth="1"/>
    <col min="17" max="24" width="14.5546875" style="1030" customWidth="1"/>
    <col min="25" max="25" width="10.109375" style="1030" customWidth="1"/>
    <col min="26" max="26" width="1" style="1067" customWidth="1"/>
    <col min="27" max="16384" width="9.33203125" style="1030"/>
  </cols>
  <sheetData>
    <row r="1" spans="1:25">
      <c r="A1" s="256" t="s">
        <v>1713</v>
      </c>
      <c r="N1" s="256" t="s">
        <v>1713</v>
      </c>
      <c r="O1" s="225"/>
      <c r="P1" s="225"/>
      <c r="Q1" s="225"/>
      <c r="R1" s="225"/>
      <c r="S1" s="225"/>
      <c r="T1" s="225"/>
      <c r="U1" s="225"/>
      <c r="V1" s="225"/>
      <c r="W1" s="225"/>
      <c r="X1" s="225"/>
      <c r="Y1" s="225"/>
    </row>
    <row r="2" spans="1:25">
      <c r="A2" s="256" t="s">
        <v>1433</v>
      </c>
      <c r="N2" s="256" t="s">
        <v>1433</v>
      </c>
      <c r="O2" s="225"/>
      <c r="P2" s="225"/>
      <c r="Q2" s="225"/>
      <c r="R2" s="225"/>
      <c r="S2" s="225"/>
      <c r="T2" s="225"/>
      <c r="U2" s="225"/>
      <c r="V2" s="225"/>
      <c r="W2" s="225"/>
      <c r="X2" s="225"/>
      <c r="Y2" s="225"/>
    </row>
    <row r="3" spans="1:25">
      <c r="A3" s="256" t="s">
        <v>569</v>
      </c>
      <c r="N3" s="256" t="s">
        <v>569</v>
      </c>
      <c r="O3" s="225"/>
      <c r="P3" s="225"/>
      <c r="Q3" s="225"/>
      <c r="R3" s="225"/>
      <c r="S3" s="225"/>
      <c r="T3" s="225"/>
      <c r="U3" s="225"/>
      <c r="V3" s="225"/>
      <c r="W3" s="225"/>
      <c r="X3" s="225"/>
      <c r="Y3" s="225"/>
    </row>
    <row r="4" spans="1:25">
      <c r="N4" s="225"/>
      <c r="O4" s="225"/>
      <c r="P4" s="225"/>
      <c r="Q4" s="225"/>
      <c r="R4" s="225"/>
      <c r="S4" s="225"/>
      <c r="T4" s="225"/>
      <c r="U4" s="225"/>
      <c r="V4" s="225"/>
      <c r="W4" s="225"/>
      <c r="X4" s="225"/>
      <c r="Y4" s="225"/>
    </row>
    <row r="5" spans="1:25" ht="16.2">
      <c r="A5" s="1074" t="s">
        <v>1467</v>
      </c>
      <c r="N5" s="1074" t="s">
        <v>1466</v>
      </c>
      <c r="O5" s="225"/>
      <c r="P5" s="225"/>
      <c r="Q5" s="225"/>
      <c r="R5" s="225"/>
      <c r="S5" s="225"/>
      <c r="T5" s="225"/>
      <c r="U5" s="225"/>
      <c r="V5" s="225"/>
      <c r="W5" s="225"/>
      <c r="X5" s="225"/>
      <c r="Y5" s="225"/>
    </row>
    <row r="6" spans="1:25">
      <c r="A6" s="237"/>
      <c r="N6" s="225"/>
      <c r="O6" s="225"/>
      <c r="P6" s="225"/>
      <c r="Q6" s="225"/>
      <c r="R6" s="225"/>
      <c r="S6" s="225"/>
      <c r="T6" s="225"/>
      <c r="U6" s="225"/>
      <c r="V6" s="225"/>
      <c r="W6" s="225"/>
      <c r="X6" s="225"/>
      <c r="Y6" s="225"/>
    </row>
    <row r="7" spans="1:25" ht="15.75" customHeight="1">
      <c r="A7" s="237" t="s">
        <v>1465</v>
      </c>
      <c r="N7" s="225" t="s">
        <v>1464</v>
      </c>
      <c r="O7" s="2009" t="s">
        <v>1744</v>
      </c>
      <c r="P7" s="2009"/>
      <c r="Q7" s="2009"/>
      <c r="R7" s="2009"/>
      <c r="S7" s="2009"/>
      <c r="T7" s="2009"/>
      <c r="U7" s="2009"/>
      <c r="V7" s="2009"/>
      <c r="W7" s="2009"/>
      <c r="X7" s="2009"/>
      <c r="Y7" s="2009"/>
    </row>
    <row r="8" spans="1:25">
      <c r="N8" s="225"/>
      <c r="O8" s="1060"/>
      <c r="P8" s="225"/>
      <c r="Q8" s="225"/>
      <c r="R8" s="225"/>
      <c r="S8" s="225"/>
      <c r="T8" s="1072"/>
      <c r="U8" s="1068"/>
      <c r="V8" s="1068"/>
      <c r="W8" s="1068"/>
      <c r="X8" s="1068"/>
      <c r="Y8" s="1068"/>
    </row>
    <row r="9" spans="1:25">
      <c r="B9" s="1073" t="s">
        <v>1628</v>
      </c>
      <c r="C9" s="1073"/>
      <c r="D9" s="1073"/>
      <c r="E9" s="1073"/>
      <c r="F9" s="1073"/>
      <c r="G9" s="1073"/>
      <c r="H9" s="1073"/>
      <c r="I9" s="1073"/>
      <c r="J9" s="1073"/>
      <c r="K9" s="1073"/>
      <c r="N9" s="225"/>
      <c r="O9" s="1060" t="s">
        <v>1743</v>
      </c>
      <c r="P9" s="225"/>
      <c r="Q9" s="225"/>
      <c r="R9" s="225"/>
      <c r="S9" s="225"/>
      <c r="T9" s="1072"/>
      <c r="U9" s="1068"/>
      <c r="V9" s="1068"/>
      <c r="W9" s="1068"/>
      <c r="X9" s="1068"/>
      <c r="Y9" s="1068"/>
    </row>
    <row r="10" spans="1:25">
      <c r="B10" s="1062"/>
      <c r="C10" s="1062"/>
      <c r="D10" s="1062"/>
      <c r="E10" s="1062"/>
      <c r="F10" s="1062"/>
      <c r="G10" s="1062"/>
      <c r="H10" s="1062"/>
      <c r="I10" s="1062"/>
      <c r="J10" s="1062"/>
      <c r="K10" s="1062"/>
      <c r="N10" s="225"/>
      <c r="O10" s="1060"/>
      <c r="P10" s="225"/>
      <c r="Q10" s="225"/>
      <c r="R10" s="225"/>
      <c r="S10" s="225"/>
      <c r="T10" s="255"/>
      <c r="U10" s="1068"/>
      <c r="V10" s="1068"/>
      <c r="W10" s="1068"/>
      <c r="X10" s="1068"/>
      <c r="Y10" s="1068"/>
    </row>
    <row r="11" spans="1:25">
      <c r="B11" s="1150" t="s">
        <v>322</v>
      </c>
      <c r="C11" s="1193">
        <v>1</v>
      </c>
      <c r="D11" s="1193">
        <v>2</v>
      </c>
      <c r="E11" s="1193">
        <v>3</v>
      </c>
      <c r="F11" s="1193">
        <v>4</v>
      </c>
      <c r="G11" s="1206"/>
      <c r="H11" s="1206"/>
      <c r="I11" s="1206"/>
      <c r="J11" s="2207"/>
      <c r="K11" s="2207"/>
      <c r="N11" s="225"/>
      <c r="O11" s="1060" t="s">
        <v>1742</v>
      </c>
      <c r="P11" s="225"/>
      <c r="Q11" s="225"/>
      <c r="R11" s="225"/>
      <c r="S11" s="225"/>
      <c r="T11" s="255"/>
      <c r="U11" s="1068"/>
      <c r="V11" s="1068"/>
      <c r="W11" s="1068"/>
      <c r="X11" s="1068"/>
      <c r="Y11" s="1068"/>
    </row>
    <row r="12" spans="1:25" ht="15.75" customHeight="1">
      <c r="B12" s="1150" t="s">
        <v>1707</v>
      </c>
      <c r="C12" s="1210">
        <v>200000</v>
      </c>
      <c r="D12" s="1210">
        <v>220000</v>
      </c>
      <c r="E12" s="1210">
        <v>230000</v>
      </c>
      <c r="F12" s="1210">
        <v>250000</v>
      </c>
      <c r="G12" s="1209"/>
      <c r="H12" s="2208"/>
      <c r="I12" s="2208"/>
      <c r="J12" s="2208"/>
      <c r="K12" s="2208"/>
      <c r="N12" s="225"/>
      <c r="O12" s="1070"/>
      <c r="P12" s="1070"/>
      <c r="Q12" s="1070"/>
      <c r="R12" s="1070"/>
      <c r="S12" s="1070"/>
      <c r="T12" s="1070"/>
      <c r="U12" s="1070"/>
      <c r="V12" s="1070"/>
      <c r="W12" s="1070"/>
      <c r="X12" s="1070"/>
      <c r="Y12" s="1070"/>
    </row>
    <row r="13" spans="1:25">
      <c r="B13" s="1150" t="s">
        <v>1706</v>
      </c>
      <c r="C13" s="1208">
        <v>0.04</v>
      </c>
      <c r="D13" s="1208">
        <v>0.06</v>
      </c>
      <c r="E13" s="1208">
        <v>-0.02</v>
      </c>
      <c r="F13" s="1208">
        <v>0.05</v>
      </c>
      <c r="G13" s="1206"/>
      <c r="H13" s="1207"/>
      <c r="I13" s="1206"/>
      <c r="J13" s="1207"/>
      <c r="K13" s="1206"/>
      <c r="N13" s="225"/>
      <c r="O13" s="1069" t="s">
        <v>1426</v>
      </c>
      <c r="P13" s="1070"/>
      <c r="Q13" s="1070"/>
      <c r="R13" s="1070"/>
      <c r="S13" s="1070"/>
      <c r="T13" s="1070"/>
      <c r="U13" s="1070"/>
      <c r="V13" s="1070"/>
      <c r="W13" s="1070"/>
      <c r="X13" s="1070"/>
      <c r="Y13" s="1070"/>
    </row>
    <row r="14" spans="1:25">
      <c r="N14" s="225"/>
      <c r="O14" s="1060"/>
      <c r="P14" s="225"/>
      <c r="Q14" s="225"/>
      <c r="R14" s="225"/>
      <c r="S14" s="225"/>
      <c r="T14" s="255"/>
      <c r="U14" s="1068"/>
      <c r="V14" s="1068"/>
      <c r="W14" s="1068"/>
      <c r="X14" s="1068"/>
      <c r="Y14" s="1068"/>
    </row>
    <row r="15" spans="1:25">
      <c r="B15" s="225" t="s">
        <v>1741</v>
      </c>
      <c r="N15" s="225"/>
      <c r="O15" s="1060"/>
      <c r="P15" s="225"/>
      <c r="Q15" s="225"/>
      <c r="R15" s="225"/>
      <c r="S15" s="225"/>
      <c r="T15" s="255"/>
      <c r="U15" s="1068"/>
      <c r="V15" s="1068"/>
      <c r="W15" s="1068"/>
      <c r="X15" s="1068"/>
      <c r="Y15" s="1068"/>
    </row>
    <row r="16" spans="1:25">
      <c r="N16" s="225"/>
      <c r="O16" s="1060"/>
      <c r="P16" s="225"/>
      <c r="Q16" s="225"/>
      <c r="R16" s="225"/>
      <c r="S16" s="225"/>
      <c r="T16" s="255"/>
      <c r="U16" s="1068"/>
      <c r="V16" s="1068"/>
      <c r="W16" s="1068"/>
      <c r="X16" s="1068"/>
      <c r="Y16" s="1068"/>
    </row>
    <row r="17" spans="2:24">
      <c r="B17" s="1205" t="s">
        <v>1740</v>
      </c>
    </row>
    <row r="19" spans="2:24">
      <c r="B19" s="225" t="s">
        <v>1739</v>
      </c>
      <c r="O19" s="1201" t="s">
        <v>1738</v>
      </c>
    </row>
    <row r="20" spans="2:24">
      <c r="B20" s="225" t="s">
        <v>1737</v>
      </c>
    </row>
    <row r="21" spans="2:24" ht="109.2">
      <c r="B21" s="1060"/>
      <c r="C21" s="1060"/>
      <c r="D21" s="1060"/>
      <c r="E21" s="1060"/>
      <c r="F21" s="1060"/>
      <c r="G21" s="1060"/>
      <c r="H21" s="1060"/>
      <c r="I21" s="1060"/>
      <c r="J21" s="1060"/>
      <c r="K21" s="1060"/>
      <c r="P21" s="1066" t="s">
        <v>1736</v>
      </c>
      <c r="T21" s="1199" t="s">
        <v>1725</v>
      </c>
      <c r="U21" s="1199" t="s">
        <v>1735</v>
      </c>
      <c r="V21" s="1199" t="s">
        <v>1734</v>
      </c>
      <c r="W21" s="1051" t="s">
        <v>1733</v>
      </c>
      <c r="X21" s="1199" t="s">
        <v>1732</v>
      </c>
    </row>
    <row r="22" spans="2:24" ht="46.8">
      <c r="B22" s="1205"/>
      <c r="C22" s="1060"/>
      <c r="D22" s="1060"/>
      <c r="E22" s="1060"/>
      <c r="F22" s="1060"/>
      <c r="G22" s="1060"/>
      <c r="H22" s="1060"/>
      <c r="I22" s="1060"/>
      <c r="J22" s="1060"/>
      <c r="K22" s="1060"/>
      <c r="O22" s="1051"/>
      <c r="P22" s="1046" t="s">
        <v>322</v>
      </c>
      <c r="Q22" s="1046" t="s">
        <v>1707</v>
      </c>
      <c r="R22" s="1046" t="s">
        <v>713</v>
      </c>
      <c r="S22" s="1046" t="s">
        <v>1717</v>
      </c>
      <c r="T22" s="1065" t="s">
        <v>1416</v>
      </c>
      <c r="U22" s="1065" t="s">
        <v>1731</v>
      </c>
      <c r="V22" s="1065" t="s">
        <v>713</v>
      </c>
      <c r="W22" s="1065" t="s">
        <v>1730</v>
      </c>
      <c r="X22" s="1065" t="s">
        <v>1715</v>
      </c>
    </row>
    <row r="23" spans="2:24">
      <c r="P23" s="1030">
        <f>$C$11</f>
        <v>1</v>
      </c>
      <c r="Q23" s="1196">
        <f>$C$12</f>
        <v>200000</v>
      </c>
      <c r="R23" s="1198">
        <f>$C$13</f>
        <v>0.04</v>
      </c>
      <c r="S23" s="1204">
        <v>0</v>
      </c>
      <c r="T23" s="1196">
        <f>18%*Q23</f>
        <v>36000</v>
      </c>
      <c r="U23" s="1196">
        <f>-0.5*T23</f>
        <v>-18000</v>
      </c>
      <c r="V23" s="1196">
        <f>R23/2*(T23+U23)+R23*S23</f>
        <v>360</v>
      </c>
      <c r="W23" s="1196">
        <f>-0.5*V23</f>
        <v>-180</v>
      </c>
      <c r="X23" s="1196">
        <f>S23+T23+U23+V23+W23</f>
        <v>18180</v>
      </c>
    </row>
    <row r="24" spans="2:24">
      <c r="P24" s="1030">
        <f>$D$11</f>
        <v>2</v>
      </c>
      <c r="Q24" s="1196">
        <f>$D$12</f>
        <v>220000</v>
      </c>
      <c r="R24" s="1198">
        <f>$D$13</f>
        <v>0.06</v>
      </c>
      <c r="S24" s="1204">
        <f>X23</f>
        <v>18180</v>
      </c>
      <c r="T24" s="1196">
        <f>18%*Q24</f>
        <v>39600</v>
      </c>
      <c r="U24" s="1196">
        <f>-0.5*T24</f>
        <v>-19800</v>
      </c>
      <c r="V24" s="1196">
        <f>R24/2*(T24+U24)+R24*S24</f>
        <v>1684.8</v>
      </c>
      <c r="W24" s="1196">
        <f>-0.5*V24</f>
        <v>-842.4</v>
      </c>
      <c r="X24" s="1196">
        <f>S24+T24+U24+V24+W24</f>
        <v>38822.400000000001</v>
      </c>
    </row>
    <row r="25" spans="2:24">
      <c r="P25" s="1030">
        <f>$E$11</f>
        <v>3</v>
      </c>
      <c r="Q25" s="1196">
        <f>$E$12</f>
        <v>230000</v>
      </c>
      <c r="R25" s="1198">
        <f>$E$13</f>
        <v>-0.02</v>
      </c>
      <c r="S25" s="1204">
        <f>X24</f>
        <v>38822.400000000001</v>
      </c>
      <c r="T25" s="1196">
        <f>18%*Q25</f>
        <v>41400</v>
      </c>
      <c r="U25" s="1196">
        <f>-0.5*T25</f>
        <v>-20700</v>
      </c>
      <c r="V25" s="1196">
        <f>R25/2*(T25+U25)+R25*S25</f>
        <v>-983.44800000000009</v>
      </c>
      <c r="W25" s="1196">
        <f>-0.5*V25</f>
        <v>491.72400000000005</v>
      </c>
      <c r="X25" s="1196">
        <f>S25+T25+U25+V25+W25</f>
        <v>59030.675999999999</v>
      </c>
    </row>
    <row r="26" spans="2:24">
      <c r="O26" s="1203"/>
      <c r="P26" s="1030">
        <f>$F$11</f>
        <v>4</v>
      </c>
      <c r="Q26" s="1196">
        <f>$F$12</f>
        <v>250000</v>
      </c>
      <c r="R26" s="1198">
        <f>$F$13</f>
        <v>0.05</v>
      </c>
      <c r="S26" s="1204">
        <f>X25</f>
        <v>59030.675999999999</v>
      </c>
      <c r="T26" s="1196">
        <f>18%*Q26</f>
        <v>45000</v>
      </c>
      <c r="U26" s="1196">
        <f>-0.5*T26</f>
        <v>-22500</v>
      </c>
      <c r="V26" s="1196">
        <f>R26/2*(T26+U26)+R26*S26</f>
        <v>3514.0338000000002</v>
      </c>
      <c r="W26" s="1196">
        <f>-0.5*V26</f>
        <v>-1757.0169000000001</v>
      </c>
      <c r="X26" s="1196">
        <f>S26+T26+U26+V26+W26</f>
        <v>83287.692900000009</v>
      </c>
    </row>
    <row r="27" spans="2:24">
      <c r="O27" s="1203"/>
    </row>
    <row r="28" spans="2:24" ht="17.399999999999999">
      <c r="O28" s="1203"/>
      <c r="Q28" s="1200"/>
      <c r="R28" s="1045"/>
      <c r="S28" s="1042"/>
      <c r="W28" s="1197" t="s">
        <v>1729</v>
      </c>
      <c r="X28" s="1196">
        <f>X26</f>
        <v>83287.692900000009</v>
      </c>
    </row>
    <row r="29" spans="2:24">
      <c r="O29" s="1203"/>
      <c r="P29" s="1066" t="s">
        <v>1718</v>
      </c>
      <c r="S29" s="1038"/>
    </row>
    <row r="30" spans="2:24" ht="31.2">
      <c r="O30" s="1203"/>
      <c r="P30" s="1046" t="s">
        <v>322</v>
      </c>
      <c r="Q30" s="1046" t="s">
        <v>1717</v>
      </c>
      <c r="R30" s="1046" t="s">
        <v>1416</v>
      </c>
      <c r="S30" s="1046" t="s">
        <v>1728</v>
      </c>
      <c r="T30" s="1046" t="s">
        <v>1715</v>
      </c>
    </row>
    <row r="31" spans="2:24">
      <c r="P31" s="1030">
        <f>P23</f>
        <v>1</v>
      </c>
      <c r="Q31" s="1196">
        <v>0</v>
      </c>
      <c r="R31" s="1196">
        <f>-U23</f>
        <v>18000</v>
      </c>
      <c r="S31" s="1196">
        <f>-W23</f>
        <v>180</v>
      </c>
      <c r="T31" s="1196">
        <f>Q31+R31+S31</f>
        <v>18180</v>
      </c>
    </row>
    <row r="32" spans="2:24">
      <c r="P32" s="1030">
        <f>P24</f>
        <v>2</v>
      </c>
      <c r="Q32" s="1196">
        <f>T31</f>
        <v>18180</v>
      </c>
      <c r="R32" s="1196">
        <f>-U24</f>
        <v>19800</v>
      </c>
      <c r="S32" s="1196">
        <f>-W24</f>
        <v>842.4</v>
      </c>
      <c r="T32" s="1196">
        <f>Q32+R32+S32</f>
        <v>38822.400000000001</v>
      </c>
    </row>
    <row r="33" spans="15:24">
      <c r="P33" s="1030">
        <f>P25</f>
        <v>3</v>
      </c>
      <c r="Q33" s="1196">
        <f>T32</f>
        <v>38822.400000000001</v>
      </c>
      <c r="R33" s="1196">
        <f>-U25</f>
        <v>20700</v>
      </c>
      <c r="S33" s="1196">
        <f>-W25</f>
        <v>-491.72400000000005</v>
      </c>
      <c r="T33" s="1196">
        <f>Q33+R33+S33</f>
        <v>59030.675999999999</v>
      </c>
    </row>
    <row r="34" spans="15:24">
      <c r="P34" s="1030">
        <f>P26</f>
        <v>4</v>
      </c>
      <c r="Q34" s="1196">
        <f>T33</f>
        <v>59030.675999999999</v>
      </c>
      <c r="R34" s="1196">
        <f>-U26</f>
        <v>22500</v>
      </c>
      <c r="S34" s="1196">
        <f>-W26</f>
        <v>1757.0169000000001</v>
      </c>
      <c r="T34" s="1196">
        <f>Q34+R34+S34</f>
        <v>83287.692900000009</v>
      </c>
    </row>
    <row r="36" spans="15:24">
      <c r="S36" s="1197" t="s">
        <v>1714</v>
      </c>
      <c r="T36" s="1202">
        <f>T34</f>
        <v>83287.692900000009</v>
      </c>
    </row>
    <row r="38" spans="15:24">
      <c r="O38" s="1201" t="s">
        <v>1727</v>
      </c>
      <c r="P38" s="1046"/>
      <c r="Q38" s="1046"/>
      <c r="R38" s="1046"/>
      <c r="S38" s="1046"/>
    </row>
    <row r="39" spans="15:24">
      <c r="Q39" s="1200"/>
      <c r="R39" s="1045"/>
      <c r="S39" s="1043"/>
    </row>
    <row r="40" spans="15:24" ht="78">
      <c r="P40" s="1066" t="s">
        <v>1726</v>
      </c>
      <c r="Q40" s="1200"/>
      <c r="R40" s="1045"/>
      <c r="S40" s="1043"/>
      <c r="T40" s="1199" t="s">
        <v>1725</v>
      </c>
      <c r="U40" s="1199" t="s">
        <v>1724</v>
      </c>
      <c r="V40" s="1199" t="s">
        <v>1723</v>
      </c>
      <c r="W40" s="1199" t="s">
        <v>1722</v>
      </c>
    </row>
    <row r="41" spans="15:24" ht="46.8">
      <c r="P41" s="1046" t="s">
        <v>322</v>
      </c>
      <c r="Q41" s="1046" t="s">
        <v>1707</v>
      </c>
      <c r="R41" s="1046" t="s">
        <v>713</v>
      </c>
      <c r="S41" s="1046" t="s">
        <v>1721</v>
      </c>
      <c r="T41" s="1065" t="s">
        <v>1416</v>
      </c>
      <c r="U41" s="1065" t="s">
        <v>713</v>
      </c>
      <c r="V41" s="1046" t="s">
        <v>1720</v>
      </c>
      <c r="W41" s="1046" t="s">
        <v>1716</v>
      </c>
      <c r="X41" s="1046"/>
    </row>
    <row r="42" spans="15:24">
      <c r="P42" s="1030">
        <f t="shared" ref="P42:R45" si="0">P23</f>
        <v>1</v>
      </c>
      <c r="Q42" s="1196">
        <f t="shared" si="0"/>
        <v>200000</v>
      </c>
      <c r="R42" s="1198">
        <f t="shared" si="0"/>
        <v>0.04</v>
      </c>
      <c r="S42" s="1196">
        <v>0</v>
      </c>
      <c r="T42" s="1196">
        <f>Q42*18%</f>
        <v>36000</v>
      </c>
      <c r="U42" s="1196">
        <f>S42*R42+T42*R42/2</f>
        <v>720</v>
      </c>
      <c r="V42" s="1196">
        <f>S42+T42+U42</f>
        <v>36720</v>
      </c>
      <c r="W42" s="1196">
        <f>V42*1.75%</f>
        <v>642.6</v>
      </c>
    </row>
    <row r="43" spans="15:24">
      <c r="P43" s="1030">
        <f t="shared" si="0"/>
        <v>2</v>
      </c>
      <c r="Q43" s="1196">
        <f t="shared" si="0"/>
        <v>220000</v>
      </c>
      <c r="R43" s="1198">
        <f t="shared" si="0"/>
        <v>0.06</v>
      </c>
      <c r="S43" s="1196">
        <f>V42</f>
        <v>36720</v>
      </c>
      <c r="T43" s="1196">
        <f>Q43*18%</f>
        <v>39600</v>
      </c>
      <c r="U43" s="1196">
        <f>S43*R43+T43*R43/2</f>
        <v>3391.2</v>
      </c>
      <c r="V43" s="1196">
        <f>S43+T43+U43</f>
        <v>79711.199999999997</v>
      </c>
      <c r="W43" s="1196">
        <f>V43*1.75%</f>
        <v>1394.9460000000001</v>
      </c>
    </row>
    <row r="44" spans="15:24">
      <c r="P44" s="1030">
        <f t="shared" si="0"/>
        <v>3</v>
      </c>
      <c r="Q44" s="1196">
        <f t="shared" si="0"/>
        <v>230000</v>
      </c>
      <c r="R44" s="1198">
        <f t="shared" si="0"/>
        <v>-0.02</v>
      </c>
      <c r="S44" s="1196">
        <f>V43</f>
        <v>79711.199999999997</v>
      </c>
      <c r="T44" s="1196">
        <f>Q44*18%</f>
        <v>41400</v>
      </c>
      <c r="U44" s="1196">
        <f>S44*R44+T44*R44/2</f>
        <v>-2008.2239999999999</v>
      </c>
      <c r="V44" s="1196">
        <f>S44+T44+U44</f>
        <v>119102.976</v>
      </c>
      <c r="W44" s="1196">
        <f>V44*1.75%</f>
        <v>2084.3020799999999</v>
      </c>
    </row>
    <row r="45" spans="15:24">
      <c r="P45" s="1030">
        <f t="shared" si="0"/>
        <v>4</v>
      </c>
      <c r="Q45" s="1196">
        <f t="shared" si="0"/>
        <v>250000</v>
      </c>
      <c r="R45" s="1198">
        <f t="shared" si="0"/>
        <v>0.05</v>
      </c>
      <c r="S45" s="1196">
        <f>V44</f>
        <v>119102.976</v>
      </c>
      <c r="T45" s="1196">
        <f>Q45*18%</f>
        <v>45000</v>
      </c>
      <c r="U45" s="1196">
        <f>S45*R45+T45*R45/2</f>
        <v>7080.1487999999999</v>
      </c>
      <c r="V45" s="1196">
        <f>S45+T45+U45</f>
        <v>171183.12479999999</v>
      </c>
      <c r="W45" s="1196">
        <f>V45*1.75%</f>
        <v>2995.7046840000003</v>
      </c>
    </row>
    <row r="46" spans="15:24">
      <c r="S46" s="1038"/>
    </row>
    <row r="47" spans="15:24">
      <c r="P47" s="1030" t="s">
        <v>1719</v>
      </c>
    </row>
    <row r="48" spans="15:24">
      <c r="Q48" s="1197"/>
      <c r="S48" s="1038"/>
    </row>
    <row r="49" spans="16:19">
      <c r="P49" s="1066" t="s">
        <v>1718</v>
      </c>
    </row>
    <row r="50" spans="16:19">
      <c r="P50" s="1046" t="s">
        <v>322</v>
      </c>
      <c r="Q50" s="1046" t="s">
        <v>1717</v>
      </c>
      <c r="R50" s="1030" t="s">
        <v>1716</v>
      </c>
      <c r="S50" s="1046" t="s">
        <v>1715</v>
      </c>
    </row>
    <row r="51" spans="16:19">
      <c r="P51" s="1030">
        <f>P23</f>
        <v>1</v>
      </c>
      <c r="Q51" s="1196">
        <v>0</v>
      </c>
      <c r="R51" s="1196">
        <f>W42</f>
        <v>642.6</v>
      </c>
      <c r="S51" s="1196">
        <f>Q51+R51</f>
        <v>642.6</v>
      </c>
    </row>
    <row r="52" spans="16:19">
      <c r="P52" s="1030">
        <f>P24</f>
        <v>2</v>
      </c>
      <c r="Q52" s="1196">
        <f>S51</f>
        <v>642.6</v>
      </c>
      <c r="R52" s="1196">
        <f>W43</f>
        <v>1394.9460000000001</v>
      </c>
      <c r="S52" s="1196">
        <f>Q52+R52</f>
        <v>2037.5460000000003</v>
      </c>
    </row>
    <row r="53" spans="16:19">
      <c r="P53" s="1030">
        <f>P25</f>
        <v>3</v>
      </c>
      <c r="Q53" s="1196">
        <f>S52</f>
        <v>2037.5460000000003</v>
      </c>
      <c r="R53" s="1196">
        <f>W44</f>
        <v>2084.3020799999999</v>
      </c>
      <c r="S53" s="1196">
        <f>Q53+R53</f>
        <v>4121.8480799999998</v>
      </c>
    </row>
    <row r="54" spans="16:19">
      <c r="P54" s="1030">
        <f>P26</f>
        <v>4</v>
      </c>
      <c r="Q54" s="1196">
        <f>S53</f>
        <v>4121.8480799999998</v>
      </c>
      <c r="R54" s="1196">
        <f>W45</f>
        <v>2995.7046840000003</v>
      </c>
      <c r="S54" s="1196">
        <f>Q54+R54</f>
        <v>7117.552764</v>
      </c>
    </row>
    <row r="56" spans="16:19">
      <c r="R56" s="1197" t="s">
        <v>1714</v>
      </c>
      <c r="S56" s="1196">
        <f>S54</f>
        <v>7117.552764</v>
      </c>
    </row>
  </sheetData>
  <sheetProtection formatCells="0" formatColumns="0" formatRows="0" insertColumns="0" insertRows="0"/>
  <mergeCells count="4">
    <mergeCell ref="O7:Y7"/>
    <mergeCell ref="J11:K11"/>
    <mergeCell ref="H12:I12"/>
    <mergeCell ref="J12:K12"/>
  </mergeCells>
  <pageMargins left="0.7" right="0.7" top="0.75" bottom="0.75" header="0.3" footer="0.3"/>
  <pageSetup scale="68" orientation="portrait" horizontalDpi="4294967293"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B426-8EDF-4FA7-8E45-542A2F83F4AB}">
  <dimension ref="A1:FY268"/>
  <sheetViews>
    <sheetView zoomScale="110" zoomScaleNormal="110" workbookViewId="0"/>
  </sheetViews>
  <sheetFormatPr defaultColWidth="9.109375" defaultRowHeight="15.6"/>
  <cols>
    <col min="1" max="1" width="4" style="1212" customWidth="1"/>
    <col min="2" max="2" width="12.33203125" style="1212" customWidth="1"/>
    <col min="3" max="4" width="15.6640625" style="1211" customWidth="1"/>
    <col min="5" max="5" width="16.6640625" style="1211" customWidth="1"/>
    <col min="6" max="6" width="18.33203125" style="1211" customWidth="1"/>
    <col min="7" max="7" width="19.5546875" style="1211" customWidth="1"/>
    <col min="8" max="8" width="18.5546875" style="1211" customWidth="1"/>
    <col min="9" max="11" width="17" style="1211" customWidth="1"/>
    <col min="12" max="13" width="12" style="3" bestFit="1" customWidth="1"/>
    <col min="14" max="14" width="11.33203125" style="3" bestFit="1" customWidth="1"/>
    <col min="15" max="171" width="9.109375" style="3"/>
    <col min="172" max="181" width="9.109375" style="861"/>
    <col min="182" max="16384" width="9.109375" style="3"/>
  </cols>
  <sheetData>
    <row r="1" spans="1:12">
      <c r="A1" s="1211" t="s">
        <v>274</v>
      </c>
      <c r="L1" s="3" t="s">
        <v>274</v>
      </c>
    </row>
    <row r="2" spans="1:12">
      <c r="A2" s="1211" t="s">
        <v>1</v>
      </c>
      <c r="L2" s="3" t="s">
        <v>1</v>
      </c>
    </row>
    <row r="3" spans="1:12">
      <c r="A3" s="1211"/>
    </row>
    <row r="4" spans="1:12">
      <c r="B4" s="1211" t="s">
        <v>1824</v>
      </c>
      <c r="C4" s="1211" t="s">
        <v>1823</v>
      </c>
    </row>
    <row r="5" spans="1:12">
      <c r="B5" s="1211"/>
    </row>
    <row r="6" spans="1:12">
      <c r="B6" s="1211"/>
      <c r="C6" s="1211" t="s">
        <v>323</v>
      </c>
    </row>
    <row r="7" spans="1:12">
      <c r="C7" s="1232"/>
    </row>
    <row r="8" spans="1:12">
      <c r="C8" s="1263" t="s">
        <v>872</v>
      </c>
      <c r="I8" s="1212"/>
    </row>
    <row r="9" spans="1:12">
      <c r="C9" s="1359" t="s">
        <v>517</v>
      </c>
      <c r="D9" s="1294"/>
      <c r="E9" s="1358">
        <v>65</v>
      </c>
      <c r="F9" s="1260"/>
      <c r="G9" s="1260"/>
      <c r="H9" s="1294"/>
      <c r="I9" s="1212"/>
      <c r="J9" s="1236"/>
      <c r="K9" s="1236"/>
    </row>
    <row r="10" spans="1:12">
      <c r="C10" s="1357" t="s">
        <v>268</v>
      </c>
      <c r="D10" s="1294"/>
      <c r="E10" s="1261" t="s">
        <v>1822</v>
      </c>
      <c r="F10" s="1260"/>
      <c r="G10" s="1260"/>
      <c r="H10" s="1294"/>
      <c r="I10" s="1212"/>
      <c r="J10" s="1354"/>
      <c r="K10" s="1354"/>
    </row>
    <row r="11" spans="1:12">
      <c r="C11" s="1353" t="s">
        <v>260</v>
      </c>
      <c r="D11" s="1352"/>
      <c r="E11" s="1349" t="s">
        <v>1821</v>
      </c>
      <c r="F11" s="1348"/>
      <c r="G11" s="1348"/>
      <c r="H11" s="1352"/>
      <c r="I11" s="1212"/>
      <c r="J11" s="1354"/>
      <c r="K11" s="1236"/>
    </row>
    <row r="12" spans="1:12">
      <c r="C12" s="1356"/>
      <c r="D12" s="1355"/>
      <c r="E12" s="1344" t="s">
        <v>1820</v>
      </c>
      <c r="H12" s="1355"/>
      <c r="I12" s="1212"/>
      <c r="J12" s="1354"/>
      <c r="K12" s="1236"/>
    </row>
    <row r="13" spans="1:12">
      <c r="C13" s="1353" t="s">
        <v>256</v>
      </c>
      <c r="D13" s="1348"/>
      <c r="E13" s="1349" t="s">
        <v>1819</v>
      </c>
      <c r="F13" s="1348"/>
      <c r="G13" s="1348"/>
      <c r="H13" s="1352"/>
      <c r="I13" s="1212"/>
      <c r="J13" s="1350"/>
      <c r="K13" s="1350"/>
    </row>
    <row r="14" spans="1:12">
      <c r="C14" s="1351"/>
      <c r="D14" s="1339"/>
      <c r="E14" s="1340" t="s">
        <v>1818</v>
      </c>
      <c r="F14" s="1339"/>
      <c r="G14" s="1339"/>
      <c r="H14" s="1292"/>
      <c r="I14" s="1212"/>
      <c r="J14" s="1350"/>
      <c r="K14" s="1350"/>
    </row>
    <row r="15" spans="1:12">
      <c r="D15" s="1236"/>
      <c r="J15" s="1236"/>
      <c r="K15" s="1236"/>
    </row>
    <row r="16" spans="1:12">
      <c r="C16" s="1211" t="s">
        <v>1817</v>
      </c>
      <c r="D16" s="1236"/>
      <c r="J16" s="1236"/>
      <c r="K16" s="1236"/>
    </row>
    <row r="17" spans="3:11">
      <c r="C17" s="1263" t="s">
        <v>504</v>
      </c>
      <c r="J17" s="1236"/>
      <c r="K17" s="1236"/>
    </row>
    <row r="18" spans="3:11">
      <c r="C18" s="1335" t="s">
        <v>1044</v>
      </c>
      <c r="J18" s="1236"/>
      <c r="K18" s="1236"/>
    </row>
    <row r="19" spans="3:11">
      <c r="C19" s="1261" t="s">
        <v>1785</v>
      </c>
      <c r="D19" s="1260"/>
      <c r="E19" s="1333"/>
      <c r="F19" s="1295">
        <v>0.05</v>
      </c>
      <c r="G19" s="1294" t="s">
        <v>1783</v>
      </c>
      <c r="J19" s="1236"/>
      <c r="K19" s="1236"/>
    </row>
    <row r="20" spans="3:11">
      <c r="C20" s="1261" t="s">
        <v>1816</v>
      </c>
      <c r="D20" s="1260"/>
      <c r="E20" s="1333"/>
      <c r="F20" s="1295">
        <v>0.1</v>
      </c>
      <c r="G20" s="1294"/>
      <c r="J20" s="1236"/>
      <c r="K20" s="1236"/>
    </row>
    <row r="21" spans="3:11">
      <c r="C21" s="1261" t="s">
        <v>1815</v>
      </c>
      <c r="D21" s="1260"/>
      <c r="E21" s="1333"/>
      <c r="F21" s="1295">
        <v>0.03</v>
      </c>
      <c r="G21" s="1294" t="s">
        <v>1783</v>
      </c>
      <c r="J21" s="1236"/>
      <c r="K21" s="1236"/>
    </row>
    <row r="22" spans="3:11">
      <c r="C22" s="1261" t="s">
        <v>499</v>
      </c>
      <c r="D22" s="1260"/>
      <c r="E22" s="1333"/>
      <c r="F22" s="2211" t="s">
        <v>498</v>
      </c>
      <c r="G22" s="2212"/>
      <c r="J22" s="1236"/>
      <c r="K22" s="1236"/>
    </row>
    <row r="23" spans="3:11">
      <c r="C23" s="1261" t="s">
        <v>497</v>
      </c>
      <c r="D23" s="1260"/>
      <c r="E23" s="1333"/>
      <c r="F23" s="2213" t="s">
        <v>496</v>
      </c>
      <c r="G23" s="2214"/>
      <c r="J23" s="1236"/>
      <c r="K23" s="1236"/>
    </row>
    <row r="24" spans="3:11">
      <c r="C24" s="1261" t="s">
        <v>462</v>
      </c>
      <c r="D24" s="1260"/>
      <c r="E24" s="1333"/>
      <c r="F24" s="2215" t="s">
        <v>1814</v>
      </c>
      <c r="G24" s="2216"/>
      <c r="J24" s="1236"/>
      <c r="K24" s="1236"/>
    </row>
    <row r="25" spans="3:11">
      <c r="C25" s="1349" t="s">
        <v>492</v>
      </c>
      <c r="D25" s="1348"/>
      <c r="E25" s="1347"/>
      <c r="F25" s="1346" t="s">
        <v>252</v>
      </c>
      <c r="G25" s="1345" t="s">
        <v>1672</v>
      </c>
      <c r="J25" s="1236"/>
      <c r="K25" s="1236"/>
    </row>
    <row r="26" spans="3:11">
      <c r="C26" s="1344"/>
      <c r="E26" s="1343"/>
      <c r="F26" s="1342">
        <v>40</v>
      </c>
      <c r="G26" s="1341">
        <v>0.1</v>
      </c>
      <c r="J26" s="1236"/>
      <c r="K26" s="1236"/>
    </row>
    <row r="27" spans="3:11">
      <c r="C27" s="1340"/>
      <c r="D27" s="1339"/>
      <c r="E27" s="1338"/>
      <c r="F27" s="1337">
        <v>50</v>
      </c>
      <c r="G27" s="1336">
        <v>0.05</v>
      </c>
      <c r="J27" s="1236"/>
      <c r="K27" s="1236"/>
    </row>
    <row r="28" spans="3:11">
      <c r="E28" s="1257"/>
      <c r="F28" s="1334"/>
      <c r="G28" s="1212"/>
      <c r="J28" s="1236"/>
      <c r="K28" s="1236"/>
    </row>
    <row r="29" spans="3:11">
      <c r="C29" s="1335" t="s">
        <v>1813</v>
      </c>
      <c r="E29" s="1257"/>
      <c r="F29" s="1334"/>
      <c r="G29" s="1212"/>
      <c r="J29" s="1236"/>
      <c r="K29" s="1236"/>
    </row>
    <row r="30" spans="3:11">
      <c r="C30" s="1247" t="s">
        <v>1784</v>
      </c>
      <c r="D30" s="1246"/>
      <c r="E30" s="1333"/>
      <c r="F30" s="1295">
        <v>2.5000000000000001E-2</v>
      </c>
      <c r="G30" s="1294" t="s">
        <v>1783</v>
      </c>
      <c r="J30" s="1236"/>
      <c r="K30" s="1236"/>
    </row>
    <row r="31" spans="3:11">
      <c r="C31" s="1247" t="s">
        <v>499</v>
      </c>
      <c r="D31" s="1246"/>
      <c r="E31" s="1333"/>
      <c r="F31" s="2217" t="s">
        <v>498</v>
      </c>
      <c r="G31" s="2218"/>
      <c r="J31" s="1236"/>
      <c r="K31" s="1236"/>
    </row>
    <row r="32" spans="3:11">
      <c r="C32" s="1247" t="s">
        <v>1812</v>
      </c>
      <c r="D32" s="1246"/>
      <c r="E32" s="1333"/>
      <c r="F32" s="2219">
        <v>50000</v>
      </c>
      <c r="G32" s="2220"/>
      <c r="J32" s="1236"/>
      <c r="K32" s="1236"/>
    </row>
    <row r="33" spans="3:11">
      <c r="C33" s="1247" t="s">
        <v>462</v>
      </c>
      <c r="D33" s="1246"/>
      <c r="E33" s="1333"/>
      <c r="F33" s="2219" t="s">
        <v>1811</v>
      </c>
      <c r="G33" s="2220"/>
      <c r="J33" s="1236"/>
      <c r="K33" s="1236"/>
    </row>
    <row r="34" spans="3:11">
      <c r="C34" s="1232"/>
      <c r="D34" s="1236"/>
      <c r="J34" s="1236"/>
      <c r="K34" s="1236"/>
    </row>
    <row r="35" spans="3:11">
      <c r="C35" s="1263" t="s">
        <v>1810</v>
      </c>
      <c r="D35" s="1236"/>
      <c r="J35" s="1236"/>
      <c r="K35" s="1236"/>
    </row>
    <row r="36" spans="3:11" ht="14.25" customHeight="1">
      <c r="C36" s="2224" t="s">
        <v>1791</v>
      </c>
      <c r="D36" s="2226" t="s">
        <v>1499</v>
      </c>
      <c r="E36" s="2228" t="s">
        <v>252</v>
      </c>
      <c r="F36" s="2230" t="s">
        <v>1809</v>
      </c>
      <c r="G36" s="2209" t="s">
        <v>1808</v>
      </c>
      <c r="H36" s="2209" t="s">
        <v>748</v>
      </c>
      <c r="J36" s="1236"/>
      <c r="K36" s="1236"/>
    </row>
    <row r="37" spans="3:11" ht="14.25" customHeight="1">
      <c r="C37" s="2225"/>
      <c r="D37" s="2227"/>
      <c r="E37" s="2229"/>
      <c r="F37" s="2210"/>
      <c r="G37" s="2210"/>
      <c r="H37" s="2210"/>
      <c r="J37" s="1236"/>
      <c r="K37" s="1236"/>
    </row>
    <row r="38" spans="3:11">
      <c r="C38" s="1300">
        <v>1</v>
      </c>
      <c r="D38" s="1299" t="s">
        <v>386</v>
      </c>
      <c r="E38" s="1299">
        <v>38</v>
      </c>
      <c r="F38" s="1296">
        <v>193000</v>
      </c>
      <c r="G38" s="1296">
        <v>16000</v>
      </c>
      <c r="H38" s="1296">
        <v>185000</v>
      </c>
      <c r="J38" s="1236"/>
      <c r="K38" s="1236"/>
    </row>
    <row r="39" spans="3:11">
      <c r="C39" s="1300">
        <v>2</v>
      </c>
      <c r="D39" s="1299" t="s">
        <v>386</v>
      </c>
      <c r="E39" s="1299">
        <v>57</v>
      </c>
      <c r="F39" s="1296">
        <v>1051000</v>
      </c>
      <c r="G39" s="1296">
        <v>36000</v>
      </c>
      <c r="H39" s="1296">
        <v>1503000</v>
      </c>
      <c r="J39" s="1236"/>
      <c r="K39" s="1236"/>
    </row>
    <row r="40" spans="3:11">
      <c r="C40" s="1300">
        <v>3</v>
      </c>
      <c r="D40" s="1299" t="s">
        <v>386</v>
      </c>
      <c r="E40" s="1299">
        <v>58</v>
      </c>
      <c r="F40" s="1296">
        <v>489000</v>
      </c>
      <c r="G40" s="1296">
        <v>29000</v>
      </c>
      <c r="H40" s="1296">
        <v>662000</v>
      </c>
      <c r="J40" s="1236"/>
      <c r="K40" s="1236"/>
    </row>
    <row r="41" spans="3:11">
      <c r="C41" s="1300">
        <v>4</v>
      </c>
      <c r="D41" s="1299" t="s">
        <v>383</v>
      </c>
      <c r="E41" s="1299">
        <v>44</v>
      </c>
      <c r="F41" s="1296">
        <v>85000</v>
      </c>
      <c r="G41" s="1296">
        <v>0</v>
      </c>
      <c r="H41" s="1296">
        <v>193000</v>
      </c>
      <c r="J41" s="1236"/>
      <c r="K41" s="1236"/>
    </row>
    <row r="42" spans="3:11">
      <c r="C42" s="1300">
        <v>5</v>
      </c>
      <c r="D42" s="1299" t="s">
        <v>383</v>
      </c>
      <c r="E42" s="1299">
        <v>60</v>
      </c>
      <c r="F42" s="1296">
        <v>248000</v>
      </c>
      <c r="G42" s="1296">
        <v>0</v>
      </c>
      <c r="H42" s="1296">
        <v>372000</v>
      </c>
      <c r="J42" s="1332"/>
      <c r="K42" s="1236"/>
    </row>
    <row r="43" spans="3:11">
      <c r="C43" s="1300">
        <v>6</v>
      </c>
      <c r="D43" s="1299" t="s">
        <v>657</v>
      </c>
      <c r="E43" s="1299">
        <v>76</v>
      </c>
      <c r="F43" s="1296">
        <v>338000</v>
      </c>
      <c r="G43" s="1296">
        <v>0</v>
      </c>
      <c r="H43" s="1296">
        <v>414000</v>
      </c>
      <c r="J43" s="1332"/>
      <c r="K43" s="1236"/>
    </row>
    <row r="44" spans="3:11">
      <c r="D44" s="1236"/>
      <c r="J44" s="1236"/>
      <c r="K44" s="1236"/>
    </row>
    <row r="45" spans="3:11">
      <c r="C45" s="1263" t="s">
        <v>663</v>
      </c>
      <c r="D45" s="1236"/>
      <c r="J45" s="1236"/>
      <c r="K45" s="1236"/>
    </row>
    <row r="46" spans="3:11">
      <c r="C46" s="1329" t="s">
        <v>642</v>
      </c>
      <c r="D46" s="1331"/>
      <c r="E46" s="1330">
        <v>2500000</v>
      </c>
      <c r="F46" s="1212"/>
      <c r="J46" s="1236"/>
      <c r="K46" s="1236"/>
    </row>
    <row r="47" spans="3:11">
      <c r="C47" s="1329" t="s">
        <v>1807</v>
      </c>
      <c r="D47" s="1329"/>
      <c r="E47" s="1328">
        <v>0.5</v>
      </c>
      <c r="F47" s="1212"/>
      <c r="J47" s="1236"/>
      <c r="K47" s="1236"/>
    </row>
    <row r="48" spans="3:11">
      <c r="C48" s="1327" t="s">
        <v>1806</v>
      </c>
      <c r="D48" s="1326"/>
      <c r="E48" s="1326">
        <v>8</v>
      </c>
      <c r="F48" s="1212"/>
      <c r="J48" s="1236"/>
      <c r="K48" s="1236"/>
    </row>
    <row r="49" spans="3:11">
      <c r="D49" s="1236"/>
      <c r="J49" s="1236"/>
      <c r="K49" s="1236"/>
    </row>
    <row r="50" spans="3:11">
      <c r="C50" s="1263" t="s">
        <v>1805</v>
      </c>
      <c r="D50" s="1236"/>
      <c r="J50" s="1236"/>
      <c r="K50" s="1236"/>
    </row>
    <row r="51" spans="3:11">
      <c r="C51" s="1325"/>
      <c r="D51" s="1324"/>
      <c r="E51" s="1323" t="s">
        <v>1804</v>
      </c>
      <c r="F51" s="1307"/>
      <c r="G51" s="1322"/>
      <c r="J51" s="1236"/>
      <c r="K51" s="1236"/>
    </row>
    <row r="52" spans="3:11">
      <c r="C52" s="1321"/>
      <c r="D52" s="1320"/>
      <c r="E52" s="1319" t="s">
        <v>1803</v>
      </c>
      <c r="F52" s="1304" t="s">
        <v>1802</v>
      </c>
      <c r="G52" s="1318" t="s">
        <v>1801</v>
      </c>
      <c r="J52" s="1236"/>
      <c r="K52" s="1236"/>
    </row>
    <row r="53" spans="3:11">
      <c r="C53" s="1317" t="s">
        <v>459</v>
      </c>
      <c r="D53" s="1316"/>
      <c r="E53" s="1315" t="s">
        <v>1800</v>
      </c>
      <c r="F53" s="1314" t="s">
        <v>1800</v>
      </c>
      <c r="G53" s="1313" t="s">
        <v>1799</v>
      </c>
      <c r="J53" s="1236"/>
      <c r="K53" s="1236"/>
    </row>
    <row r="54" spans="3:11">
      <c r="C54" s="1312" t="s">
        <v>630</v>
      </c>
      <c r="D54" s="1311"/>
      <c r="E54" s="1310">
        <v>19000</v>
      </c>
      <c r="F54" s="1309" t="s">
        <v>1798</v>
      </c>
      <c r="G54" s="1308">
        <v>47848</v>
      </c>
      <c r="I54" s="1224"/>
      <c r="J54" s="1236"/>
      <c r="K54" s="1236"/>
    </row>
    <row r="55" spans="3:11">
      <c r="C55" s="1312" t="s">
        <v>617</v>
      </c>
      <c r="D55" s="1311"/>
      <c r="E55" s="1310">
        <v>263000</v>
      </c>
      <c r="F55" s="1309" t="s">
        <v>1798</v>
      </c>
      <c r="G55" s="1308">
        <v>46022</v>
      </c>
      <c r="J55" s="1236"/>
      <c r="K55" s="1236"/>
    </row>
    <row r="56" spans="3:11">
      <c r="C56" s="1312" t="s">
        <v>617</v>
      </c>
      <c r="D56" s="1311"/>
      <c r="E56" s="1310">
        <v>50000</v>
      </c>
      <c r="F56" s="1309" t="s">
        <v>1797</v>
      </c>
      <c r="G56" s="1308">
        <v>45657</v>
      </c>
      <c r="J56" s="1236"/>
      <c r="K56" s="1236"/>
    </row>
    <row r="57" spans="3:11">
      <c r="G57" s="1236"/>
      <c r="H57" s="1236"/>
      <c r="I57" s="1236"/>
      <c r="J57" s="1236"/>
      <c r="K57" s="1236"/>
    </row>
    <row r="58" spans="3:11">
      <c r="C58" s="1211" t="s">
        <v>1796</v>
      </c>
      <c r="D58" s="1236"/>
      <c r="J58" s="1236"/>
      <c r="K58" s="1236"/>
    </row>
    <row r="59" spans="3:11">
      <c r="D59" s="1236"/>
      <c r="J59" s="1236"/>
      <c r="K59" s="1236"/>
    </row>
    <row r="60" spans="3:11">
      <c r="C60" s="1263" t="s">
        <v>1795</v>
      </c>
      <c r="I60" s="1257"/>
      <c r="J60" s="1258"/>
      <c r="K60" s="1291"/>
    </row>
    <row r="61" spans="3:11">
      <c r="C61" s="1290"/>
      <c r="D61" s="1290"/>
      <c r="E61" s="1290"/>
      <c r="F61" s="1307" t="s">
        <v>1794</v>
      </c>
      <c r="G61" s="1307"/>
      <c r="H61" s="1307" t="s">
        <v>319</v>
      </c>
      <c r="I61" s="1307"/>
      <c r="J61" s="1307"/>
      <c r="K61" s="1307"/>
    </row>
    <row r="62" spans="3:11">
      <c r="C62" s="1306"/>
      <c r="D62" s="1305"/>
      <c r="E62" s="1305"/>
      <c r="F62" s="1304" t="s">
        <v>1793</v>
      </c>
      <c r="G62" s="1304"/>
      <c r="H62" s="1304" t="s">
        <v>1792</v>
      </c>
      <c r="I62" s="1304"/>
      <c r="J62" s="1304"/>
      <c r="K62" s="1304"/>
    </row>
    <row r="63" spans="3:11">
      <c r="C63" s="1303" t="s">
        <v>1791</v>
      </c>
      <c r="D63" s="1302" t="s">
        <v>1499</v>
      </c>
      <c r="E63" s="1302" t="s">
        <v>252</v>
      </c>
      <c r="F63" s="1302" t="s">
        <v>1270</v>
      </c>
      <c r="G63" s="1302" t="s">
        <v>804</v>
      </c>
      <c r="H63" s="1302" t="s">
        <v>1790</v>
      </c>
      <c r="I63" s="1302" t="s">
        <v>1789</v>
      </c>
      <c r="J63" s="1302" t="s">
        <v>1788</v>
      </c>
      <c r="K63" s="1302" t="s">
        <v>1787</v>
      </c>
    </row>
    <row r="64" spans="3:11">
      <c r="C64" s="1300">
        <v>1</v>
      </c>
      <c r="D64" s="1299" t="s">
        <v>386</v>
      </c>
      <c r="E64" s="1299">
        <v>39</v>
      </c>
      <c r="F64" s="1296" t="s">
        <v>435</v>
      </c>
      <c r="G64" s="1301">
        <v>13</v>
      </c>
      <c r="H64" s="1298">
        <v>108000</v>
      </c>
      <c r="I64" s="1298">
        <v>98000</v>
      </c>
      <c r="J64" s="1298">
        <v>85000</v>
      </c>
      <c r="K64" s="1298">
        <v>83000</v>
      </c>
    </row>
    <row r="65" spans="3:11">
      <c r="C65" s="1300">
        <v>2</v>
      </c>
      <c r="D65" s="1299" t="s">
        <v>386</v>
      </c>
      <c r="E65" s="1299">
        <v>58</v>
      </c>
      <c r="F65" s="1296" t="s">
        <v>435</v>
      </c>
      <c r="G65" s="1301">
        <v>30.5</v>
      </c>
      <c r="H65" s="1298">
        <v>141000</v>
      </c>
      <c r="I65" s="1298">
        <v>138000</v>
      </c>
      <c r="J65" s="1298">
        <v>135000</v>
      </c>
      <c r="K65" s="1298">
        <v>133000</v>
      </c>
    </row>
    <row r="66" spans="3:11">
      <c r="C66" s="1300">
        <v>3</v>
      </c>
      <c r="D66" s="1299" t="s">
        <v>657</v>
      </c>
      <c r="E66" s="1299">
        <v>59</v>
      </c>
      <c r="F66" s="1296" t="s">
        <v>435</v>
      </c>
      <c r="G66" s="1301">
        <v>18</v>
      </c>
      <c r="H66" s="1296" t="s">
        <v>435</v>
      </c>
      <c r="I66" s="1298">
        <v>110000</v>
      </c>
      <c r="J66" s="1298">
        <v>105000</v>
      </c>
      <c r="K66" s="1298">
        <v>100000</v>
      </c>
    </row>
    <row r="67" spans="3:11">
      <c r="C67" s="1300">
        <v>4</v>
      </c>
      <c r="D67" s="1299" t="s">
        <v>383</v>
      </c>
      <c r="E67" s="1299">
        <v>45</v>
      </c>
      <c r="F67" s="1298">
        <v>1500</v>
      </c>
      <c r="G67" s="1297" t="s">
        <v>435</v>
      </c>
      <c r="H67" s="1296" t="s">
        <v>435</v>
      </c>
      <c r="I67" s="1296" t="s">
        <v>435</v>
      </c>
      <c r="J67" s="1296" t="s">
        <v>435</v>
      </c>
      <c r="K67" s="1296" t="s">
        <v>435</v>
      </c>
    </row>
    <row r="68" spans="3:11">
      <c r="C68" s="1300">
        <v>5</v>
      </c>
      <c r="D68" s="1299" t="s">
        <v>657</v>
      </c>
      <c r="E68" s="1299">
        <v>61</v>
      </c>
      <c r="F68" s="1298">
        <v>2000</v>
      </c>
      <c r="G68" s="1297" t="s">
        <v>435</v>
      </c>
      <c r="H68" s="1296" t="s">
        <v>435</v>
      </c>
      <c r="I68" s="1296" t="s">
        <v>435</v>
      </c>
      <c r="J68" s="1296" t="s">
        <v>435</v>
      </c>
      <c r="K68" s="1296" t="s">
        <v>435</v>
      </c>
    </row>
    <row r="69" spans="3:11" ht="12.75" customHeight="1">
      <c r="C69" s="1300">
        <v>6</v>
      </c>
      <c r="D69" s="1299" t="s">
        <v>657</v>
      </c>
      <c r="E69" s="1299">
        <v>77</v>
      </c>
      <c r="F69" s="1298">
        <v>3000</v>
      </c>
      <c r="G69" s="1297" t="s">
        <v>435</v>
      </c>
      <c r="H69" s="1296" t="s">
        <v>435</v>
      </c>
      <c r="I69" s="1296" t="s">
        <v>435</v>
      </c>
      <c r="J69" s="1296" t="s">
        <v>435</v>
      </c>
      <c r="K69" s="1296" t="s">
        <v>435</v>
      </c>
    </row>
    <row r="71" spans="3:11" ht="12.75" customHeight="1">
      <c r="C71" s="1211" t="s">
        <v>1786</v>
      </c>
    </row>
    <row r="72" spans="3:11" ht="12.75" customHeight="1">
      <c r="C72" s="1233"/>
      <c r="I72" s="1257"/>
      <c r="J72" s="1258"/>
      <c r="K72" s="1291"/>
    </row>
    <row r="73" spans="3:11" ht="12.75" customHeight="1">
      <c r="C73" s="1263" t="s">
        <v>504</v>
      </c>
      <c r="I73" s="1257"/>
      <c r="J73" s="1258"/>
      <c r="K73" s="1291"/>
    </row>
    <row r="74" spans="3:11" ht="12.75" customHeight="1">
      <c r="C74" s="1261" t="s">
        <v>1785</v>
      </c>
      <c r="D74" s="1294"/>
      <c r="E74" s="1295">
        <v>4.8000000000000001E-2</v>
      </c>
      <c r="F74" s="1294" t="s">
        <v>1783</v>
      </c>
      <c r="G74" s="172"/>
      <c r="I74" s="1257"/>
      <c r="J74" s="1258"/>
      <c r="K74" s="1291"/>
    </row>
    <row r="75" spans="3:11" ht="12.75" customHeight="1">
      <c r="C75" s="1261" t="s">
        <v>1784</v>
      </c>
      <c r="D75" s="1294"/>
      <c r="E75" s="1293">
        <v>2.1999999999999999E-2</v>
      </c>
      <c r="F75" s="1292" t="s">
        <v>1783</v>
      </c>
      <c r="G75" s="172"/>
      <c r="I75" s="1257"/>
      <c r="J75" s="1258"/>
      <c r="K75" s="1291"/>
    </row>
    <row r="76" spans="3:11">
      <c r="C76" s="1233"/>
      <c r="I76" s="1257"/>
      <c r="J76" s="1258"/>
      <c r="K76" s="1291"/>
    </row>
    <row r="77" spans="3:11" ht="12.75" customHeight="1">
      <c r="C77" s="1211" t="s">
        <v>1782</v>
      </c>
      <c r="I77" s="1257"/>
      <c r="J77" s="1258"/>
      <c r="K77" s="1291"/>
    </row>
    <row r="78" spans="3:11" ht="12.75" customHeight="1">
      <c r="C78" s="1233"/>
      <c r="I78" s="1257"/>
      <c r="J78" s="1258"/>
      <c r="K78" s="1291"/>
    </row>
    <row r="79" spans="3:11" ht="12.75" customHeight="1">
      <c r="C79" s="1263" t="s">
        <v>750</v>
      </c>
      <c r="I79" s="1257"/>
      <c r="J79" s="1258"/>
      <c r="K79" s="1291"/>
    </row>
    <row r="80" spans="3:11" ht="12.75" customHeight="1">
      <c r="C80" s="1233"/>
      <c r="I80" s="1257"/>
      <c r="J80" s="1258"/>
      <c r="K80" s="1291"/>
    </row>
    <row r="81" spans="3:11" ht="12.75" customHeight="1">
      <c r="C81" s="1211" t="s">
        <v>1781</v>
      </c>
      <c r="D81" s="172"/>
      <c r="F81" s="1239"/>
      <c r="G81" s="1239"/>
    </row>
    <row r="82" spans="3:11" ht="12.75" customHeight="1">
      <c r="C82" s="1290"/>
      <c r="D82" s="1273"/>
      <c r="E82" s="1273"/>
      <c r="F82" s="1289"/>
      <c r="G82" s="1289"/>
      <c r="H82" s="1273"/>
    </row>
    <row r="83" spans="3:11" ht="12.75" customHeight="1">
      <c r="C83" s="1288" t="s">
        <v>541</v>
      </c>
      <c r="D83" s="1265"/>
      <c r="E83" s="1265"/>
      <c r="F83" s="1265"/>
      <c r="G83" s="1265"/>
      <c r="H83" s="1265"/>
    </row>
    <row r="84" spans="3:11" ht="12.75" customHeight="1">
      <c r="C84" s="1286">
        <v>4.8000000000000001E-2</v>
      </c>
      <c r="D84" s="1287">
        <v>15.1</v>
      </c>
      <c r="E84" s="1287">
        <v>14.8</v>
      </c>
      <c r="F84" s="1287">
        <v>14.6</v>
      </c>
      <c r="G84" s="1287">
        <v>13.4</v>
      </c>
      <c r="H84" s="1287">
        <v>9.1999999999999993</v>
      </c>
      <c r="I84" s="1266"/>
    </row>
    <row r="85" spans="3:11" ht="12.75" customHeight="1">
      <c r="C85" s="1286">
        <v>0.05</v>
      </c>
      <c r="D85" s="1285">
        <v>14.8</v>
      </c>
      <c r="E85" s="1285">
        <v>14.5</v>
      </c>
      <c r="F85" s="1285">
        <v>14.3</v>
      </c>
      <c r="G85" s="1285">
        <v>13.2</v>
      </c>
      <c r="H85" s="1285">
        <v>9</v>
      </c>
      <c r="I85" s="1284"/>
    </row>
    <row r="86" spans="3:11" ht="12.75" customHeight="1"/>
    <row r="87" spans="3:11" ht="12.75" customHeight="1">
      <c r="C87" s="1211" t="s">
        <v>1780</v>
      </c>
      <c r="D87" s="172"/>
      <c r="F87" s="1231"/>
      <c r="G87" s="1230"/>
    </row>
    <row r="88" spans="3:11" ht="12.75" customHeight="1">
      <c r="C88" s="1273"/>
      <c r="D88" s="1283" t="s">
        <v>415</v>
      </c>
      <c r="E88" s="1282" t="s">
        <v>1779</v>
      </c>
      <c r="F88" s="1283" t="s">
        <v>415</v>
      </c>
      <c r="G88" s="1282" t="s">
        <v>1159</v>
      </c>
      <c r="I88" s="1230"/>
      <c r="K88" s="1230"/>
    </row>
    <row r="89" spans="3:11">
      <c r="C89" s="1279"/>
      <c r="D89" s="1276">
        <v>16</v>
      </c>
      <c r="E89" s="1275">
        <v>16.5</v>
      </c>
      <c r="F89" s="1281"/>
      <c r="G89" s="1275"/>
      <c r="I89" s="1230"/>
      <c r="K89" s="1230"/>
    </row>
    <row r="90" spans="3:11">
      <c r="C90" s="1279"/>
      <c r="D90" s="1276">
        <v>17</v>
      </c>
      <c r="E90" s="1275">
        <v>15.9</v>
      </c>
      <c r="F90" s="1281"/>
      <c r="G90" s="1275"/>
    </row>
    <row r="91" spans="3:11">
      <c r="C91" s="1279"/>
      <c r="D91" s="1276">
        <v>18</v>
      </c>
      <c r="E91" s="1275">
        <v>15.2</v>
      </c>
      <c r="F91" s="1281"/>
      <c r="G91" s="1275"/>
    </row>
    <row r="92" spans="3:11">
      <c r="C92" s="1279"/>
      <c r="D92" s="1276">
        <v>19</v>
      </c>
      <c r="E92" s="1275">
        <v>14.6</v>
      </c>
      <c r="F92" s="1276">
        <v>0</v>
      </c>
      <c r="G92" s="1275">
        <v>21.6</v>
      </c>
    </row>
    <row r="93" spans="3:11">
      <c r="C93" s="1279"/>
      <c r="D93" s="1276">
        <v>20</v>
      </c>
      <c r="E93" s="1275">
        <v>14</v>
      </c>
      <c r="F93" s="1276">
        <v>1</v>
      </c>
      <c r="G93" s="1275">
        <v>20.7</v>
      </c>
    </row>
    <row r="94" spans="3:11">
      <c r="C94" s="1279"/>
      <c r="D94" s="1276">
        <v>21</v>
      </c>
      <c r="E94" s="1275">
        <v>13.4</v>
      </c>
      <c r="F94" s="1276">
        <v>2</v>
      </c>
      <c r="G94" s="1275">
        <v>19.8</v>
      </c>
      <c r="J94" s="1239"/>
      <c r="K94" s="1280"/>
    </row>
    <row r="95" spans="3:11">
      <c r="C95" s="1279"/>
      <c r="D95" s="1276">
        <v>22</v>
      </c>
      <c r="E95" s="1275">
        <v>12.8</v>
      </c>
      <c r="F95" s="1276">
        <v>3</v>
      </c>
      <c r="G95" s="1275">
        <v>18.899999999999999</v>
      </c>
      <c r="J95" s="1239"/>
      <c r="K95" s="1239"/>
    </row>
    <row r="96" spans="3:11">
      <c r="C96" s="1279"/>
      <c r="D96" s="1276">
        <v>23</v>
      </c>
      <c r="E96" s="1275">
        <v>12.3</v>
      </c>
      <c r="F96" s="1276">
        <v>4</v>
      </c>
      <c r="G96" s="1275">
        <v>18.100000000000001</v>
      </c>
      <c r="J96" s="1239"/>
    </row>
    <row r="97" spans="1:181">
      <c r="C97" s="1279"/>
      <c r="D97" s="1276">
        <v>24</v>
      </c>
      <c r="E97" s="1275">
        <v>11.7</v>
      </c>
      <c r="F97" s="1276">
        <v>5</v>
      </c>
      <c r="G97" s="1275">
        <v>17.2</v>
      </c>
    </row>
    <row r="98" spans="1:181">
      <c r="C98" s="1279"/>
      <c r="D98" s="1278">
        <v>25</v>
      </c>
      <c r="E98" s="1277">
        <v>11.2</v>
      </c>
      <c r="F98" s="1276">
        <v>6</v>
      </c>
      <c r="G98" s="1275">
        <v>16.399999999999999</v>
      </c>
    </row>
    <row r="99" spans="1:181">
      <c r="C99" s="1265"/>
      <c r="D99" s="1276">
        <v>26</v>
      </c>
      <c r="E99" s="1275">
        <v>10.6</v>
      </c>
      <c r="F99" s="1276">
        <v>7</v>
      </c>
      <c r="G99" s="1275">
        <v>15.7</v>
      </c>
    </row>
    <row r="100" spans="1:181">
      <c r="D100" s="1274"/>
      <c r="E100" s="1271"/>
      <c r="F100" s="1274"/>
      <c r="G100" s="1271"/>
    </row>
    <row r="101" spans="1:181">
      <c r="C101" s="1273"/>
      <c r="D101" s="1272"/>
      <c r="E101" s="1230"/>
      <c r="F101" s="1231"/>
      <c r="G101" s="1271"/>
    </row>
    <row r="102" spans="1:181">
      <c r="C102" s="1269"/>
      <c r="D102" s="1264">
        <v>12</v>
      </c>
      <c r="E102" s="172"/>
      <c r="F102" s="172"/>
      <c r="G102" s="172"/>
    </row>
    <row r="103" spans="1:181">
      <c r="C103" s="1268"/>
      <c r="D103" s="1270"/>
      <c r="E103" s="1266"/>
      <c r="F103" s="1266"/>
      <c r="G103" s="1266"/>
    </row>
    <row r="104" spans="1:181">
      <c r="C104" s="1269"/>
      <c r="D104" s="1264">
        <v>21.1</v>
      </c>
      <c r="E104" s="1266"/>
      <c r="F104" s="1266"/>
      <c r="G104" s="1266"/>
    </row>
    <row r="105" spans="1:181" s="1211" customFormat="1">
      <c r="A105" s="1212"/>
      <c r="B105" s="1212"/>
      <c r="C105" s="1268"/>
      <c r="D105" s="1267"/>
      <c r="E105" s="1266"/>
      <c r="F105" s="1266"/>
      <c r="G105" s="1266"/>
      <c r="L105" s="3"/>
      <c r="M105" s="3"/>
      <c r="N105" s="1214"/>
      <c r="O105" s="1214"/>
      <c r="P105" s="1214"/>
      <c r="Q105" s="1214"/>
      <c r="R105" s="1214"/>
      <c r="S105" s="1214"/>
      <c r="T105" s="1214"/>
      <c r="U105" s="1214"/>
      <c r="V105" s="1214"/>
      <c r="W105" s="1214"/>
      <c r="X105" s="1214"/>
      <c r="Y105" s="1214"/>
      <c r="Z105" s="1214"/>
      <c r="AA105" s="1214"/>
      <c r="AB105" s="1214"/>
      <c r="AC105" s="1214"/>
      <c r="AD105" s="1214"/>
      <c r="AE105" s="1214"/>
      <c r="AF105" s="1214"/>
      <c r="AG105" s="1214"/>
      <c r="AH105" s="1214"/>
      <c r="AI105" s="1214"/>
      <c r="AJ105" s="1214"/>
      <c r="AK105" s="1214"/>
      <c r="AL105" s="1214"/>
      <c r="AM105" s="1214"/>
      <c r="AN105" s="1214"/>
      <c r="AO105" s="1214"/>
      <c r="AP105" s="1214"/>
      <c r="AQ105" s="1214"/>
      <c r="AR105" s="1214"/>
      <c r="AS105" s="1214"/>
      <c r="AT105" s="1214"/>
      <c r="AU105" s="1214"/>
      <c r="AV105" s="1214"/>
      <c r="AW105" s="1214"/>
      <c r="AX105" s="1214"/>
      <c r="AY105" s="1214"/>
      <c r="AZ105" s="1214"/>
      <c r="BA105" s="1214"/>
      <c r="BB105" s="1214"/>
      <c r="BC105" s="1214"/>
      <c r="BD105" s="1214"/>
      <c r="BE105" s="1214"/>
      <c r="BF105" s="1214"/>
      <c r="BG105" s="1214"/>
      <c r="BH105" s="1214"/>
      <c r="BI105" s="1214"/>
      <c r="BJ105" s="1214"/>
      <c r="BK105" s="1214"/>
      <c r="BL105" s="1214"/>
      <c r="BM105" s="1214"/>
      <c r="BN105" s="1214"/>
      <c r="BO105" s="1214"/>
      <c r="BP105" s="1214"/>
      <c r="BQ105" s="1214"/>
      <c r="BR105" s="1214"/>
      <c r="BS105" s="1214"/>
      <c r="BT105" s="1214"/>
      <c r="BU105" s="1214"/>
      <c r="BV105" s="1214"/>
      <c r="BW105" s="1214"/>
      <c r="BX105" s="1214"/>
      <c r="BY105" s="1214"/>
      <c r="BZ105" s="1214"/>
      <c r="CA105" s="1214"/>
      <c r="CB105" s="1214"/>
      <c r="CC105" s="1214"/>
      <c r="CD105" s="1214"/>
      <c r="CE105" s="1214"/>
      <c r="CF105" s="1214"/>
      <c r="CG105" s="1214"/>
      <c r="CH105" s="1214"/>
      <c r="CI105" s="1214"/>
      <c r="CJ105" s="1214"/>
      <c r="CK105" s="1214"/>
      <c r="CL105" s="1214"/>
      <c r="CM105" s="1214"/>
      <c r="CN105" s="1214"/>
      <c r="CO105" s="1214"/>
      <c r="CP105" s="1214"/>
      <c r="CQ105" s="1214"/>
      <c r="CR105" s="1214"/>
      <c r="CS105" s="1214"/>
      <c r="CT105" s="1214"/>
      <c r="CU105" s="1214"/>
      <c r="CV105" s="1214"/>
      <c r="CW105" s="1214"/>
      <c r="CX105" s="1214"/>
      <c r="CY105" s="1214"/>
      <c r="CZ105" s="1214"/>
      <c r="DA105" s="1214"/>
      <c r="DB105" s="1214"/>
      <c r="DC105" s="1214"/>
      <c r="DD105" s="1214"/>
      <c r="DE105" s="1214"/>
      <c r="DF105" s="1214"/>
      <c r="DG105" s="1214"/>
      <c r="DH105" s="1214"/>
      <c r="DI105" s="1214"/>
      <c r="DJ105" s="1214"/>
      <c r="DK105" s="1214"/>
      <c r="DL105" s="1214"/>
      <c r="DM105" s="1214"/>
      <c r="DN105" s="1214"/>
      <c r="DO105" s="1214"/>
      <c r="DP105" s="1214"/>
      <c r="DQ105" s="1214"/>
      <c r="DR105" s="1214"/>
      <c r="DS105" s="1214"/>
      <c r="DT105" s="1214"/>
      <c r="DU105" s="1214"/>
      <c r="DV105" s="1214"/>
      <c r="DW105" s="1214"/>
      <c r="DX105" s="1214"/>
      <c r="DY105" s="1214"/>
      <c r="DZ105" s="1214"/>
      <c r="EA105" s="1214"/>
      <c r="EB105" s="1214"/>
      <c r="EC105" s="1214"/>
      <c r="ED105" s="1214"/>
      <c r="EE105" s="1214"/>
      <c r="EF105" s="1214"/>
      <c r="EG105" s="1214"/>
      <c r="EH105" s="1214"/>
      <c r="EI105" s="1214"/>
      <c r="EJ105" s="1214"/>
      <c r="EK105" s="1214"/>
      <c r="EL105" s="1214"/>
      <c r="EM105" s="1214"/>
      <c r="EN105" s="1214"/>
      <c r="EO105" s="1214"/>
      <c r="EP105" s="1214"/>
      <c r="EQ105" s="1214"/>
      <c r="ER105" s="1214"/>
      <c r="ES105" s="1214"/>
      <c r="ET105" s="1214"/>
      <c r="EU105" s="1214"/>
      <c r="EV105" s="1214"/>
      <c r="EW105" s="1214"/>
      <c r="EX105" s="1214"/>
      <c r="EY105" s="1214"/>
      <c r="EZ105" s="1214"/>
      <c r="FA105" s="1214"/>
      <c r="FB105" s="1214"/>
      <c r="FC105" s="1214"/>
      <c r="FD105" s="1214"/>
      <c r="FE105" s="1214"/>
      <c r="FF105" s="1214"/>
      <c r="FG105" s="1214"/>
      <c r="FH105" s="1214"/>
      <c r="FI105" s="1214"/>
      <c r="FJ105" s="1214"/>
      <c r="FK105" s="1214"/>
      <c r="FL105" s="1214"/>
      <c r="FM105" s="1214"/>
      <c r="FN105" s="1214"/>
      <c r="FO105" s="1214"/>
      <c r="FP105" s="1213"/>
      <c r="FQ105" s="1213"/>
      <c r="FR105" s="1213"/>
      <c r="FS105" s="1213"/>
      <c r="FT105" s="1213"/>
      <c r="FU105" s="1213"/>
      <c r="FV105" s="1213"/>
      <c r="FW105" s="1213"/>
      <c r="FX105" s="1213"/>
      <c r="FY105" s="1213"/>
    </row>
    <row r="106" spans="1:181" s="1211" customFormat="1">
      <c r="A106" s="1212"/>
      <c r="B106" s="1212"/>
      <c r="C106" s="1269"/>
      <c r="D106" s="1264">
        <v>20.100000000000001</v>
      </c>
      <c r="E106" s="1266"/>
      <c r="F106" s="1266"/>
      <c r="G106" s="1266"/>
      <c r="L106" s="3"/>
      <c r="M106" s="3"/>
      <c r="N106" s="1214"/>
      <c r="O106" s="1214"/>
      <c r="P106" s="1214"/>
      <c r="Q106" s="1214"/>
      <c r="R106" s="1214"/>
      <c r="S106" s="1214"/>
      <c r="T106" s="1214"/>
      <c r="U106" s="1214"/>
      <c r="V106" s="1214"/>
      <c r="W106" s="1214"/>
      <c r="X106" s="1214"/>
      <c r="Y106" s="1214"/>
      <c r="Z106" s="1214"/>
      <c r="AA106" s="1214"/>
      <c r="AB106" s="1214"/>
      <c r="AC106" s="1214"/>
      <c r="AD106" s="1214"/>
      <c r="AE106" s="1214"/>
      <c r="AF106" s="1214"/>
      <c r="AG106" s="1214"/>
      <c r="AH106" s="1214"/>
      <c r="AI106" s="1214"/>
      <c r="AJ106" s="1214"/>
      <c r="AK106" s="1214"/>
      <c r="AL106" s="1214"/>
      <c r="AM106" s="1214"/>
      <c r="AN106" s="1214"/>
      <c r="AO106" s="1214"/>
      <c r="AP106" s="1214"/>
      <c r="AQ106" s="1214"/>
      <c r="AR106" s="1214"/>
      <c r="AS106" s="1214"/>
      <c r="AT106" s="1214"/>
      <c r="AU106" s="1214"/>
      <c r="AV106" s="1214"/>
      <c r="AW106" s="1214"/>
      <c r="AX106" s="1214"/>
      <c r="AY106" s="1214"/>
      <c r="AZ106" s="1214"/>
      <c r="BA106" s="1214"/>
      <c r="BB106" s="1214"/>
      <c r="BC106" s="1214"/>
      <c r="BD106" s="1214"/>
      <c r="BE106" s="1214"/>
      <c r="BF106" s="1214"/>
      <c r="BG106" s="1214"/>
      <c r="BH106" s="1214"/>
      <c r="BI106" s="1214"/>
      <c r="BJ106" s="1214"/>
      <c r="BK106" s="1214"/>
      <c r="BL106" s="1214"/>
      <c r="BM106" s="1214"/>
      <c r="BN106" s="1214"/>
      <c r="BO106" s="1214"/>
      <c r="BP106" s="1214"/>
      <c r="BQ106" s="1214"/>
      <c r="BR106" s="1214"/>
      <c r="BS106" s="1214"/>
      <c r="BT106" s="1214"/>
      <c r="BU106" s="1214"/>
      <c r="BV106" s="1214"/>
      <c r="BW106" s="1214"/>
      <c r="BX106" s="1214"/>
      <c r="BY106" s="1214"/>
      <c r="BZ106" s="1214"/>
      <c r="CA106" s="1214"/>
      <c r="CB106" s="1214"/>
      <c r="CC106" s="1214"/>
      <c r="CD106" s="1214"/>
      <c r="CE106" s="1214"/>
      <c r="CF106" s="1214"/>
      <c r="CG106" s="1214"/>
      <c r="CH106" s="1214"/>
      <c r="CI106" s="1214"/>
      <c r="CJ106" s="1214"/>
      <c r="CK106" s="1214"/>
      <c r="CL106" s="1214"/>
      <c r="CM106" s="1214"/>
      <c r="CN106" s="1214"/>
      <c r="CO106" s="1214"/>
      <c r="CP106" s="1214"/>
      <c r="CQ106" s="1214"/>
      <c r="CR106" s="1214"/>
      <c r="CS106" s="1214"/>
      <c r="CT106" s="1214"/>
      <c r="CU106" s="1214"/>
      <c r="CV106" s="1214"/>
      <c r="CW106" s="1214"/>
      <c r="CX106" s="1214"/>
      <c r="CY106" s="1214"/>
      <c r="CZ106" s="1214"/>
      <c r="DA106" s="1214"/>
      <c r="DB106" s="1214"/>
      <c r="DC106" s="1214"/>
      <c r="DD106" s="1214"/>
      <c r="DE106" s="1214"/>
      <c r="DF106" s="1214"/>
      <c r="DG106" s="1214"/>
      <c r="DH106" s="1214"/>
      <c r="DI106" s="1214"/>
      <c r="DJ106" s="1214"/>
      <c r="DK106" s="1214"/>
      <c r="DL106" s="1214"/>
      <c r="DM106" s="1214"/>
      <c r="DN106" s="1214"/>
      <c r="DO106" s="1214"/>
      <c r="DP106" s="1214"/>
      <c r="DQ106" s="1214"/>
      <c r="DR106" s="1214"/>
      <c r="DS106" s="1214"/>
      <c r="DT106" s="1214"/>
      <c r="DU106" s="1214"/>
      <c r="DV106" s="1214"/>
      <c r="DW106" s="1214"/>
      <c r="DX106" s="1214"/>
      <c r="DY106" s="1214"/>
      <c r="DZ106" s="1214"/>
      <c r="EA106" s="1214"/>
      <c r="EB106" s="1214"/>
      <c r="EC106" s="1214"/>
      <c r="ED106" s="1214"/>
      <c r="EE106" s="1214"/>
      <c r="EF106" s="1214"/>
      <c r="EG106" s="1214"/>
      <c r="EH106" s="1214"/>
      <c r="EI106" s="1214"/>
      <c r="EJ106" s="1214"/>
      <c r="EK106" s="1214"/>
      <c r="EL106" s="1214"/>
      <c r="EM106" s="1214"/>
      <c r="EN106" s="1214"/>
      <c r="EO106" s="1214"/>
      <c r="EP106" s="1214"/>
      <c r="EQ106" s="1214"/>
      <c r="ER106" s="1214"/>
      <c r="ES106" s="1214"/>
      <c r="ET106" s="1214"/>
      <c r="EU106" s="1214"/>
      <c r="EV106" s="1214"/>
      <c r="EW106" s="1214"/>
      <c r="EX106" s="1214"/>
      <c r="EY106" s="1214"/>
      <c r="EZ106" s="1214"/>
      <c r="FA106" s="1214"/>
      <c r="FB106" s="1214"/>
      <c r="FC106" s="1214"/>
      <c r="FD106" s="1214"/>
      <c r="FE106" s="1214"/>
      <c r="FF106" s="1214"/>
      <c r="FG106" s="1214"/>
      <c r="FH106" s="1214"/>
      <c r="FI106" s="1214"/>
      <c r="FJ106" s="1214"/>
      <c r="FK106" s="1214"/>
      <c r="FL106" s="1214"/>
      <c r="FM106" s="1214"/>
      <c r="FN106" s="1214"/>
      <c r="FO106" s="1214"/>
      <c r="FP106" s="1213"/>
      <c r="FQ106" s="1213"/>
      <c r="FR106" s="1213"/>
      <c r="FS106" s="1213"/>
      <c r="FT106" s="1213"/>
      <c r="FU106" s="1213"/>
      <c r="FV106" s="1213"/>
      <c r="FW106" s="1213"/>
      <c r="FX106" s="1213"/>
      <c r="FY106" s="1213"/>
    </row>
    <row r="107" spans="1:181" s="1211" customFormat="1">
      <c r="A107" s="1212"/>
      <c r="B107" s="1212"/>
      <c r="C107" s="1268"/>
      <c r="D107" s="1267"/>
      <c r="E107" s="1266"/>
      <c r="F107" s="1266"/>
      <c r="G107" s="1266"/>
      <c r="L107" s="3"/>
      <c r="M107" s="3"/>
      <c r="N107" s="1214"/>
      <c r="O107" s="1214"/>
      <c r="P107" s="1214"/>
      <c r="Q107" s="1214"/>
      <c r="R107" s="1214"/>
      <c r="S107" s="1214"/>
      <c r="T107" s="1214"/>
      <c r="U107" s="1214"/>
      <c r="V107" s="1214"/>
      <c r="W107" s="1214"/>
      <c r="X107" s="1214"/>
      <c r="Y107" s="1214"/>
      <c r="Z107" s="1214"/>
      <c r="AA107" s="1214"/>
      <c r="AB107" s="1214"/>
      <c r="AC107" s="1214"/>
      <c r="AD107" s="1214"/>
      <c r="AE107" s="1214"/>
      <c r="AF107" s="1214"/>
      <c r="AG107" s="1214"/>
      <c r="AH107" s="1214"/>
      <c r="AI107" s="1214"/>
      <c r="AJ107" s="1214"/>
      <c r="AK107" s="1214"/>
      <c r="AL107" s="1214"/>
      <c r="AM107" s="1214"/>
      <c r="AN107" s="1214"/>
      <c r="AO107" s="1214"/>
      <c r="AP107" s="1214"/>
      <c r="AQ107" s="1214"/>
      <c r="AR107" s="1214"/>
      <c r="AS107" s="1214"/>
      <c r="AT107" s="1214"/>
      <c r="AU107" s="1214"/>
      <c r="AV107" s="1214"/>
      <c r="AW107" s="1214"/>
      <c r="AX107" s="1214"/>
      <c r="AY107" s="1214"/>
      <c r="AZ107" s="1214"/>
      <c r="BA107" s="1214"/>
      <c r="BB107" s="1214"/>
      <c r="BC107" s="1214"/>
      <c r="BD107" s="1214"/>
      <c r="BE107" s="1214"/>
      <c r="BF107" s="1214"/>
      <c r="BG107" s="1214"/>
      <c r="BH107" s="1214"/>
      <c r="BI107" s="1214"/>
      <c r="BJ107" s="1214"/>
      <c r="BK107" s="1214"/>
      <c r="BL107" s="1214"/>
      <c r="BM107" s="1214"/>
      <c r="BN107" s="1214"/>
      <c r="BO107" s="1214"/>
      <c r="BP107" s="1214"/>
      <c r="BQ107" s="1214"/>
      <c r="BR107" s="1214"/>
      <c r="BS107" s="1214"/>
      <c r="BT107" s="1214"/>
      <c r="BU107" s="1214"/>
      <c r="BV107" s="1214"/>
      <c r="BW107" s="1214"/>
      <c r="BX107" s="1214"/>
      <c r="BY107" s="1214"/>
      <c r="BZ107" s="1214"/>
      <c r="CA107" s="1214"/>
      <c r="CB107" s="1214"/>
      <c r="CC107" s="1214"/>
      <c r="CD107" s="1214"/>
      <c r="CE107" s="1214"/>
      <c r="CF107" s="1214"/>
      <c r="CG107" s="1214"/>
      <c r="CH107" s="1214"/>
      <c r="CI107" s="1214"/>
      <c r="CJ107" s="1214"/>
      <c r="CK107" s="1214"/>
      <c r="CL107" s="1214"/>
      <c r="CM107" s="1214"/>
      <c r="CN107" s="1214"/>
      <c r="CO107" s="1214"/>
      <c r="CP107" s="1214"/>
      <c r="CQ107" s="1214"/>
      <c r="CR107" s="1214"/>
      <c r="CS107" s="1214"/>
      <c r="CT107" s="1214"/>
      <c r="CU107" s="1214"/>
      <c r="CV107" s="1214"/>
      <c r="CW107" s="1214"/>
      <c r="CX107" s="1214"/>
      <c r="CY107" s="1214"/>
      <c r="CZ107" s="1214"/>
      <c r="DA107" s="1214"/>
      <c r="DB107" s="1214"/>
      <c r="DC107" s="1214"/>
      <c r="DD107" s="1214"/>
      <c r="DE107" s="1214"/>
      <c r="DF107" s="1214"/>
      <c r="DG107" s="1214"/>
      <c r="DH107" s="1214"/>
      <c r="DI107" s="1214"/>
      <c r="DJ107" s="1214"/>
      <c r="DK107" s="1214"/>
      <c r="DL107" s="1214"/>
      <c r="DM107" s="1214"/>
      <c r="DN107" s="1214"/>
      <c r="DO107" s="1214"/>
      <c r="DP107" s="1214"/>
      <c r="DQ107" s="1214"/>
      <c r="DR107" s="1214"/>
      <c r="DS107" s="1214"/>
      <c r="DT107" s="1214"/>
      <c r="DU107" s="1214"/>
      <c r="DV107" s="1214"/>
      <c r="DW107" s="1214"/>
      <c r="DX107" s="1214"/>
      <c r="DY107" s="1214"/>
      <c r="DZ107" s="1214"/>
      <c r="EA107" s="1214"/>
      <c r="EB107" s="1214"/>
      <c r="EC107" s="1214"/>
      <c r="ED107" s="1214"/>
      <c r="EE107" s="1214"/>
      <c r="EF107" s="1214"/>
      <c r="EG107" s="1214"/>
      <c r="EH107" s="1214"/>
      <c r="EI107" s="1214"/>
      <c r="EJ107" s="1214"/>
      <c r="EK107" s="1214"/>
      <c r="EL107" s="1214"/>
      <c r="EM107" s="1214"/>
      <c r="EN107" s="1214"/>
      <c r="EO107" s="1214"/>
      <c r="EP107" s="1214"/>
      <c r="EQ107" s="1214"/>
      <c r="ER107" s="1214"/>
      <c r="ES107" s="1214"/>
      <c r="ET107" s="1214"/>
      <c r="EU107" s="1214"/>
      <c r="EV107" s="1214"/>
      <c r="EW107" s="1214"/>
      <c r="EX107" s="1214"/>
      <c r="EY107" s="1214"/>
      <c r="EZ107" s="1214"/>
      <c r="FA107" s="1214"/>
      <c r="FB107" s="1214"/>
      <c r="FC107" s="1214"/>
      <c r="FD107" s="1214"/>
      <c r="FE107" s="1214"/>
      <c r="FF107" s="1214"/>
      <c r="FG107" s="1214"/>
      <c r="FH107" s="1214"/>
      <c r="FI107" s="1214"/>
      <c r="FJ107" s="1214"/>
      <c r="FK107" s="1214"/>
      <c r="FL107" s="1214"/>
      <c r="FM107" s="1214"/>
      <c r="FN107" s="1214"/>
      <c r="FO107" s="1214"/>
      <c r="FP107" s="1213"/>
      <c r="FQ107" s="1213"/>
      <c r="FR107" s="1213"/>
      <c r="FS107" s="1213"/>
      <c r="FT107" s="1213"/>
      <c r="FU107" s="1213"/>
      <c r="FV107" s="1213"/>
      <c r="FW107" s="1213"/>
      <c r="FX107" s="1213"/>
      <c r="FY107" s="1213"/>
    </row>
    <row r="108" spans="1:181" s="1211" customFormat="1">
      <c r="A108" s="1212"/>
      <c r="B108" s="1212"/>
      <c r="C108" s="1265"/>
      <c r="D108" s="1264">
        <v>11.2</v>
      </c>
      <c r="E108" s="1230"/>
      <c r="F108" s="1230"/>
      <c r="G108" s="1231"/>
      <c r="L108" s="3"/>
      <c r="M108" s="3"/>
      <c r="N108" s="1214"/>
      <c r="O108" s="1214"/>
      <c r="P108" s="1214"/>
      <c r="Q108" s="1214"/>
      <c r="R108" s="1214"/>
      <c r="S108" s="1214"/>
      <c r="T108" s="1214"/>
      <c r="U108" s="1214"/>
      <c r="V108" s="1214"/>
      <c r="W108" s="1214"/>
      <c r="X108" s="1214"/>
      <c r="Y108" s="1214"/>
      <c r="Z108" s="1214"/>
      <c r="AA108" s="1214"/>
      <c r="AB108" s="1214"/>
      <c r="AC108" s="1214"/>
      <c r="AD108" s="1214"/>
      <c r="AE108" s="1214"/>
      <c r="AF108" s="1214"/>
      <c r="AG108" s="1214"/>
      <c r="AH108" s="1214"/>
      <c r="AI108" s="1214"/>
      <c r="AJ108" s="1214"/>
      <c r="AK108" s="1214"/>
      <c r="AL108" s="1214"/>
      <c r="AM108" s="1214"/>
      <c r="AN108" s="1214"/>
      <c r="AO108" s="1214"/>
      <c r="AP108" s="1214"/>
      <c r="AQ108" s="1214"/>
      <c r="AR108" s="1214"/>
      <c r="AS108" s="1214"/>
      <c r="AT108" s="1214"/>
      <c r="AU108" s="1214"/>
      <c r="AV108" s="1214"/>
      <c r="AW108" s="1214"/>
      <c r="AX108" s="1214"/>
      <c r="AY108" s="1214"/>
      <c r="AZ108" s="1214"/>
      <c r="BA108" s="1214"/>
      <c r="BB108" s="1214"/>
      <c r="BC108" s="1214"/>
      <c r="BD108" s="1214"/>
      <c r="BE108" s="1214"/>
      <c r="BF108" s="1214"/>
      <c r="BG108" s="1214"/>
      <c r="BH108" s="1214"/>
      <c r="BI108" s="1214"/>
      <c r="BJ108" s="1214"/>
      <c r="BK108" s="1214"/>
      <c r="BL108" s="1214"/>
      <c r="BM108" s="1214"/>
      <c r="BN108" s="1214"/>
      <c r="BO108" s="1214"/>
      <c r="BP108" s="1214"/>
      <c r="BQ108" s="1214"/>
      <c r="BR108" s="1214"/>
      <c r="BS108" s="1214"/>
      <c r="BT108" s="1214"/>
      <c r="BU108" s="1214"/>
      <c r="BV108" s="1214"/>
      <c r="BW108" s="1214"/>
      <c r="BX108" s="1214"/>
      <c r="BY108" s="1214"/>
      <c r="BZ108" s="1214"/>
      <c r="CA108" s="1214"/>
      <c r="CB108" s="1214"/>
      <c r="CC108" s="1214"/>
      <c r="CD108" s="1214"/>
      <c r="CE108" s="1214"/>
      <c r="CF108" s="1214"/>
      <c r="CG108" s="1214"/>
      <c r="CH108" s="1214"/>
      <c r="CI108" s="1214"/>
      <c r="CJ108" s="1214"/>
      <c r="CK108" s="1214"/>
      <c r="CL108" s="1214"/>
      <c r="CM108" s="1214"/>
      <c r="CN108" s="1214"/>
      <c r="CO108" s="1214"/>
      <c r="CP108" s="1214"/>
      <c r="CQ108" s="1214"/>
      <c r="CR108" s="1214"/>
      <c r="CS108" s="1214"/>
      <c r="CT108" s="1214"/>
      <c r="CU108" s="1214"/>
      <c r="CV108" s="1214"/>
      <c r="CW108" s="1214"/>
      <c r="CX108" s="1214"/>
      <c r="CY108" s="1214"/>
      <c r="CZ108" s="1214"/>
      <c r="DA108" s="1214"/>
      <c r="DB108" s="1214"/>
      <c r="DC108" s="1214"/>
      <c r="DD108" s="1214"/>
      <c r="DE108" s="1214"/>
      <c r="DF108" s="1214"/>
      <c r="DG108" s="1214"/>
      <c r="DH108" s="1214"/>
      <c r="DI108" s="1214"/>
      <c r="DJ108" s="1214"/>
      <c r="DK108" s="1214"/>
      <c r="DL108" s="1214"/>
      <c r="DM108" s="1214"/>
      <c r="DN108" s="1214"/>
      <c r="DO108" s="1214"/>
      <c r="DP108" s="1214"/>
      <c r="DQ108" s="1214"/>
      <c r="DR108" s="1214"/>
      <c r="DS108" s="1214"/>
      <c r="DT108" s="1214"/>
      <c r="DU108" s="1214"/>
      <c r="DV108" s="1214"/>
      <c r="DW108" s="1214"/>
      <c r="DX108" s="1214"/>
      <c r="DY108" s="1214"/>
      <c r="DZ108" s="1214"/>
      <c r="EA108" s="1214"/>
      <c r="EB108" s="1214"/>
      <c r="EC108" s="1214"/>
      <c r="ED108" s="1214"/>
      <c r="EE108" s="1214"/>
      <c r="EF108" s="1214"/>
      <c r="EG108" s="1214"/>
      <c r="EH108" s="1214"/>
      <c r="EI108" s="1214"/>
      <c r="EJ108" s="1214"/>
      <c r="EK108" s="1214"/>
      <c r="EL108" s="1214"/>
      <c r="EM108" s="1214"/>
      <c r="EN108" s="1214"/>
      <c r="EO108" s="1214"/>
      <c r="EP108" s="1214"/>
      <c r="EQ108" s="1214"/>
      <c r="ER108" s="1214"/>
      <c r="ES108" s="1214"/>
      <c r="ET108" s="1214"/>
      <c r="EU108" s="1214"/>
      <c r="EV108" s="1214"/>
      <c r="EW108" s="1214"/>
      <c r="EX108" s="1214"/>
      <c r="EY108" s="1214"/>
      <c r="EZ108" s="1214"/>
      <c r="FA108" s="1214"/>
      <c r="FB108" s="1214"/>
      <c r="FC108" s="1214"/>
      <c r="FD108" s="1214"/>
      <c r="FE108" s="1214"/>
      <c r="FF108" s="1214"/>
      <c r="FG108" s="1214"/>
      <c r="FH108" s="1214"/>
      <c r="FI108" s="1214"/>
      <c r="FJ108" s="1214"/>
      <c r="FK108" s="1214"/>
      <c r="FL108" s="1214"/>
      <c r="FM108" s="1214"/>
      <c r="FN108" s="1214"/>
      <c r="FO108" s="1214"/>
      <c r="FP108" s="1213"/>
      <c r="FQ108" s="1213"/>
      <c r="FR108" s="1213"/>
      <c r="FS108" s="1213"/>
      <c r="FT108" s="1213"/>
      <c r="FU108" s="1213"/>
      <c r="FV108" s="1213"/>
      <c r="FW108" s="1213"/>
      <c r="FX108" s="1213"/>
      <c r="FY108" s="1213"/>
    </row>
    <row r="109" spans="1:181" s="1211" customFormat="1">
      <c r="A109" s="1212"/>
      <c r="B109" s="1212"/>
      <c r="C109" s="1230"/>
      <c r="D109" s="1230"/>
      <c r="E109" s="1230"/>
      <c r="F109" s="1230"/>
      <c r="G109" s="1231"/>
      <c r="L109" s="3"/>
      <c r="M109" s="3"/>
      <c r="N109" s="1214"/>
      <c r="O109" s="1214"/>
      <c r="P109" s="1214"/>
      <c r="Q109" s="1214"/>
      <c r="R109" s="1214"/>
      <c r="S109" s="1214"/>
      <c r="T109" s="1214"/>
      <c r="U109" s="1214"/>
      <c r="V109" s="1214"/>
      <c r="W109" s="1214"/>
      <c r="X109" s="1214"/>
      <c r="Y109" s="1214"/>
      <c r="Z109" s="1214"/>
      <c r="AA109" s="1214"/>
      <c r="AB109" s="1214"/>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3"/>
      <c r="FQ109" s="1213"/>
      <c r="FR109" s="1213"/>
      <c r="FS109" s="1213"/>
      <c r="FT109" s="1213"/>
      <c r="FU109" s="1213"/>
      <c r="FV109" s="1213"/>
      <c r="FW109" s="1213"/>
      <c r="FX109" s="1213"/>
      <c r="FY109" s="1213"/>
    </row>
    <row r="110" spans="1:181" s="1211" customFormat="1">
      <c r="A110" s="1212"/>
      <c r="B110" s="1212"/>
      <c r="C110" s="1263" t="s">
        <v>663</v>
      </c>
      <c r="D110" s="1259"/>
      <c r="E110" s="1259"/>
      <c r="F110" s="1230"/>
      <c r="G110" s="1231"/>
      <c r="L110" s="3"/>
      <c r="M110" s="3"/>
      <c r="N110" s="1214"/>
      <c r="O110" s="1214"/>
      <c r="P110" s="1214"/>
      <c r="Q110" s="1214"/>
      <c r="R110" s="1214"/>
      <c r="S110" s="1214"/>
      <c r="T110" s="1214"/>
      <c r="U110" s="1214"/>
      <c r="V110" s="1214"/>
      <c r="W110" s="1214"/>
      <c r="X110" s="1214"/>
      <c r="Y110" s="1214"/>
      <c r="Z110" s="1214"/>
      <c r="AA110" s="1214"/>
      <c r="AB110" s="1214"/>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4"/>
      <c r="CM110" s="1214"/>
      <c r="CN110" s="1214"/>
      <c r="CO110" s="1214"/>
      <c r="CP110" s="1214"/>
      <c r="CQ110" s="1214"/>
      <c r="CR110" s="1214"/>
      <c r="CS110" s="1214"/>
      <c r="CT110" s="1214"/>
      <c r="CU110" s="1214"/>
      <c r="CV110" s="1214"/>
      <c r="CW110" s="1214"/>
      <c r="CX110" s="1214"/>
      <c r="CY110" s="1214"/>
      <c r="CZ110" s="1214"/>
      <c r="DA110" s="1214"/>
      <c r="DB110" s="1214"/>
      <c r="DC110" s="1214"/>
      <c r="DD110" s="1214"/>
      <c r="DE110" s="1214"/>
      <c r="DF110" s="1214"/>
      <c r="DG110" s="1214"/>
      <c r="DH110" s="1214"/>
      <c r="DI110" s="1214"/>
      <c r="DJ110" s="1214"/>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3"/>
      <c r="FQ110" s="1213"/>
      <c r="FR110" s="1213"/>
      <c r="FS110" s="1213"/>
      <c r="FT110" s="1213"/>
      <c r="FU110" s="1213"/>
      <c r="FV110" s="1213"/>
      <c r="FW110" s="1213"/>
      <c r="FX110" s="1213"/>
      <c r="FY110" s="1213"/>
    </row>
    <row r="111" spans="1:181" s="1211" customFormat="1">
      <c r="A111" s="1212"/>
      <c r="B111" s="1212"/>
      <c r="C111" s="1261" t="s">
        <v>1778</v>
      </c>
      <c r="D111" s="1260"/>
      <c r="E111" s="1262">
        <v>0.12</v>
      </c>
      <c r="F111" s="172"/>
      <c r="G111" s="1231"/>
      <c r="L111" s="3"/>
      <c r="M111" s="3"/>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3"/>
      <c r="FQ111" s="1213"/>
      <c r="FR111" s="1213"/>
      <c r="FS111" s="1213"/>
      <c r="FT111" s="1213"/>
      <c r="FU111" s="1213"/>
      <c r="FV111" s="1213"/>
      <c r="FW111" s="1213"/>
      <c r="FX111" s="1213"/>
      <c r="FY111" s="1213"/>
    </row>
    <row r="112" spans="1:181" s="1211" customFormat="1">
      <c r="A112" s="1212"/>
      <c r="B112" s="1212"/>
      <c r="C112" s="1261" t="s">
        <v>1777</v>
      </c>
      <c r="D112" s="1260"/>
      <c r="E112" s="1245">
        <v>150000</v>
      </c>
      <c r="F112" s="172"/>
      <c r="G112" s="1231"/>
      <c r="L112" s="3"/>
      <c r="M112" s="3"/>
      <c r="N112" s="1214"/>
      <c r="O112" s="1214"/>
      <c r="P112" s="1214"/>
      <c r="Q112" s="1214"/>
      <c r="R112" s="1214"/>
      <c r="S112" s="1214"/>
      <c r="T112" s="1214"/>
      <c r="U112" s="1214"/>
      <c r="V112" s="1214"/>
      <c r="W112" s="1214"/>
      <c r="X112" s="1214"/>
      <c r="Y112" s="1214"/>
      <c r="Z112" s="1214"/>
      <c r="AA112" s="1214"/>
      <c r="AB112" s="1214"/>
      <c r="AC112" s="1214"/>
      <c r="AD112" s="1214"/>
      <c r="AE112" s="1214"/>
      <c r="AF112" s="1214"/>
      <c r="AG112" s="1214"/>
      <c r="AH112" s="1214"/>
      <c r="AI112" s="1214"/>
      <c r="AJ112" s="1214"/>
      <c r="AK112" s="1214"/>
      <c r="AL112" s="1214"/>
      <c r="AM112" s="1214"/>
      <c r="AN112" s="1214"/>
      <c r="AO112" s="1214"/>
      <c r="AP112" s="1214"/>
      <c r="AQ112" s="1214"/>
      <c r="AR112" s="1214"/>
      <c r="AS112" s="1214"/>
      <c r="AT112" s="1214"/>
      <c r="AU112" s="1214"/>
      <c r="AV112" s="1214"/>
      <c r="AW112" s="1214"/>
      <c r="AX112" s="1214"/>
      <c r="AY112" s="1214"/>
      <c r="AZ112" s="1214"/>
      <c r="BA112" s="1214"/>
      <c r="BB112" s="1214"/>
      <c r="BC112" s="1214"/>
      <c r="BD112" s="1214"/>
      <c r="BE112" s="1214"/>
      <c r="BF112" s="1214"/>
      <c r="BG112" s="1214"/>
      <c r="BH112" s="1214"/>
      <c r="BI112" s="1214"/>
      <c r="BJ112" s="1214"/>
      <c r="BK112" s="1214"/>
      <c r="BL112" s="1214"/>
      <c r="BM112" s="1214"/>
      <c r="BN112" s="1214"/>
      <c r="BO112" s="1214"/>
      <c r="BP112" s="1214"/>
      <c r="BQ112" s="1214"/>
      <c r="BR112" s="1214"/>
      <c r="BS112" s="1214"/>
      <c r="BT112" s="1214"/>
      <c r="BU112" s="1214"/>
      <c r="BV112" s="1214"/>
      <c r="BW112" s="1214"/>
      <c r="BX112" s="1214"/>
      <c r="BY112" s="1214"/>
      <c r="BZ112" s="1214"/>
      <c r="CA112" s="1214"/>
      <c r="CB112" s="1214"/>
      <c r="CC112" s="1214"/>
      <c r="CD112" s="1214"/>
      <c r="CE112" s="1214"/>
      <c r="CF112" s="1214"/>
      <c r="CG112" s="1214"/>
      <c r="CH112" s="1214"/>
      <c r="CI112" s="1214"/>
      <c r="CJ112" s="1214"/>
      <c r="CK112" s="1214"/>
      <c r="CL112" s="1214"/>
      <c r="CM112" s="1214"/>
      <c r="CN112" s="1214"/>
      <c r="CO112" s="1214"/>
      <c r="CP112" s="1214"/>
      <c r="CQ112" s="1214"/>
      <c r="CR112" s="1214"/>
      <c r="CS112" s="1214"/>
      <c r="CT112" s="1214"/>
      <c r="CU112" s="1214"/>
      <c r="CV112" s="1214"/>
      <c r="CW112" s="1214"/>
      <c r="CX112" s="1214"/>
      <c r="CY112" s="1214"/>
      <c r="CZ112" s="1214"/>
      <c r="DA112" s="1214"/>
      <c r="DB112" s="1214"/>
      <c r="DC112" s="1214"/>
      <c r="DD112" s="1214"/>
      <c r="DE112" s="1214"/>
      <c r="DF112" s="1214"/>
      <c r="DG112" s="1214"/>
      <c r="DH112" s="1214"/>
      <c r="DI112" s="1214"/>
      <c r="DJ112" s="1214"/>
      <c r="DK112" s="1214"/>
      <c r="DL112" s="1214"/>
      <c r="DM112" s="1214"/>
      <c r="DN112" s="1214"/>
      <c r="DO112" s="1214"/>
      <c r="DP112" s="1214"/>
      <c r="DQ112" s="1214"/>
      <c r="DR112" s="1214"/>
      <c r="DS112" s="1214"/>
      <c r="DT112" s="1214"/>
      <c r="DU112" s="1214"/>
      <c r="DV112" s="1214"/>
      <c r="DW112" s="1214"/>
      <c r="DX112" s="1214"/>
      <c r="DY112" s="1214"/>
      <c r="DZ112" s="1214"/>
      <c r="EA112" s="1214"/>
      <c r="EB112" s="1214"/>
      <c r="EC112" s="1214"/>
      <c r="ED112" s="1214"/>
      <c r="EE112" s="1214"/>
      <c r="EF112" s="1214"/>
      <c r="EG112" s="1214"/>
      <c r="EH112" s="1214"/>
      <c r="EI112" s="1214"/>
      <c r="EJ112" s="1214"/>
      <c r="EK112" s="1214"/>
      <c r="EL112" s="1214"/>
      <c r="EM112" s="1214"/>
      <c r="EN112" s="1214"/>
      <c r="EO112" s="1214"/>
      <c r="EP112" s="1214"/>
      <c r="EQ112" s="1214"/>
      <c r="ER112" s="1214"/>
      <c r="ES112" s="1214"/>
      <c r="ET112" s="1214"/>
      <c r="EU112" s="1214"/>
      <c r="EV112" s="1214"/>
      <c r="EW112" s="1214"/>
      <c r="EX112" s="1214"/>
      <c r="EY112" s="1214"/>
      <c r="EZ112" s="1214"/>
      <c r="FA112" s="1214"/>
      <c r="FB112" s="1214"/>
      <c r="FC112" s="1214"/>
      <c r="FD112" s="1214"/>
      <c r="FE112" s="1214"/>
      <c r="FF112" s="1214"/>
      <c r="FG112" s="1214"/>
      <c r="FH112" s="1214"/>
      <c r="FI112" s="1214"/>
      <c r="FJ112" s="1214"/>
      <c r="FK112" s="1214"/>
      <c r="FL112" s="1214"/>
      <c r="FM112" s="1214"/>
      <c r="FN112" s="1214"/>
      <c r="FO112" s="1214"/>
      <c r="FP112" s="1213"/>
      <c r="FQ112" s="1213"/>
      <c r="FR112" s="1213"/>
      <c r="FS112" s="1213"/>
      <c r="FT112" s="1213"/>
      <c r="FU112" s="1213"/>
      <c r="FV112" s="1213"/>
      <c r="FW112" s="1213"/>
      <c r="FX112" s="1213"/>
      <c r="FY112" s="1213"/>
    </row>
    <row r="113" spans="1:181" s="1211" customFormat="1">
      <c r="A113" s="1212"/>
      <c r="B113" s="1212"/>
      <c r="D113" s="1259"/>
      <c r="E113" s="1259"/>
      <c r="F113" s="1230"/>
      <c r="G113" s="1231"/>
      <c r="L113" s="3"/>
      <c r="M113" s="3"/>
      <c r="N113" s="1214"/>
      <c r="O113" s="1214"/>
      <c r="P113" s="1214"/>
      <c r="Q113" s="1214"/>
      <c r="R113" s="1214"/>
      <c r="S113" s="1214"/>
      <c r="T113" s="1214"/>
      <c r="U113" s="1214"/>
      <c r="V113" s="1214"/>
      <c r="W113" s="1214"/>
      <c r="X113" s="1214"/>
      <c r="Y113" s="1214"/>
      <c r="Z113" s="1214"/>
      <c r="AA113" s="1214"/>
      <c r="AB113" s="1214"/>
      <c r="AC113" s="1214"/>
      <c r="AD113" s="1214"/>
      <c r="AE113" s="1214"/>
      <c r="AF113" s="1214"/>
      <c r="AG113" s="1214"/>
      <c r="AH113" s="1214"/>
      <c r="AI113" s="1214"/>
      <c r="AJ113" s="1214"/>
      <c r="AK113" s="1214"/>
      <c r="AL113" s="1214"/>
      <c r="AM113" s="1214"/>
      <c r="AN113" s="1214"/>
      <c r="AO113" s="1214"/>
      <c r="AP113" s="1214"/>
      <c r="AQ113" s="1214"/>
      <c r="AR113" s="1214"/>
      <c r="AS113" s="1214"/>
      <c r="AT113" s="1214"/>
      <c r="AU113" s="1214"/>
      <c r="AV113" s="1214"/>
      <c r="AW113" s="1214"/>
      <c r="AX113" s="1214"/>
      <c r="AY113" s="1214"/>
      <c r="AZ113" s="1214"/>
      <c r="BA113" s="1214"/>
      <c r="BB113" s="1214"/>
      <c r="BC113" s="1214"/>
      <c r="BD113" s="1214"/>
      <c r="BE113" s="1214"/>
      <c r="BF113" s="1214"/>
      <c r="BG113" s="1214"/>
      <c r="BH113" s="1214"/>
      <c r="BI113" s="1214"/>
      <c r="BJ113" s="1214"/>
      <c r="BK113" s="1214"/>
      <c r="BL113" s="1214"/>
      <c r="BM113" s="1214"/>
      <c r="BN113" s="1214"/>
      <c r="BO113" s="1214"/>
      <c r="BP113" s="1214"/>
      <c r="BQ113" s="1214"/>
      <c r="BR113" s="1214"/>
      <c r="BS113" s="1214"/>
      <c r="BT113" s="1214"/>
      <c r="BU113" s="1214"/>
      <c r="BV113" s="1214"/>
      <c r="BW113" s="1214"/>
      <c r="BX113" s="1214"/>
      <c r="BY113" s="1214"/>
      <c r="BZ113" s="1214"/>
      <c r="CA113" s="1214"/>
      <c r="CB113" s="1214"/>
      <c r="CC113" s="1214"/>
      <c r="CD113" s="1214"/>
      <c r="CE113" s="1214"/>
      <c r="CF113" s="1214"/>
      <c r="CG113" s="1214"/>
      <c r="CH113" s="1214"/>
      <c r="CI113" s="1214"/>
      <c r="CJ113" s="1214"/>
      <c r="CK113" s="1214"/>
      <c r="CL113" s="1214"/>
      <c r="CM113" s="1214"/>
      <c r="CN113" s="1214"/>
      <c r="CO113" s="1214"/>
      <c r="CP113" s="1214"/>
      <c r="CQ113" s="1214"/>
      <c r="CR113" s="1214"/>
      <c r="CS113" s="1214"/>
      <c r="CT113" s="1214"/>
      <c r="CU113" s="1214"/>
      <c r="CV113" s="1214"/>
      <c r="CW113" s="1214"/>
      <c r="CX113" s="1214"/>
      <c r="CY113" s="1214"/>
      <c r="CZ113" s="1214"/>
      <c r="DA113" s="1214"/>
      <c r="DB113" s="1214"/>
      <c r="DC113" s="1214"/>
      <c r="DD113" s="1214"/>
      <c r="DE113" s="1214"/>
      <c r="DF113" s="1214"/>
      <c r="DG113" s="1214"/>
      <c r="DH113" s="1214"/>
      <c r="DI113" s="1214"/>
      <c r="DJ113" s="1214"/>
      <c r="DK113" s="1214"/>
      <c r="DL113" s="1214"/>
      <c r="DM113" s="1214"/>
      <c r="DN113" s="1214"/>
      <c r="DO113" s="1214"/>
      <c r="DP113" s="1214"/>
      <c r="DQ113" s="1214"/>
      <c r="DR113" s="1214"/>
      <c r="DS113" s="1214"/>
      <c r="DT113" s="1214"/>
      <c r="DU113" s="1214"/>
      <c r="DV113" s="1214"/>
      <c r="DW113" s="1214"/>
      <c r="DX113" s="1214"/>
      <c r="DY113" s="1214"/>
      <c r="DZ113" s="1214"/>
      <c r="EA113" s="1214"/>
      <c r="EB113" s="1214"/>
      <c r="EC113" s="1214"/>
      <c r="ED113" s="1214"/>
      <c r="EE113" s="1214"/>
      <c r="EF113" s="1214"/>
      <c r="EG113" s="1214"/>
      <c r="EH113" s="1214"/>
      <c r="EI113" s="1214"/>
      <c r="EJ113" s="1214"/>
      <c r="EK113" s="1214"/>
      <c r="EL113" s="1214"/>
      <c r="EM113" s="1214"/>
      <c r="EN113" s="1214"/>
      <c r="EO113" s="1214"/>
      <c r="EP113" s="1214"/>
      <c r="EQ113" s="1214"/>
      <c r="ER113" s="1214"/>
      <c r="ES113" s="1214"/>
      <c r="ET113" s="1214"/>
      <c r="EU113" s="1214"/>
      <c r="EV113" s="1214"/>
      <c r="EW113" s="1214"/>
      <c r="EX113" s="1214"/>
      <c r="EY113" s="1214"/>
      <c r="EZ113" s="1214"/>
      <c r="FA113" s="1214"/>
      <c r="FB113" s="1214"/>
      <c r="FC113" s="1214"/>
      <c r="FD113" s="1214"/>
      <c r="FE113" s="1214"/>
      <c r="FF113" s="1214"/>
      <c r="FG113" s="1214"/>
      <c r="FH113" s="1214"/>
      <c r="FI113" s="1214"/>
      <c r="FJ113" s="1214"/>
      <c r="FK113" s="1214"/>
      <c r="FL113" s="1214"/>
      <c r="FM113" s="1214"/>
      <c r="FN113" s="1214"/>
      <c r="FO113" s="1214"/>
      <c r="FP113" s="1213"/>
      <c r="FQ113" s="1213"/>
      <c r="FR113" s="1213"/>
      <c r="FS113" s="1213"/>
      <c r="FT113" s="1213"/>
      <c r="FU113" s="1213"/>
      <c r="FV113" s="1213"/>
      <c r="FW113" s="1213"/>
      <c r="FX113" s="1213"/>
      <c r="FY113" s="1213"/>
    </row>
    <row r="114" spans="1:181" s="1211" customFormat="1">
      <c r="A114" s="1212"/>
      <c r="B114" s="1212"/>
      <c r="C114" s="1211" t="s">
        <v>1776</v>
      </c>
      <c r="D114" s="1259"/>
      <c r="E114" s="1259"/>
      <c r="F114" s="1230"/>
      <c r="G114" s="1231"/>
      <c r="J114" s="107"/>
      <c r="L114" s="3"/>
      <c r="M114" s="3"/>
      <c r="N114" s="1214"/>
      <c r="O114" s="1214"/>
      <c r="P114" s="1214"/>
      <c r="Q114" s="1214"/>
      <c r="R114" s="1214"/>
      <c r="S114" s="1214"/>
      <c r="T114" s="1214"/>
      <c r="U114" s="1214"/>
      <c r="V114" s="1214"/>
      <c r="W114" s="1214"/>
      <c r="X114" s="1214"/>
      <c r="Y114" s="1214"/>
      <c r="Z114" s="1214"/>
      <c r="AA114" s="1214"/>
      <c r="AB114" s="1214"/>
      <c r="AC114" s="1214"/>
      <c r="AD114" s="1214"/>
      <c r="AE114" s="1214"/>
      <c r="AF114" s="1214"/>
      <c r="AG114" s="1214"/>
      <c r="AH114" s="1214"/>
      <c r="AI114" s="1214"/>
      <c r="AJ114" s="1214"/>
      <c r="AK114" s="1214"/>
      <c r="AL114" s="1214"/>
      <c r="AM114" s="1214"/>
      <c r="AN114" s="1214"/>
      <c r="AO114" s="1214"/>
      <c r="AP114" s="1214"/>
      <c r="AQ114" s="1214"/>
      <c r="AR114" s="1214"/>
      <c r="AS114" s="1214"/>
      <c r="AT114" s="1214"/>
      <c r="AU114" s="1214"/>
      <c r="AV114" s="1214"/>
      <c r="AW114" s="1214"/>
      <c r="AX114" s="1214"/>
      <c r="AY114" s="1214"/>
      <c r="AZ114" s="1214"/>
      <c r="BA114" s="1214"/>
      <c r="BB114" s="1214"/>
      <c r="BC114" s="1214"/>
      <c r="BD114" s="1214"/>
      <c r="BE114" s="1214"/>
      <c r="BF114" s="1214"/>
      <c r="BG114" s="1214"/>
      <c r="BH114" s="1214"/>
      <c r="BI114" s="1214"/>
      <c r="BJ114" s="1214"/>
      <c r="BK114" s="1214"/>
      <c r="BL114" s="1214"/>
      <c r="BM114" s="1214"/>
      <c r="BN114" s="1214"/>
      <c r="BO114" s="1214"/>
      <c r="BP114" s="1214"/>
      <c r="BQ114" s="1214"/>
      <c r="BR114" s="1214"/>
      <c r="BS114" s="1214"/>
      <c r="BT114" s="1214"/>
      <c r="BU114" s="1214"/>
      <c r="BV114" s="1214"/>
      <c r="BW114" s="1214"/>
      <c r="BX114" s="1214"/>
      <c r="BY114" s="1214"/>
      <c r="BZ114" s="1214"/>
      <c r="CA114" s="1214"/>
      <c r="CB114" s="1214"/>
      <c r="CC114" s="1214"/>
      <c r="CD114" s="1214"/>
      <c r="CE114" s="1214"/>
      <c r="CF114" s="1214"/>
      <c r="CG114" s="1214"/>
      <c r="CH114" s="1214"/>
      <c r="CI114" s="1214"/>
      <c r="CJ114" s="1214"/>
      <c r="CK114" s="1214"/>
      <c r="CL114" s="1214"/>
      <c r="CM114" s="1214"/>
      <c r="CN114" s="1214"/>
      <c r="CO114" s="1214"/>
      <c r="CP114" s="1214"/>
      <c r="CQ114" s="1214"/>
      <c r="CR114" s="1214"/>
      <c r="CS114" s="1214"/>
      <c r="CT114" s="1214"/>
      <c r="CU114" s="1214"/>
      <c r="CV114" s="1214"/>
      <c r="CW114" s="1214"/>
      <c r="CX114" s="1214"/>
      <c r="CY114" s="1214"/>
      <c r="CZ114" s="1214"/>
      <c r="DA114" s="1214"/>
      <c r="DB114" s="1214"/>
      <c r="DC114" s="1214"/>
      <c r="DD114" s="1214"/>
      <c r="DE114" s="1214"/>
      <c r="DF114" s="1214"/>
      <c r="DG114" s="1214"/>
      <c r="DH114" s="1214"/>
      <c r="DI114" s="1214"/>
      <c r="DJ114" s="1214"/>
      <c r="DK114" s="1214"/>
      <c r="DL114" s="1214"/>
      <c r="DM114" s="1214"/>
      <c r="DN114" s="1214"/>
      <c r="DO114" s="1214"/>
      <c r="DP114" s="1214"/>
      <c r="DQ114" s="1214"/>
      <c r="DR114" s="1214"/>
      <c r="DS114" s="1214"/>
      <c r="DT114" s="1214"/>
      <c r="DU114" s="1214"/>
      <c r="DV114" s="1214"/>
      <c r="DW114" s="1214"/>
      <c r="DX114" s="1214"/>
      <c r="DY114" s="1214"/>
      <c r="DZ114" s="1214"/>
      <c r="EA114" s="1214"/>
      <c r="EB114" s="1214"/>
      <c r="EC114" s="1214"/>
      <c r="ED114" s="1214"/>
      <c r="EE114" s="1214"/>
      <c r="EF114" s="1214"/>
      <c r="EG114" s="1214"/>
      <c r="EH114" s="1214"/>
      <c r="EI114" s="1214"/>
      <c r="EJ114" s="1214"/>
      <c r="EK114" s="1214"/>
      <c r="EL114" s="1214"/>
      <c r="EM114" s="1214"/>
      <c r="EN114" s="1214"/>
      <c r="EO114" s="1214"/>
      <c r="EP114" s="1214"/>
      <c r="EQ114" s="1214"/>
      <c r="ER114" s="1214"/>
      <c r="ES114" s="1214"/>
      <c r="ET114" s="1214"/>
      <c r="EU114" s="1214"/>
      <c r="EV114" s="1214"/>
      <c r="EW114" s="1214"/>
      <c r="EX114" s="1214"/>
      <c r="EY114" s="1214"/>
      <c r="EZ114" s="1214"/>
      <c r="FA114" s="1214"/>
      <c r="FB114" s="1214"/>
      <c r="FC114" s="1214"/>
      <c r="FD114" s="1214"/>
      <c r="FE114" s="1214"/>
      <c r="FF114" s="1214"/>
      <c r="FG114" s="1214"/>
      <c r="FH114" s="1214"/>
      <c r="FI114" s="1214"/>
      <c r="FJ114" s="1214"/>
      <c r="FK114" s="1214"/>
      <c r="FL114" s="1214"/>
      <c r="FM114" s="1214"/>
      <c r="FN114" s="1214"/>
      <c r="FO114" s="1214"/>
      <c r="FP114" s="1213"/>
      <c r="FQ114" s="1213"/>
      <c r="FR114" s="1213"/>
      <c r="FS114" s="1213"/>
      <c r="FT114" s="1213"/>
      <c r="FU114" s="1213"/>
      <c r="FV114" s="1213"/>
      <c r="FW114" s="1213"/>
      <c r="FX114" s="1213"/>
      <c r="FY114" s="1213"/>
    </row>
    <row r="115" spans="1:181" s="1211" customFormat="1">
      <c r="A115" s="1212"/>
      <c r="B115" s="1212"/>
      <c r="E115" s="1230"/>
      <c r="F115" s="1230"/>
      <c r="G115" s="1231"/>
      <c r="J115" s="107"/>
      <c r="L115" s="3"/>
      <c r="M115" s="3"/>
      <c r="N115" s="1214"/>
      <c r="O115" s="1214"/>
      <c r="P115" s="1214"/>
      <c r="Q115" s="1214"/>
      <c r="R115" s="1214"/>
      <c r="S115" s="1214"/>
      <c r="T115" s="1214"/>
      <c r="U115" s="1214"/>
      <c r="V115" s="1214"/>
      <c r="W115" s="1214"/>
      <c r="X115" s="1214"/>
      <c r="Y115" s="1214"/>
      <c r="Z115" s="1214"/>
      <c r="AA115" s="1214"/>
      <c r="AB115" s="1214"/>
      <c r="AC115" s="1214"/>
      <c r="AD115" s="1214"/>
      <c r="AE115" s="1214"/>
      <c r="AF115" s="1214"/>
      <c r="AG115" s="1214"/>
      <c r="AH115" s="1214"/>
      <c r="AI115" s="1214"/>
      <c r="AJ115" s="1214"/>
      <c r="AK115" s="1214"/>
      <c r="AL115" s="1214"/>
      <c r="AM115" s="1214"/>
      <c r="AN115" s="1214"/>
      <c r="AO115" s="1214"/>
      <c r="AP115" s="1214"/>
      <c r="AQ115" s="1214"/>
      <c r="AR115" s="1214"/>
      <c r="AS115" s="1214"/>
      <c r="AT115" s="1214"/>
      <c r="AU115" s="1214"/>
      <c r="AV115" s="1214"/>
      <c r="AW115" s="1214"/>
      <c r="AX115" s="1214"/>
      <c r="AY115" s="1214"/>
      <c r="AZ115" s="1214"/>
      <c r="BA115" s="1214"/>
      <c r="BB115" s="1214"/>
      <c r="BC115" s="1214"/>
      <c r="BD115" s="1214"/>
      <c r="BE115" s="1214"/>
      <c r="BF115" s="1214"/>
      <c r="BG115" s="1214"/>
      <c r="BH115" s="1214"/>
      <c r="BI115" s="1214"/>
      <c r="BJ115" s="1214"/>
      <c r="BK115" s="1214"/>
      <c r="BL115" s="1214"/>
      <c r="BM115" s="1214"/>
      <c r="BN115" s="1214"/>
      <c r="BO115" s="1214"/>
      <c r="BP115" s="1214"/>
      <c r="BQ115" s="1214"/>
      <c r="BR115" s="1214"/>
      <c r="BS115" s="1214"/>
      <c r="BT115" s="1214"/>
      <c r="BU115" s="1214"/>
      <c r="BV115" s="1214"/>
      <c r="BW115" s="1214"/>
      <c r="BX115" s="1214"/>
      <c r="BY115" s="1214"/>
      <c r="BZ115" s="1214"/>
      <c r="CA115" s="1214"/>
      <c r="CB115" s="1214"/>
      <c r="CC115" s="1214"/>
      <c r="CD115" s="1214"/>
      <c r="CE115" s="1214"/>
      <c r="CF115" s="1214"/>
      <c r="CG115" s="1214"/>
      <c r="CH115" s="1214"/>
      <c r="CI115" s="1214"/>
      <c r="CJ115" s="1214"/>
      <c r="CK115" s="1214"/>
      <c r="CL115" s="1214"/>
      <c r="CM115" s="1214"/>
      <c r="CN115" s="1214"/>
      <c r="CO115" s="1214"/>
      <c r="CP115" s="1214"/>
      <c r="CQ115" s="1214"/>
      <c r="CR115" s="1214"/>
      <c r="CS115" s="1214"/>
      <c r="CT115" s="1214"/>
      <c r="CU115" s="1214"/>
      <c r="CV115" s="1214"/>
      <c r="CW115" s="1214"/>
      <c r="CX115" s="1214"/>
      <c r="CY115" s="1214"/>
      <c r="CZ115" s="1214"/>
      <c r="DA115" s="1214"/>
      <c r="DB115" s="1214"/>
      <c r="DC115" s="1214"/>
      <c r="DD115" s="1214"/>
      <c r="DE115" s="1214"/>
      <c r="DF115" s="1214"/>
      <c r="DG115" s="1214"/>
      <c r="DH115" s="1214"/>
      <c r="DI115" s="1214"/>
      <c r="DJ115" s="1214"/>
      <c r="DK115" s="1214"/>
      <c r="DL115" s="1214"/>
      <c r="DM115" s="1214"/>
      <c r="DN115" s="1214"/>
      <c r="DO115" s="1214"/>
      <c r="DP115" s="1214"/>
      <c r="DQ115" s="1214"/>
      <c r="DR115" s="1214"/>
      <c r="DS115" s="1214"/>
      <c r="DT115" s="1214"/>
      <c r="DU115" s="1214"/>
      <c r="DV115" s="1214"/>
      <c r="DW115" s="1214"/>
      <c r="DX115" s="1214"/>
      <c r="DY115" s="1214"/>
      <c r="DZ115" s="1214"/>
      <c r="EA115" s="1214"/>
      <c r="EB115" s="1214"/>
      <c r="EC115" s="1214"/>
      <c r="ED115" s="1214"/>
      <c r="EE115" s="1214"/>
      <c r="EF115" s="1214"/>
      <c r="EG115" s="1214"/>
      <c r="EH115" s="1214"/>
      <c r="EI115" s="1214"/>
      <c r="EJ115" s="1214"/>
      <c r="EK115" s="1214"/>
      <c r="EL115" s="1214"/>
      <c r="EM115" s="1214"/>
      <c r="EN115" s="1214"/>
      <c r="EO115" s="1214"/>
      <c r="EP115" s="1214"/>
      <c r="EQ115" s="1214"/>
      <c r="ER115" s="1214"/>
      <c r="ES115" s="1214"/>
      <c r="ET115" s="1214"/>
      <c r="EU115" s="1214"/>
      <c r="EV115" s="1214"/>
      <c r="EW115" s="1214"/>
      <c r="EX115" s="1214"/>
      <c r="EY115" s="1214"/>
      <c r="EZ115" s="1214"/>
      <c r="FA115" s="1214"/>
      <c r="FB115" s="1214"/>
      <c r="FC115" s="1214"/>
      <c r="FD115" s="1214"/>
      <c r="FE115" s="1214"/>
      <c r="FF115" s="1214"/>
      <c r="FG115" s="1214"/>
      <c r="FH115" s="1214"/>
      <c r="FI115" s="1214"/>
      <c r="FJ115" s="1214"/>
      <c r="FK115" s="1214"/>
      <c r="FL115" s="1214"/>
      <c r="FM115" s="1214"/>
      <c r="FN115" s="1214"/>
      <c r="FO115" s="1214"/>
      <c r="FP115" s="1213"/>
      <c r="FQ115" s="1213"/>
      <c r="FR115" s="1213"/>
      <c r="FS115" s="1213"/>
      <c r="FT115" s="1213"/>
      <c r="FU115" s="1213"/>
      <c r="FV115" s="1213"/>
      <c r="FW115" s="1213"/>
      <c r="FX115" s="1213"/>
      <c r="FY115" s="1213"/>
    </row>
    <row r="116" spans="1:181" s="1211" customFormat="1">
      <c r="A116" s="1212"/>
      <c r="B116" s="1211" t="s">
        <v>26</v>
      </c>
      <c r="C116" s="1233" t="s">
        <v>202</v>
      </c>
      <c r="D116" s="1211" t="s">
        <v>1775</v>
      </c>
      <c r="E116" s="1239"/>
      <c r="J116" s="172"/>
      <c r="L116" s="3"/>
      <c r="M116" s="3"/>
      <c r="N116" s="1214"/>
      <c r="O116" s="1214"/>
      <c r="P116" s="1214"/>
      <c r="Q116" s="1214"/>
      <c r="R116" s="1214"/>
      <c r="S116" s="1214"/>
      <c r="T116" s="1214"/>
      <c r="U116" s="1214"/>
      <c r="V116" s="1214"/>
      <c r="W116" s="1214"/>
      <c r="X116" s="1214"/>
      <c r="Y116" s="1214"/>
      <c r="Z116" s="1214"/>
      <c r="AA116" s="1214"/>
      <c r="AB116" s="1214"/>
      <c r="AC116" s="1214"/>
      <c r="AD116" s="1214"/>
      <c r="AE116" s="1214"/>
      <c r="AF116" s="1214"/>
      <c r="AG116" s="1214"/>
      <c r="AH116" s="1214"/>
      <c r="AI116" s="1214"/>
      <c r="AJ116" s="1214"/>
      <c r="AK116" s="1214"/>
      <c r="AL116" s="1214"/>
      <c r="AM116" s="1214"/>
      <c r="AN116" s="1214"/>
      <c r="AO116" s="1214"/>
      <c r="AP116" s="1214"/>
      <c r="AQ116" s="1214"/>
      <c r="AR116" s="1214"/>
      <c r="AS116" s="1214"/>
      <c r="AT116" s="1214"/>
      <c r="AU116" s="1214"/>
      <c r="AV116" s="1214"/>
      <c r="AW116" s="1214"/>
      <c r="AX116" s="1214"/>
      <c r="AY116" s="1214"/>
      <c r="AZ116" s="1214"/>
      <c r="BA116" s="1214"/>
      <c r="BB116" s="1214"/>
      <c r="BC116" s="1214"/>
      <c r="BD116" s="1214"/>
      <c r="BE116" s="1214"/>
      <c r="BF116" s="1214"/>
      <c r="BG116" s="1214"/>
      <c r="BH116" s="1214"/>
      <c r="BI116" s="1214"/>
      <c r="BJ116" s="1214"/>
      <c r="BK116" s="1214"/>
      <c r="BL116" s="1214"/>
      <c r="BM116" s="1214"/>
      <c r="BN116" s="1214"/>
      <c r="BO116" s="1214"/>
      <c r="BP116" s="1214"/>
      <c r="BQ116" s="1214"/>
      <c r="BR116" s="1214"/>
      <c r="BS116" s="1214"/>
      <c r="BT116" s="1214"/>
      <c r="BU116" s="1214"/>
      <c r="BV116" s="1214"/>
      <c r="BW116" s="1214"/>
      <c r="BX116" s="1214"/>
      <c r="BY116" s="1214"/>
      <c r="BZ116" s="1214"/>
      <c r="CA116" s="1214"/>
      <c r="CB116" s="1214"/>
      <c r="CC116" s="1214"/>
      <c r="CD116" s="1214"/>
      <c r="CE116" s="1214"/>
      <c r="CF116" s="1214"/>
      <c r="CG116" s="1214"/>
      <c r="CH116" s="1214"/>
      <c r="CI116" s="1214"/>
      <c r="CJ116" s="1214"/>
      <c r="CK116" s="1214"/>
      <c r="CL116" s="1214"/>
      <c r="CM116" s="1214"/>
      <c r="CN116" s="1214"/>
      <c r="CO116" s="1214"/>
      <c r="CP116" s="1214"/>
      <c r="CQ116" s="1214"/>
      <c r="CR116" s="1214"/>
      <c r="CS116" s="1214"/>
      <c r="CT116" s="1214"/>
      <c r="CU116" s="1214"/>
      <c r="CV116" s="1214"/>
      <c r="CW116" s="1214"/>
      <c r="CX116" s="1214"/>
      <c r="CY116" s="1214"/>
      <c r="CZ116" s="1214"/>
      <c r="DA116" s="1214"/>
      <c r="DB116" s="1214"/>
      <c r="DC116" s="1214"/>
      <c r="DD116" s="1214"/>
      <c r="DE116" s="1214"/>
      <c r="DF116" s="1214"/>
      <c r="DG116" s="1214"/>
      <c r="DH116" s="1214"/>
      <c r="DI116" s="1214"/>
      <c r="DJ116" s="1214"/>
      <c r="DK116" s="1214"/>
      <c r="DL116" s="1214"/>
      <c r="DM116" s="1214"/>
      <c r="DN116" s="1214"/>
      <c r="DO116" s="1214"/>
      <c r="DP116" s="1214"/>
      <c r="DQ116" s="1214"/>
      <c r="DR116" s="1214"/>
      <c r="DS116" s="1214"/>
      <c r="DT116" s="1214"/>
      <c r="DU116" s="1214"/>
      <c r="DV116" s="1214"/>
      <c r="DW116" s="1214"/>
      <c r="DX116" s="1214"/>
      <c r="DY116" s="1214"/>
      <c r="DZ116" s="1214"/>
      <c r="EA116" s="1214"/>
      <c r="EB116" s="1214"/>
      <c r="EC116" s="1214"/>
      <c r="ED116" s="1214"/>
      <c r="EE116" s="1214"/>
      <c r="EF116" s="1214"/>
      <c r="EG116" s="1214"/>
      <c r="EH116" s="1214"/>
      <c r="EI116" s="1214"/>
      <c r="EJ116" s="1214"/>
      <c r="EK116" s="1214"/>
      <c r="EL116" s="1214"/>
      <c r="EM116" s="1214"/>
      <c r="EN116" s="1214"/>
      <c r="EO116" s="1214"/>
      <c r="EP116" s="1214"/>
      <c r="EQ116" s="1214"/>
      <c r="ER116" s="1214"/>
      <c r="ES116" s="1214"/>
      <c r="ET116" s="1214"/>
      <c r="EU116" s="1214"/>
      <c r="EV116" s="1214"/>
      <c r="EW116" s="1214"/>
      <c r="EX116" s="1214"/>
      <c r="EY116" s="1214"/>
      <c r="EZ116" s="1214"/>
      <c r="FA116" s="1214"/>
      <c r="FB116" s="1214"/>
      <c r="FC116" s="1214"/>
      <c r="FD116" s="1214"/>
      <c r="FE116" s="1214"/>
      <c r="FF116" s="1214"/>
      <c r="FG116" s="1214"/>
      <c r="FH116" s="1214"/>
      <c r="FI116" s="1214"/>
      <c r="FJ116" s="1214"/>
      <c r="FK116" s="1214"/>
      <c r="FL116" s="1214"/>
      <c r="FM116" s="1214"/>
      <c r="FN116" s="1214"/>
      <c r="FO116" s="1214"/>
      <c r="FP116" s="1213"/>
      <c r="FQ116" s="1213"/>
      <c r="FR116" s="1213"/>
      <c r="FS116" s="1213"/>
      <c r="FT116" s="1213"/>
      <c r="FU116" s="1213"/>
      <c r="FV116" s="1213"/>
      <c r="FW116" s="1213"/>
      <c r="FX116" s="1213"/>
      <c r="FY116" s="1213"/>
    </row>
    <row r="117" spans="1:181" s="1211" customFormat="1">
      <c r="A117" s="1212"/>
      <c r="B117" s="1212"/>
      <c r="C117" s="1234"/>
      <c r="D117" s="1232"/>
      <c r="E117" s="1239"/>
      <c r="J117" s="172"/>
      <c r="L117" s="3"/>
      <c r="M117" s="3"/>
      <c r="N117" s="1214"/>
      <c r="O117" s="1214"/>
      <c r="P117" s="1214"/>
      <c r="Q117" s="1214"/>
      <c r="R117" s="1214"/>
      <c r="S117" s="1214"/>
      <c r="T117" s="1214"/>
      <c r="U117" s="1214"/>
      <c r="V117" s="1214"/>
      <c r="W117" s="1214"/>
      <c r="X117" s="1214"/>
      <c r="Y117" s="1214"/>
      <c r="Z117" s="1214"/>
      <c r="AA117" s="1214"/>
      <c r="AB117" s="1214"/>
      <c r="AC117" s="1214"/>
      <c r="AD117" s="1214"/>
      <c r="AE117" s="1214"/>
      <c r="AF117" s="1214"/>
      <c r="AG117" s="1214"/>
      <c r="AH117" s="1214"/>
      <c r="AI117" s="1214"/>
      <c r="AJ117" s="1214"/>
      <c r="AK117" s="1214"/>
      <c r="AL117" s="1214"/>
      <c r="AM117" s="1214"/>
      <c r="AN117" s="1214"/>
      <c r="AO117" s="1214"/>
      <c r="AP117" s="1214"/>
      <c r="AQ117" s="1214"/>
      <c r="AR117" s="1214"/>
      <c r="AS117" s="1214"/>
      <c r="AT117" s="1214"/>
      <c r="AU117" s="1214"/>
      <c r="AV117" s="1214"/>
      <c r="AW117" s="1214"/>
      <c r="AX117" s="1214"/>
      <c r="AY117" s="1214"/>
      <c r="AZ117" s="1214"/>
      <c r="BA117" s="1214"/>
      <c r="BB117" s="1214"/>
      <c r="BC117" s="1214"/>
      <c r="BD117" s="1214"/>
      <c r="BE117" s="1214"/>
      <c r="BF117" s="1214"/>
      <c r="BG117" s="1214"/>
      <c r="BH117" s="1214"/>
      <c r="BI117" s="1214"/>
      <c r="BJ117" s="1214"/>
      <c r="BK117" s="1214"/>
      <c r="BL117" s="1214"/>
      <c r="BM117" s="1214"/>
      <c r="BN117" s="1214"/>
      <c r="BO117" s="1214"/>
      <c r="BP117" s="1214"/>
      <c r="BQ117" s="1214"/>
      <c r="BR117" s="1214"/>
      <c r="BS117" s="1214"/>
      <c r="BT117" s="1214"/>
      <c r="BU117" s="1214"/>
      <c r="BV117" s="1214"/>
      <c r="BW117" s="1214"/>
      <c r="BX117" s="1214"/>
      <c r="BY117" s="1214"/>
      <c r="BZ117" s="1214"/>
      <c r="CA117" s="1214"/>
      <c r="CB117" s="1214"/>
      <c r="CC117" s="1214"/>
      <c r="CD117" s="1214"/>
      <c r="CE117" s="1214"/>
      <c r="CF117" s="1214"/>
      <c r="CG117" s="1214"/>
      <c r="CH117" s="1214"/>
      <c r="CI117" s="1214"/>
      <c r="CJ117" s="1214"/>
      <c r="CK117" s="1214"/>
      <c r="CL117" s="1214"/>
      <c r="CM117" s="1214"/>
      <c r="CN117" s="1214"/>
      <c r="CO117" s="1214"/>
      <c r="CP117" s="1214"/>
      <c r="CQ117" s="1214"/>
      <c r="CR117" s="1214"/>
      <c r="CS117" s="1214"/>
      <c r="CT117" s="1214"/>
      <c r="CU117" s="1214"/>
      <c r="CV117" s="1214"/>
      <c r="CW117" s="1214"/>
      <c r="CX117" s="1214"/>
      <c r="CY117" s="1214"/>
      <c r="CZ117" s="1214"/>
      <c r="DA117" s="1214"/>
      <c r="DB117" s="1214"/>
      <c r="DC117" s="1214"/>
      <c r="DD117" s="1214"/>
      <c r="DE117" s="1214"/>
      <c r="DF117" s="1214"/>
      <c r="DG117" s="1214"/>
      <c r="DH117" s="1214"/>
      <c r="DI117" s="1214"/>
      <c r="DJ117" s="1214"/>
      <c r="DK117" s="1214"/>
      <c r="DL117" s="1214"/>
      <c r="DM117" s="1214"/>
      <c r="DN117" s="1214"/>
      <c r="DO117" s="1214"/>
      <c r="DP117" s="1214"/>
      <c r="DQ117" s="1214"/>
      <c r="DR117" s="1214"/>
      <c r="DS117" s="1214"/>
      <c r="DT117" s="1214"/>
      <c r="DU117" s="1214"/>
      <c r="DV117" s="1214"/>
      <c r="DW117" s="1214"/>
      <c r="DX117" s="1214"/>
      <c r="DY117" s="1214"/>
      <c r="DZ117" s="1214"/>
      <c r="EA117" s="1214"/>
      <c r="EB117" s="1214"/>
      <c r="EC117" s="1214"/>
      <c r="ED117" s="1214"/>
      <c r="EE117" s="1214"/>
      <c r="EF117" s="1214"/>
      <c r="EG117" s="1214"/>
      <c r="EH117" s="1214"/>
      <c r="EI117" s="1214"/>
      <c r="EJ117" s="1214"/>
      <c r="EK117" s="1214"/>
      <c r="EL117" s="1214"/>
      <c r="EM117" s="1214"/>
      <c r="EN117" s="1214"/>
      <c r="EO117" s="1214"/>
      <c r="EP117" s="1214"/>
      <c r="EQ117" s="1214"/>
      <c r="ER117" s="1214"/>
      <c r="ES117" s="1214"/>
      <c r="ET117" s="1214"/>
      <c r="EU117" s="1214"/>
      <c r="EV117" s="1214"/>
      <c r="EW117" s="1214"/>
      <c r="EX117" s="1214"/>
      <c r="EY117" s="1214"/>
      <c r="EZ117" s="1214"/>
      <c r="FA117" s="1214"/>
      <c r="FB117" s="1214"/>
      <c r="FC117" s="1214"/>
      <c r="FD117" s="1214"/>
      <c r="FE117" s="1214"/>
      <c r="FF117" s="1214"/>
      <c r="FG117" s="1214"/>
      <c r="FH117" s="1214"/>
      <c r="FI117" s="1214"/>
      <c r="FJ117" s="1214"/>
      <c r="FK117" s="1214"/>
      <c r="FL117" s="1214"/>
      <c r="FM117" s="1214"/>
      <c r="FN117" s="1214"/>
      <c r="FO117" s="1214"/>
      <c r="FP117" s="1213"/>
      <c r="FQ117" s="1213"/>
      <c r="FR117" s="1213"/>
      <c r="FS117" s="1213"/>
      <c r="FT117" s="1213"/>
      <c r="FU117" s="1213"/>
      <c r="FV117" s="1213"/>
      <c r="FW117" s="1213"/>
      <c r="FX117" s="1213"/>
      <c r="FY117" s="1213"/>
    </row>
    <row r="118" spans="1:181" s="1211" customFormat="1">
      <c r="A118" s="1212"/>
      <c r="B118" s="1212"/>
      <c r="D118" s="2231" t="s">
        <v>1751</v>
      </c>
      <c r="E118" s="2232"/>
      <c r="F118" s="2232"/>
      <c r="G118" s="2232"/>
      <c r="H118" s="2232"/>
      <c r="I118" s="2233"/>
      <c r="J118" s="172"/>
      <c r="L118" s="3"/>
      <c r="M118" s="3"/>
      <c r="N118" s="1214"/>
      <c r="O118" s="1214"/>
      <c r="P118" s="1214"/>
      <c r="Q118" s="1214"/>
      <c r="R118" s="1214"/>
      <c r="S118" s="1214"/>
      <c r="T118" s="1214"/>
      <c r="U118" s="1214"/>
      <c r="V118" s="1214"/>
      <c r="W118" s="1214"/>
      <c r="X118" s="1214"/>
      <c r="Y118" s="1214"/>
      <c r="Z118" s="1214"/>
      <c r="AA118" s="1214"/>
      <c r="AB118" s="1214"/>
      <c r="AC118" s="1214"/>
      <c r="AD118" s="1214"/>
      <c r="AE118" s="1214"/>
      <c r="AF118" s="1214"/>
      <c r="AG118" s="1214"/>
      <c r="AH118" s="1214"/>
      <c r="AI118" s="1214"/>
      <c r="AJ118" s="1214"/>
      <c r="AK118" s="1214"/>
      <c r="AL118" s="1214"/>
      <c r="AM118" s="1214"/>
      <c r="AN118" s="1214"/>
      <c r="AO118" s="1214"/>
      <c r="AP118" s="1214"/>
      <c r="AQ118" s="1214"/>
      <c r="AR118" s="1214"/>
      <c r="AS118" s="1214"/>
      <c r="AT118" s="1214"/>
      <c r="AU118" s="1214"/>
      <c r="AV118" s="1214"/>
      <c r="AW118" s="1214"/>
      <c r="AX118" s="1214"/>
      <c r="AY118" s="1214"/>
      <c r="AZ118" s="1214"/>
      <c r="BA118" s="1214"/>
      <c r="BB118" s="1214"/>
      <c r="BC118" s="1214"/>
      <c r="BD118" s="1214"/>
      <c r="BE118" s="1214"/>
      <c r="BF118" s="1214"/>
      <c r="BG118" s="1214"/>
      <c r="BH118" s="1214"/>
      <c r="BI118" s="1214"/>
      <c r="BJ118" s="1214"/>
      <c r="BK118" s="1214"/>
      <c r="BL118" s="1214"/>
      <c r="BM118" s="1214"/>
      <c r="BN118" s="1214"/>
      <c r="BO118" s="1214"/>
      <c r="BP118" s="1214"/>
      <c r="BQ118" s="1214"/>
      <c r="BR118" s="1214"/>
      <c r="BS118" s="1214"/>
      <c r="BT118" s="1214"/>
      <c r="BU118" s="1214"/>
      <c r="BV118" s="1214"/>
      <c r="BW118" s="1214"/>
      <c r="BX118" s="1214"/>
      <c r="BY118" s="1214"/>
      <c r="BZ118" s="1214"/>
      <c r="CA118" s="1214"/>
      <c r="CB118" s="1214"/>
      <c r="CC118" s="1214"/>
      <c r="CD118" s="1214"/>
      <c r="CE118" s="1214"/>
      <c r="CF118" s="1214"/>
      <c r="CG118" s="1214"/>
      <c r="CH118" s="1214"/>
      <c r="CI118" s="1214"/>
      <c r="CJ118" s="1214"/>
      <c r="CK118" s="1214"/>
      <c r="CL118" s="1214"/>
      <c r="CM118" s="1214"/>
      <c r="CN118" s="1214"/>
      <c r="CO118" s="1214"/>
      <c r="CP118" s="1214"/>
      <c r="CQ118" s="1214"/>
      <c r="CR118" s="1214"/>
      <c r="CS118" s="1214"/>
      <c r="CT118" s="1214"/>
      <c r="CU118" s="1214"/>
      <c r="CV118" s="1214"/>
      <c r="CW118" s="1214"/>
      <c r="CX118" s="1214"/>
      <c r="CY118" s="1214"/>
      <c r="CZ118" s="1214"/>
      <c r="DA118" s="1214"/>
      <c r="DB118" s="1214"/>
      <c r="DC118" s="1214"/>
      <c r="DD118" s="1214"/>
      <c r="DE118" s="1214"/>
      <c r="DF118" s="1214"/>
      <c r="DG118" s="1214"/>
      <c r="DH118" s="1214"/>
      <c r="DI118" s="1214"/>
      <c r="DJ118" s="1214"/>
      <c r="DK118" s="1214"/>
      <c r="DL118" s="1214"/>
      <c r="DM118" s="1214"/>
      <c r="DN118" s="1214"/>
      <c r="DO118" s="1214"/>
      <c r="DP118" s="1214"/>
      <c r="DQ118" s="1214"/>
      <c r="DR118" s="1214"/>
      <c r="DS118" s="1214"/>
      <c r="DT118" s="1214"/>
      <c r="DU118" s="1214"/>
      <c r="DV118" s="1214"/>
      <c r="DW118" s="1214"/>
      <c r="DX118" s="1214"/>
      <c r="DY118" s="1214"/>
      <c r="DZ118" s="1214"/>
      <c r="EA118" s="1214"/>
      <c r="EB118" s="1214"/>
      <c r="EC118" s="1214"/>
      <c r="ED118" s="1214"/>
      <c r="EE118" s="1214"/>
      <c r="EF118" s="1214"/>
      <c r="EG118" s="1214"/>
      <c r="EH118" s="1214"/>
      <c r="EI118" s="1214"/>
      <c r="EJ118" s="1214"/>
      <c r="EK118" s="1214"/>
      <c r="EL118" s="1214"/>
      <c r="EM118" s="1214"/>
      <c r="EN118" s="1214"/>
      <c r="EO118" s="1214"/>
      <c r="EP118" s="1214"/>
      <c r="EQ118" s="1214"/>
      <c r="ER118" s="1214"/>
      <c r="ES118" s="1214"/>
      <c r="ET118" s="1214"/>
      <c r="EU118" s="1214"/>
      <c r="EV118" s="1214"/>
      <c r="EW118" s="1214"/>
      <c r="EX118" s="1214"/>
      <c r="EY118" s="1214"/>
      <c r="EZ118" s="1214"/>
      <c r="FA118" s="1214"/>
      <c r="FB118" s="1214"/>
      <c r="FC118" s="1214"/>
      <c r="FD118" s="1214"/>
      <c r="FE118" s="1214"/>
      <c r="FF118" s="1214"/>
      <c r="FG118" s="1214"/>
      <c r="FH118" s="1214"/>
      <c r="FI118" s="1214"/>
      <c r="FJ118" s="1214"/>
      <c r="FK118" s="1214"/>
      <c r="FL118" s="1214"/>
      <c r="FM118" s="1214"/>
      <c r="FN118" s="1214"/>
      <c r="FO118" s="1214"/>
      <c r="FP118" s="1213"/>
      <c r="FQ118" s="1213"/>
      <c r="FR118" s="1213"/>
      <c r="FS118" s="1213"/>
      <c r="FT118" s="1213"/>
      <c r="FU118" s="1213"/>
      <c r="FV118" s="1213"/>
      <c r="FW118" s="1213"/>
      <c r="FX118" s="1213"/>
      <c r="FY118" s="1213"/>
    </row>
    <row r="119" spans="1:181" s="1211" customFormat="1">
      <c r="A119" s="1212"/>
      <c r="B119" s="1212"/>
      <c r="D119" s="2234"/>
      <c r="E119" s="2235"/>
      <c r="F119" s="2235"/>
      <c r="G119" s="2235"/>
      <c r="H119" s="2235"/>
      <c r="I119" s="2236"/>
      <c r="J119" s="172"/>
      <c r="L119" s="3"/>
      <c r="M119" s="3"/>
      <c r="N119" s="1214"/>
      <c r="O119" s="1214"/>
      <c r="P119" s="1214"/>
      <c r="Q119" s="1214"/>
      <c r="R119" s="1214"/>
      <c r="S119" s="1214"/>
      <c r="T119" s="1214"/>
      <c r="U119" s="1214"/>
      <c r="V119" s="1214"/>
      <c r="W119" s="1214"/>
      <c r="X119" s="1214"/>
      <c r="Y119" s="1214"/>
      <c r="Z119" s="1214"/>
      <c r="AA119" s="1214"/>
      <c r="AB119" s="1214"/>
      <c r="AC119" s="1214"/>
      <c r="AD119" s="1214"/>
      <c r="AE119" s="1214"/>
      <c r="AF119" s="1214"/>
      <c r="AG119" s="1214"/>
      <c r="AH119" s="1214"/>
      <c r="AI119" s="1214"/>
      <c r="AJ119" s="1214"/>
      <c r="AK119" s="1214"/>
      <c r="AL119" s="1214"/>
      <c r="AM119" s="1214"/>
      <c r="AN119" s="1214"/>
      <c r="AO119" s="1214"/>
      <c r="AP119" s="1214"/>
      <c r="AQ119" s="1214"/>
      <c r="AR119" s="1214"/>
      <c r="AS119" s="1214"/>
      <c r="AT119" s="1214"/>
      <c r="AU119" s="1214"/>
      <c r="AV119" s="1214"/>
      <c r="AW119" s="1214"/>
      <c r="AX119" s="1214"/>
      <c r="AY119" s="1214"/>
      <c r="AZ119" s="1214"/>
      <c r="BA119" s="1214"/>
      <c r="BB119" s="1214"/>
      <c r="BC119" s="1214"/>
      <c r="BD119" s="1214"/>
      <c r="BE119" s="1214"/>
      <c r="BF119" s="1214"/>
      <c r="BG119" s="1214"/>
      <c r="BH119" s="1214"/>
      <c r="BI119" s="1214"/>
      <c r="BJ119" s="1214"/>
      <c r="BK119" s="1214"/>
      <c r="BL119" s="1214"/>
      <c r="BM119" s="1214"/>
      <c r="BN119" s="1214"/>
      <c r="BO119" s="1214"/>
      <c r="BP119" s="1214"/>
      <c r="BQ119" s="1214"/>
      <c r="BR119" s="1214"/>
      <c r="BS119" s="1214"/>
      <c r="BT119" s="1214"/>
      <c r="BU119" s="1214"/>
      <c r="BV119" s="1214"/>
      <c r="BW119" s="1214"/>
      <c r="BX119" s="1214"/>
      <c r="BY119" s="1214"/>
      <c r="BZ119" s="1214"/>
      <c r="CA119" s="1214"/>
      <c r="CB119" s="1214"/>
      <c r="CC119" s="1214"/>
      <c r="CD119" s="1214"/>
      <c r="CE119" s="1214"/>
      <c r="CF119" s="1214"/>
      <c r="CG119" s="1214"/>
      <c r="CH119" s="1214"/>
      <c r="CI119" s="1214"/>
      <c r="CJ119" s="1214"/>
      <c r="CK119" s="1214"/>
      <c r="CL119" s="1214"/>
      <c r="CM119" s="1214"/>
      <c r="CN119" s="1214"/>
      <c r="CO119" s="1214"/>
      <c r="CP119" s="1214"/>
      <c r="CQ119" s="1214"/>
      <c r="CR119" s="1214"/>
      <c r="CS119" s="1214"/>
      <c r="CT119" s="1214"/>
      <c r="CU119" s="1214"/>
      <c r="CV119" s="1214"/>
      <c r="CW119" s="1214"/>
      <c r="CX119" s="1214"/>
      <c r="CY119" s="1214"/>
      <c r="CZ119" s="1214"/>
      <c r="DA119" s="1214"/>
      <c r="DB119" s="1214"/>
      <c r="DC119" s="1214"/>
      <c r="DD119" s="1214"/>
      <c r="DE119" s="1214"/>
      <c r="DF119" s="1214"/>
      <c r="DG119" s="1214"/>
      <c r="DH119" s="1214"/>
      <c r="DI119" s="1214"/>
      <c r="DJ119" s="1214"/>
      <c r="DK119" s="1214"/>
      <c r="DL119" s="1214"/>
      <c r="DM119" s="1214"/>
      <c r="DN119" s="1214"/>
      <c r="DO119" s="1214"/>
      <c r="DP119" s="1214"/>
      <c r="DQ119" s="1214"/>
      <c r="DR119" s="1214"/>
      <c r="DS119" s="1214"/>
      <c r="DT119" s="1214"/>
      <c r="DU119" s="1214"/>
      <c r="DV119" s="1214"/>
      <c r="DW119" s="1214"/>
      <c r="DX119" s="1214"/>
      <c r="DY119" s="1214"/>
      <c r="DZ119" s="1214"/>
      <c r="EA119" s="1214"/>
      <c r="EB119" s="1214"/>
      <c r="EC119" s="1214"/>
      <c r="ED119" s="1214"/>
      <c r="EE119" s="1214"/>
      <c r="EF119" s="1214"/>
      <c r="EG119" s="1214"/>
      <c r="EH119" s="1214"/>
      <c r="EI119" s="1214"/>
      <c r="EJ119" s="1214"/>
      <c r="EK119" s="1214"/>
      <c r="EL119" s="1214"/>
      <c r="EM119" s="1214"/>
      <c r="EN119" s="1214"/>
      <c r="EO119" s="1214"/>
      <c r="EP119" s="1214"/>
      <c r="EQ119" s="1214"/>
      <c r="ER119" s="1214"/>
      <c r="ES119" s="1214"/>
      <c r="ET119" s="1214"/>
      <c r="EU119" s="1214"/>
      <c r="EV119" s="1214"/>
      <c r="EW119" s="1214"/>
      <c r="EX119" s="1214"/>
      <c r="EY119" s="1214"/>
      <c r="EZ119" s="1214"/>
      <c r="FA119" s="1214"/>
      <c r="FB119" s="1214"/>
      <c r="FC119" s="1214"/>
      <c r="FD119" s="1214"/>
      <c r="FE119" s="1214"/>
      <c r="FF119" s="1214"/>
      <c r="FG119" s="1214"/>
      <c r="FH119" s="1214"/>
      <c r="FI119" s="1214"/>
      <c r="FJ119" s="1214"/>
      <c r="FK119" s="1214"/>
      <c r="FL119" s="1214"/>
      <c r="FM119" s="1214"/>
      <c r="FN119" s="1214"/>
      <c r="FO119" s="1214"/>
      <c r="FP119" s="1213"/>
      <c r="FQ119" s="1213"/>
      <c r="FR119" s="1213"/>
      <c r="FS119" s="1213"/>
      <c r="FT119" s="1213"/>
      <c r="FU119" s="1213"/>
      <c r="FV119" s="1213"/>
      <c r="FW119" s="1213"/>
      <c r="FX119" s="1213"/>
      <c r="FY119" s="1213"/>
    </row>
    <row r="120" spans="1:181" s="1211" customFormat="1">
      <c r="A120" s="1212"/>
      <c r="B120" s="1212"/>
      <c r="D120" s="1230"/>
      <c r="E120" s="1230"/>
      <c r="F120" s="1231"/>
      <c r="J120" s="172"/>
      <c r="L120" s="3"/>
      <c r="M120" s="3"/>
      <c r="N120" s="1214"/>
      <c r="O120" s="1214"/>
      <c r="P120" s="1214"/>
      <c r="Q120" s="1214"/>
      <c r="R120" s="1214"/>
      <c r="S120" s="1214"/>
      <c r="T120" s="1214"/>
      <c r="U120" s="1214"/>
      <c r="V120" s="1214"/>
      <c r="W120" s="1214"/>
      <c r="X120" s="1214"/>
      <c r="Y120" s="1214"/>
      <c r="Z120" s="1214"/>
      <c r="AA120" s="1214"/>
      <c r="AB120" s="1214"/>
      <c r="AC120" s="1214"/>
      <c r="AD120" s="1214"/>
      <c r="AE120" s="1214"/>
      <c r="AF120" s="1214"/>
      <c r="AG120" s="1214"/>
      <c r="AH120" s="1214"/>
      <c r="AI120" s="1214"/>
      <c r="AJ120" s="1214"/>
      <c r="AK120" s="1214"/>
      <c r="AL120" s="1214"/>
      <c r="AM120" s="1214"/>
      <c r="AN120" s="1214"/>
      <c r="AO120" s="1214"/>
      <c r="AP120" s="1214"/>
      <c r="AQ120" s="1214"/>
      <c r="AR120" s="1214"/>
      <c r="AS120" s="1214"/>
      <c r="AT120" s="1214"/>
      <c r="AU120" s="1214"/>
      <c r="AV120" s="1214"/>
      <c r="AW120" s="1214"/>
      <c r="AX120" s="1214"/>
      <c r="AY120" s="1214"/>
      <c r="AZ120" s="1214"/>
      <c r="BA120" s="1214"/>
      <c r="BB120" s="1214"/>
      <c r="BC120" s="1214"/>
      <c r="BD120" s="1214"/>
      <c r="BE120" s="1214"/>
      <c r="BF120" s="1214"/>
      <c r="BG120" s="1214"/>
      <c r="BH120" s="1214"/>
      <c r="BI120" s="1214"/>
      <c r="BJ120" s="1214"/>
      <c r="BK120" s="1214"/>
      <c r="BL120" s="1214"/>
      <c r="BM120" s="1214"/>
      <c r="BN120" s="1214"/>
      <c r="BO120" s="1214"/>
      <c r="BP120" s="1214"/>
      <c r="BQ120" s="1214"/>
      <c r="BR120" s="1214"/>
      <c r="BS120" s="1214"/>
      <c r="BT120" s="1214"/>
      <c r="BU120" s="1214"/>
      <c r="BV120" s="1214"/>
      <c r="BW120" s="1214"/>
      <c r="BX120" s="1214"/>
      <c r="BY120" s="1214"/>
      <c r="BZ120" s="1214"/>
      <c r="CA120" s="1214"/>
      <c r="CB120" s="1214"/>
      <c r="CC120" s="1214"/>
      <c r="CD120" s="1214"/>
      <c r="CE120" s="1214"/>
      <c r="CF120" s="1214"/>
      <c r="CG120" s="1214"/>
      <c r="CH120" s="1214"/>
      <c r="CI120" s="1214"/>
      <c r="CJ120" s="1214"/>
      <c r="CK120" s="1214"/>
      <c r="CL120" s="1214"/>
      <c r="CM120" s="1214"/>
      <c r="CN120" s="1214"/>
      <c r="CO120" s="1214"/>
      <c r="CP120" s="1214"/>
      <c r="CQ120" s="1214"/>
      <c r="CR120" s="1214"/>
      <c r="CS120" s="1214"/>
      <c r="CT120" s="1214"/>
      <c r="CU120" s="1214"/>
      <c r="CV120" s="1214"/>
      <c r="CW120" s="1214"/>
      <c r="CX120" s="1214"/>
      <c r="CY120" s="1214"/>
      <c r="CZ120" s="1214"/>
      <c r="DA120" s="1214"/>
      <c r="DB120" s="1214"/>
      <c r="DC120" s="1214"/>
      <c r="DD120" s="1214"/>
      <c r="DE120" s="1214"/>
      <c r="DF120" s="1214"/>
      <c r="DG120" s="1214"/>
      <c r="DH120" s="1214"/>
      <c r="DI120" s="1214"/>
      <c r="DJ120" s="1214"/>
      <c r="DK120" s="1214"/>
      <c r="DL120" s="1214"/>
      <c r="DM120" s="1214"/>
      <c r="DN120" s="1214"/>
      <c r="DO120" s="1214"/>
      <c r="DP120" s="1214"/>
      <c r="DQ120" s="1214"/>
      <c r="DR120" s="1214"/>
      <c r="DS120" s="1214"/>
      <c r="DT120" s="1214"/>
      <c r="DU120" s="1214"/>
      <c r="DV120" s="1214"/>
      <c r="DW120" s="1214"/>
      <c r="DX120" s="1214"/>
      <c r="DY120" s="1214"/>
      <c r="DZ120" s="1214"/>
      <c r="EA120" s="1214"/>
      <c r="EB120" s="1214"/>
      <c r="EC120" s="1214"/>
      <c r="ED120" s="1214"/>
      <c r="EE120" s="1214"/>
      <c r="EF120" s="1214"/>
      <c r="EG120" s="1214"/>
      <c r="EH120" s="1214"/>
      <c r="EI120" s="1214"/>
      <c r="EJ120" s="1214"/>
      <c r="EK120" s="1214"/>
      <c r="EL120" s="1214"/>
      <c r="EM120" s="1214"/>
      <c r="EN120" s="1214"/>
      <c r="EO120" s="1214"/>
      <c r="EP120" s="1214"/>
      <c r="EQ120" s="1214"/>
      <c r="ER120" s="1214"/>
      <c r="ES120" s="1214"/>
      <c r="ET120" s="1214"/>
      <c r="EU120" s="1214"/>
      <c r="EV120" s="1214"/>
      <c r="EW120" s="1214"/>
      <c r="EX120" s="1214"/>
      <c r="EY120" s="1214"/>
      <c r="EZ120" s="1214"/>
      <c r="FA120" s="1214"/>
      <c r="FB120" s="1214"/>
      <c r="FC120" s="1214"/>
      <c r="FD120" s="1214"/>
      <c r="FE120" s="1214"/>
      <c r="FF120" s="1214"/>
      <c r="FG120" s="1214"/>
      <c r="FH120" s="1214"/>
      <c r="FI120" s="1214"/>
      <c r="FJ120" s="1214"/>
      <c r="FK120" s="1214"/>
      <c r="FL120" s="1214"/>
      <c r="FM120" s="1214"/>
      <c r="FN120" s="1214"/>
      <c r="FO120" s="1214"/>
      <c r="FP120" s="1213"/>
      <c r="FQ120" s="1213"/>
      <c r="FR120" s="1213"/>
      <c r="FS120" s="1213"/>
      <c r="FT120" s="1213"/>
      <c r="FU120" s="1213"/>
      <c r="FV120" s="1213"/>
      <c r="FW120" s="1213"/>
      <c r="FX120" s="1213"/>
      <c r="FY120" s="1213"/>
    </row>
    <row r="121" spans="1:181" s="1211" customFormat="1">
      <c r="A121" s="1212"/>
      <c r="B121" s="1212"/>
      <c r="D121" s="1232" t="s">
        <v>642</v>
      </c>
      <c r="F121" s="1238"/>
      <c r="J121" s="172"/>
      <c r="L121" s="3"/>
      <c r="M121" s="3"/>
      <c r="N121" s="1214"/>
      <c r="O121" s="1214"/>
      <c r="P121" s="1214"/>
      <c r="Q121" s="1214"/>
      <c r="R121" s="1214"/>
      <c r="S121" s="1214"/>
      <c r="T121" s="1214"/>
      <c r="U121" s="1214"/>
      <c r="V121" s="1214"/>
      <c r="W121" s="1214"/>
      <c r="X121" s="1214"/>
      <c r="Y121" s="1214"/>
      <c r="Z121" s="1214"/>
      <c r="AA121" s="1214"/>
      <c r="AB121" s="1214"/>
      <c r="AC121" s="1214"/>
      <c r="AD121" s="1214"/>
      <c r="AE121" s="1214"/>
      <c r="AF121" s="1214"/>
      <c r="AG121" s="1214"/>
      <c r="AH121" s="1214"/>
      <c r="AI121" s="1214"/>
      <c r="AJ121" s="1214"/>
      <c r="AK121" s="1214"/>
      <c r="AL121" s="1214"/>
      <c r="AM121" s="1214"/>
      <c r="AN121" s="1214"/>
      <c r="AO121" s="1214"/>
      <c r="AP121" s="1214"/>
      <c r="AQ121" s="1214"/>
      <c r="AR121" s="1214"/>
      <c r="AS121" s="1214"/>
      <c r="AT121" s="1214"/>
      <c r="AU121" s="1214"/>
      <c r="AV121" s="1214"/>
      <c r="AW121" s="1214"/>
      <c r="AX121" s="1214"/>
      <c r="AY121" s="1214"/>
      <c r="AZ121" s="1214"/>
      <c r="BA121" s="1214"/>
      <c r="BB121" s="1214"/>
      <c r="BC121" s="1214"/>
      <c r="BD121" s="1214"/>
      <c r="BE121" s="1214"/>
      <c r="BF121" s="1214"/>
      <c r="BG121" s="1214"/>
      <c r="BH121" s="1214"/>
      <c r="BI121" s="1214"/>
      <c r="BJ121" s="1214"/>
      <c r="BK121" s="1214"/>
      <c r="BL121" s="1214"/>
      <c r="BM121" s="1214"/>
      <c r="BN121" s="1214"/>
      <c r="BO121" s="1214"/>
      <c r="BP121" s="1214"/>
      <c r="BQ121" s="1214"/>
      <c r="BR121" s="1214"/>
      <c r="BS121" s="1214"/>
      <c r="BT121" s="1214"/>
      <c r="BU121" s="1214"/>
      <c r="BV121" s="1214"/>
      <c r="BW121" s="1214"/>
      <c r="BX121" s="1214"/>
      <c r="BY121" s="1214"/>
      <c r="BZ121" s="1214"/>
      <c r="CA121" s="1214"/>
      <c r="CB121" s="1214"/>
      <c r="CC121" s="1214"/>
      <c r="CD121" s="1214"/>
      <c r="CE121" s="1214"/>
      <c r="CF121" s="1214"/>
      <c r="CG121" s="1214"/>
      <c r="CH121" s="1214"/>
      <c r="CI121" s="1214"/>
      <c r="CJ121" s="1214"/>
      <c r="CK121" s="1214"/>
      <c r="CL121" s="1214"/>
      <c r="CM121" s="1214"/>
      <c r="CN121" s="1214"/>
      <c r="CO121" s="1214"/>
      <c r="CP121" s="1214"/>
      <c r="CQ121" s="1214"/>
      <c r="CR121" s="1214"/>
      <c r="CS121" s="1214"/>
      <c r="CT121" s="1214"/>
      <c r="CU121" s="1214"/>
      <c r="CV121" s="1214"/>
      <c r="CW121" s="1214"/>
      <c r="CX121" s="1214"/>
      <c r="CY121" s="1214"/>
      <c r="CZ121" s="1214"/>
      <c r="DA121" s="1214"/>
      <c r="DB121" s="1214"/>
      <c r="DC121" s="1214"/>
      <c r="DD121" s="1214"/>
      <c r="DE121" s="1214"/>
      <c r="DF121" s="1214"/>
      <c r="DG121" s="1214"/>
      <c r="DH121" s="1214"/>
      <c r="DI121" s="1214"/>
      <c r="DJ121" s="1214"/>
      <c r="DK121" s="1214"/>
      <c r="DL121" s="1214"/>
      <c r="DM121" s="1214"/>
      <c r="DN121" s="1214"/>
      <c r="DO121" s="1214"/>
      <c r="DP121" s="1214"/>
      <c r="DQ121" s="1214"/>
      <c r="DR121" s="1214"/>
      <c r="DS121" s="1214"/>
      <c r="DT121" s="1214"/>
      <c r="DU121" s="1214"/>
      <c r="DV121" s="1214"/>
      <c r="DW121" s="1214"/>
      <c r="DX121" s="1214"/>
      <c r="DY121" s="1214"/>
      <c r="DZ121" s="1214"/>
      <c r="EA121" s="1214"/>
      <c r="EB121" s="1214"/>
      <c r="EC121" s="1214"/>
      <c r="ED121" s="1214"/>
      <c r="EE121" s="1214"/>
      <c r="EF121" s="1214"/>
      <c r="EG121" s="1214"/>
      <c r="EH121" s="1214"/>
      <c r="EI121" s="1214"/>
      <c r="EJ121" s="1214"/>
      <c r="EK121" s="1214"/>
      <c r="EL121" s="1214"/>
      <c r="EM121" s="1214"/>
      <c r="EN121" s="1214"/>
      <c r="EO121" s="1214"/>
      <c r="EP121" s="1214"/>
      <c r="EQ121" s="1214"/>
      <c r="ER121" s="1214"/>
      <c r="ES121" s="1214"/>
      <c r="ET121" s="1214"/>
      <c r="EU121" s="1214"/>
      <c r="EV121" s="1214"/>
      <c r="EW121" s="1214"/>
      <c r="EX121" s="1214"/>
      <c r="EY121" s="1214"/>
      <c r="EZ121" s="1214"/>
      <c r="FA121" s="1214"/>
      <c r="FB121" s="1214"/>
      <c r="FC121" s="1214"/>
      <c r="FD121" s="1214"/>
      <c r="FE121" s="1214"/>
      <c r="FF121" s="1214"/>
      <c r="FG121" s="1214"/>
      <c r="FH121" s="1214"/>
      <c r="FI121" s="1214"/>
      <c r="FJ121" s="1214"/>
      <c r="FK121" s="1214"/>
      <c r="FL121" s="1214"/>
      <c r="FM121" s="1214"/>
      <c r="FN121" s="1214"/>
      <c r="FO121" s="1214"/>
      <c r="FP121" s="1213"/>
      <c r="FQ121" s="1213"/>
      <c r="FR121" s="1213"/>
      <c r="FS121" s="1213"/>
      <c r="FT121" s="1213"/>
      <c r="FU121" s="1213"/>
      <c r="FV121" s="1213"/>
      <c r="FW121" s="1213"/>
      <c r="FX121" s="1213"/>
      <c r="FY121" s="1213"/>
    </row>
    <row r="122" spans="1:181" s="1211" customFormat="1">
      <c r="A122" s="1212"/>
      <c r="B122" s="1212"/>
      <c r="J122" s="172"/>
      <c r="L122" s="3"/>
      <c r="M122" s="3"/>
      <c r="N122" s="1214"/>
      <c r="O122" s="1214"/>
      <c r="P122" s="1214"/>
      <c r="Q122" s="1214"/>
      <c r="R122" s="1214"/>
      <c r="S122" s="1214"/>
      <c r="T122" s="1214"/>
      <c r="U122" s="1214"/>
      <c r="V122" s="1214"/>
      <c r="W122" s="1214"/>
      <c r="X122" s="1214"/>
      <c r="Y122" s="1214"/>
      <c r="Z122" s="1214"/>
      <c r="AA122" s="1214"/>
      <c r="AB122" s="1214"/>
      <c r="AC122" s="1214"/>
      <c r="AD122" s="1214"/>
      <c r="AE122" s="1214"/>
      <c r="AF122" s="1214"/>
      <c r="AG122" s="1214"/>
      <c r="AH122" s="1214"/>
      <c r="AI122" s="1214"/>
      <c r="AJ122" s="1214"/>
      <c r="AK122" s="1214"/>
      <c r="AL122" s="1214"/>
      <c r="AM122" s="1214"/>
      <c r="AN122" s="1214"/>
      <c r="AO122" s="1214"/>
      <c r="AP122" s="1214"/>
      <c r="AQ122" s="1214"/>
      <c r="AR122" s="1214"/>
      <c r="AS122" s="1214"/>
      <c r="AT122" s="1214"/>
      <c r="AU122" s="1214"/>
      <c r="AV122" s="1214"/>
      <c r="AW122" s="1214"/>
      <c r="AX122" s="1214"/>
      <c r="AY122" s="1214"/>
      <c r="AZ122" s="1214"/>
      <c r="BA122" s="1214"/>
      <c r="BB122" s="1214"/>
      <c r="BC122" s="1214"/>
      <c r="BD122" s="1214"/>
      <c r="BE122" s="1214"/>
      <c r="BF122" s="1214"/>
      <c r="BG122" s="1214"/>
      <c r="BH122" s="1214"/>
      <c r="BI122" s="1214"/>
      <c r="BJ122" s="1214"/>
      <c r="BK122" s="1214"/>
      <c r="BL122" s="1214"/>
      <c r="BM122" s="1214"/>
      <c r="BN122" s="1214"/>
      <c r="BO122" s="1214"/>
      <c r="BP122" s="1214"/>
      <c r="BQ122" s="1214"/>
      <c r="BR122" s="1214"/>
      <c r="BS122" s="1214"/>
      <c r="BT122" s="1214"/>
      <c r="BU122" s="1214"/>
      <c r="BV122" s="1214"/>
      <c r="BW122" s="1214"/>
      <c r="BX122" s="1214"/>
      <c r="BY122" s="1214"/>
      <c r="BZ122" s="1214"/>
      <c r="CA122" s="1214"/>
      <c r="CB122" s="1214"/>
      <c r="CC122" s="1214"/>
      <c r="CD122" s="1214"/>
      <c r="CE122" s="1214"/>
      <c r="CF122" s="1214"/>
      <c r="CG122" s="1214"/>
      <c r="CH122" s="1214"/>
      <c r="CI122" s="1214"/>
      <c r="CJ122" s="1214"/>
      <c r="CK122" s="1214"/>
      <c r="CL122" s="1214"/>
      <c r="CM122" s="1214"/>
      <c r="CN122" s="1214"/>
      <c r="CO122" s="1214"/>
      <c r="CP122" s="1214"/>
      <c r="CQ122" s="1214"/>
      <c r="CR122" s="1214"/>
      <c r="CS122" s="1214"/>
      <c r="CT122" s="1214"/>
      <c r="CU122" s="1214"/>
      <c r="CV122" s="1214"/>
      <c r="CW122" s="1214"/>
      <c r="CX122" s="1214"/>
      <c r="CY122" s="1214"/>
      <c r="CZ122" s="1214"/>
      <c r="DA122" s="1214"/>
      <c r="DB122" s="1214"/>
      <c r="DC122" s="1214"/>
      <c r="DD122" s="1214"/>
      <c r="DE122" s="1214"/>
      <c r="DF122" s="1214"/>
      <c r="DG122" s="1214"/>
      <c r="DH122" s="1214"/>
      <c r="DI122" s="1214"/>
      <c r="DJ122" s="1214"/>
      <c r="DK122" s="1214"/>
      <c r="DL122" s="1214"/>
      <c r="DM122" s="1214"/>
      <c r="DN122" s="1214"/>
      <c r="DO122" s="1214"/>
      <c r="DP122" s="1214"/>
      <c r="DQ122" s="1214"/>
      <c r="DR122" s="1214"/>
      <c r="DS122" s="1214"/>
      <c r="DT122" s="1214"/>
      <c r="DU122" s="1214"/>
      <c r="DV122" s="1214"/>
      <c r="DW122" s="1214"/>
      <c r="DX122" s="1214"/>
      <c r="DY122" s="1214"/>
      <c r="DZ122" s="1214"/>
      <c r="EA122" s="1214"/>
      <c r="EB122" s="1214"/>
      <c r="EC122" s="1214"/>
      <c r="ED122" s="1214"/>
      <c r="EE122" s="1214"/>
      <c r="EF122" s="1214"/>
      <c r="EG122" s="1214"/>
      <c r="EH122" s="1214"/>
      <c r="EI122" s="1214"/>
      <c r="EJ122" s="1214"/>
      <c r="EK122" s="1214"/>
      <c r="EL122" s="1214"/>
      <c r="EM122" s="1214"/>
      <c r="EN122" s="1214"/>
      <c r="EO122" s="1214"/>
      <c r="EP122" s="1214"/>
      <c r="EQ122" s="1214"/>
      <c r="ER122" s="1214"/>
      <c r="ES122" s="1214"/>
      <c r="ET122" s="1214"/>
      <c r="EU122" s="1214"/>
      <c r="EV122" s="1214"/>
      <c r="EW122" s="1214"/>
      <c r="EX122" s="1214"/>
      <c r="EY122" s="1214"/>
      <c r="EZ122" s="1214"/>
      <c r="FA122" s="1214"/>
      <c r="FB122" s="1214"/>
      <c r="FC122" s="1214"/>
      <c r="FD122" s="1214"/>
      <c r="FE122" s="1214"/>
      <c r="FF122" s="1214"/>
      <c r="FG122" s="1214"/>
      <c r="FH122" s="1214"/>
      <c r="FI122" s="1214"/>
      <c r="FJ122" s="1214"/>
      <c r="FK122" s="1214"/>
      <c r="FL122" s="1214"/>
      <c r="FM122" s="1214"/>
      <c r="FN122" s="1214"/>
      <c r="FO122" s="1214"/>
      <c r="FP122" s="1213"/>
      <c r="FQ122" s="1213"/>
      <c r="FR122" s="1213"/>
      <c r="FS122" s="1213"/>
      <c r="FT122" s="1213"/>
      <c r="FU122" s="1213"/>
      <c r="FV122" s="1213"/>
      <c r="FW122" s="1213"/>
      <c r="FX122" s="1213"/>
      <c r="FY122" s="1213"/>
    </row>
    <row r="123" spans="1:181" s="1211" customFormat="1">
      <c r="A123" s="1212"/>
      <c r="B123" s="1212"/>
      <c r="D123" s="1232" t="s">
        <v>354</v>
      </c>
      <c r="J123" s="172"/>
      <c r="L123" s="3"/>
      <c r="M123" s="3"/>
      <c r="N123" s="1214"/>
      <c r="O123" s="1214"/>
      <c r="P123" s="1214"/>
      <c r="Q123" s="1214"/>
      <c r="R123" s="1214"/>
      <c r="S123" s="1214"/>
      <c r="T123" s="1214"/>
      <c r="U123" s="1214"/>
      <c r="V123" s="1214"/>
      <c r="W123" s="1214"/>
      <c r="X123" s="1214"/>
      <c r="Y123" s="1214"/>
      <c r="Z123" s="1214"/>
      <c r="AA123" s="1214"/>
      <c r="AB123" s="1214"/>
      <c r="AC123" s="1214"/>
      <c r="AD123" s="1214"/>
      <c r="AE123" s="1214"/>
      <c r="AF123" s="1214"/>
      <c r="AG123" s="1214"/>
      <c r="AH123" s="1214"/>
      <c r="AI123" s="1214"/>
      <c r="AJ123" s="1214"/>
      <c r="AK123" s="1214"/>
      <c r="AL123" s="1214"/>
      <c r="AM123" s="1214"/>
      <c r="AN123" s="1214"/>
      <c r="AO123" s="1214"/>
      <c r="AP123" s="1214"/>
      <c r="AQ123" s="1214"/>
      <c r="AR123" s="1214"/>
      <c r="AS123" s="1214"/>
      <c r="AT123" s="1214"/>
      <c r="AU123" s="1214"/>
      <c r="AV123" s="1214"/>
      <c r="AW123" s="1214"/>
      <c r="AX123" s="1214"/>
      <c r="AY123" s="1214"/>
      <c r="AZ123" s="1214"/>
      <c r="BA123" s="1214"/>
      <c r="BB123" s="1214"/>
      <c r="BC123" s="1214"/>
      <c r="BD123" s="1214"/>
      <c r="BE123" s="1214"/>
      <c r="BF123" s="1214"/>
      <c r="BG123" s="1214"/>
      <c r="BH123" s="1214"/>
      <c r="BI123" s="1214"/>
      <c r="BJ123" s="1214"/>
      <c r="BK123" s="1214"/>
      <c r="BL123" s="1214"/>
      <c r="BM123" s="1214"/>
      <c r="BN123" s="1214"/>
      <c r="BO123" s="1214"/>
      <c r="BP123" s="1214"/>
      <c r="BQ123" s="1214"/>
      <c r="BR123" s="1214"/>
      <c r="BS123" s="1214"/>
      <c r="BT123" s="1214"/>
      <c r="BU123" s="1214"/>
      <c r="BV123" s="1214"/>
      <c r="BW123" s="1214"/>
      <c r="BX123" s="1214"/>
      <c r="BY123" s="1214"/>
      <c r="BZ123" s="1214"/>
      <c r="CA123" s="1214"/>
      <c r="CB123" s="1214"/>
      <c r="CC123" s="1214"/>
      <c r="CD123" s="1214"/>
      <c r="CE123" s="1214"/>
      <c r="CF123" s="1214"/>
      <c r="CG123" s="1214"/>
      <c r="CH123" s="1214"/>
      <c r="CI123" s="1214"/>
      <c r="CJ123" s="1214"/>
      <c r="CK123" s="1214"/>
      <c r="CL123" s="1214"/>
      <c r="CM123" s="1214"/>
      <c r="CN123" s="1214"/>
      <c r="CO123" s="1214"/>
      <c r="CP123" s="1214"/>
      <c r="CQ123" s="1214"/>
      <c r="CR123" s="1214"/>
      <c r="CS123" s="1214"/>
      <c r="CT123" s="1214"/>
      <c r="CU123" s="1214"/>
      <c r="CV123" s="1214"/>
      <c r="CW123" s="1214"/>
      <c r="CX123" s="1214"/>
      <c r="CY123" s="1214"/>
      <c r="CZ123" s="1214"/>
      <c r="DA123" s="1214"/>
      <c r="DB123" s="1214"/>
      <c r="DC123" s="1214"/>
      <c r="DD123" s="1214"/>
      <c r="DE123" s="1214"/>
      <c r="DF123" s="1214"/>
      <c r="DG123" s="1214"/>
      <c r="DH123" s="1214"/>
      <c r="DI123" s="1214"/>
      <c r="DJ123" s="1214"/>
      <c r="DK123" s="1214"/>
      <c r="DL123" s="1214"/>
      <c r="DM123" s="1214"/>
      <c r="DN123" s="1214"/>
      <c r="DO123" s="1214"/>
      <c r="DP123" s="1214"/>
      <c r="DQ123" s="1214"/>
      <c r="DR123" s="1214"/>
      <c r="DS123" s="1214"/>
      <c r="DT123" s="1214"/>
      <c r="DU123" s="1214"/>
      <c r="DV123" s="1214"/>
      <c r="DW123" s="1214"/>
      <c r="DX123" s="1214"/>
      <c r="DY123" s="1214"/>
      <c r="DZ123" s="1214"/>
      <c r="EA123" s="1214"/>
      <c r="EB123" s="1214"/>
      <c r="EC123" s="1214"/>
      <c r="ED123" s="1214"/>
      <c r="EE123" s="1214"/>
      <c r="EF123" s="1214"/>
      <c r="EG123" s="1214"/>
      <c r="EH123" s="1214"/>
      <c r="EI123" s="1214"/>
      <c r="EJ123" s="1214"/>
      <c r="EK123" s="1214"/>
      <c r="EL123" s="1214"/>
      <c r="EM123" s="1214"/>
      <c r="EN123" s="1214"/>
      <c r="EO123" s="1214"/>
      <c r="EP123" s="1214"/>
      <c r="EQ123" s="1214"/>
      <c r="ER123" s="1214"/>
      <c r="ES123" s="1214"/>
      <c r="ET123" s="1214"/>
      <c r="EU123" s="1214"/>
      <c r="EV123" s="1214"/>
      <c r="EW123" s="1214"/>
      <c r="EX123" s="1214"/>
      <c r="EY123" s="1214"/>
      <c r="EZ123" s="1214"/>
      <c r="FA123" s="1214"/>
      <c r="FB123" s="1214"/>
      <c r="FC123" s="1214"/>
      <c r="FD123" s="1214"/>
      <c r="FE123" s="1214"/>
      <c r="FF123" s="1214"/>
      <c r="FG123" s="1214"/>
      <c r="FH123" s="1214"/>
      <c r="FI123" s="1214"/>
      <c r="FJ123" s="1214"/>
      <c r="FK123" s="1214"/>
      <c r="FL123" s="1214"/>
      <c r="FM123" s="1214"/>
      <c r="FN123" s="1214"/>
      <c r="FO123" s="1214"/>
      <c r="FP123" s="1213"/>
      <c r="FQ123" s="1213"/>
      <c r="FR123" s="1213"/>
      <c r="FS123" s="1213"/>
      <c r="FT123" s="1213"/>
      <c r="FU123" s="1213"/>
      <c r="FV123" s="1213"/>
      <c r="FW123" s="1213"/>
      <c r="FX123" s="1213"/>
      <c r="FY123" s="1213"/>
    </row>
    <row r="124" spans="1:181" s="1211" customFormat="1">
      <c r="A124" s="1212"/>
      <c r="B124" s="1212"/>
      <c r="D124" s="1211" t="s">
        <v>353</v>
      </c>
      <c r="J124" s="172"/>
      <c r="L124" s="3"/>
      <c r="M124" s="3"/>
      <c r="N124" s="1214"/>
      <c r="O124" s="1214"/>
      <c r="P124" s="1214"/>
      <c r="Q124" s="1214"/>
      <c r="R124" s="1214"/>
      <c r="S124" s="1214"/>
      <c r="T124" s="1214"/>
      <c r="U124" s="1214"/>
      <c r="V124" s="1214"/>
      <c r="W124" s="1214"/>
      <c r="X124" s="1214"/>
      <c r="Y124" s="1214"/>
      <c r="Z124" s="1214"/>
      <c r="AA124" s="1214"/>
      <c r="AB124" s="1214"/>
      <c r="AC124" s="1214"/>
      <c r="AD124" s="1214"/>
      <c r="AE124" s="1214"/>
      <c r="AF124" s="1214"/>
      <c r="AG124" s="1214"/>
      <c r="AH124" s="1214"/>
      <c r="AI124" s="1214"/>
      <c r="AJ124" s="1214"/>
      <c r="AK124" s="1214"/>
      <c r="AL124" s="1214"/>
      <c r="AM124" s="1214"/>
      <c r="AN124" s="1214"/>
      <c r="AO124" s="1214"/>
      <c r="AP124" s="1214"/>
      <c r="AQ124" s="1214"/>
      <c r="AR124" s="1214"/>
      <c r="AS124" s="1214"/>
      <c r="AT124" s="1214"/>
      <c r="AU124" s="1214"/>
      <c r="AV124" s="1214"/>
      <c r="AW124" s="1214"/>
      <c r="AX124" s="1214"/>
      <c r="AY124" s="1214"/>
      <c r="AZ124" s="1214"/>
      <c r="BA124" s="1214"/>
      <c r="BB124" s="1214"/>
      <c r="BC124" s="1214"/>
      <c r="BD124" s="1214"/>
      <c r="BE124" s="1214"/>
      <c r="BF124" s="1214"/>
      <c r="BG124" s="1214"/>
      <c r="BH124" s="1214"/>
      <c r="BI124" s="1214"/>
      <c r="BJ124" s="1214"/>
      <c r="BK124" s="1214"/>
      <c r="BL124" s="1214"/>
      <c r="BM124" s="1214"/>
      <c r="BN124" s="1214"/>
      <c r="BO124" s="1214"/>
      <c r="BP124" s="1214"/>
      <c r="BQ124" s="1214"/>
      <c r="BR124" s="1214"/>
      <c r="BS124" s="1214"/>
      <c r="BT124" s="1214"/>
      <c r="BU124" s="1214"/>
      <c r="BV124" s="1214"/>
      <c r="BW124" s="1214"/>
      <c r="BX124" s="1214"/>
      <c r="BY124" s="1214"/>
      <c r="BZ124" s="1214"/>
      <c r="CA124" s="1214"/>
      <c r="CB124" s="1214"/>
      <c r="CC124" s="1214"/>
      <c r="CD124" s="1214"/>
      <c r="CE124" s="1214"/>
      <c r="CF124" s="1214"/>
      <c r="CG124" s="1214"/>
      <c r="CH124" s="1214"/>
      <c r="CI124" s="1214"/>
      <c r="CJ124" s="1214"/>
      <c r="CK124" s="1214"/>
      <c r="CL124" s="1214"/>
      <c r="CM124" s="1214"/>
      <c r="CN124" s="1214"/>
      <c r="CO124" s="1214"/>
      <c r="CP124" s="1214"/>
      <c r="CQ124" s="1214"/>
      <c r="CR124" s="1214"/>
      <c r="CS124" s="1214"/>
      <c r="CT124" s="1214"/>
      <c r="CU124" s="1214"/>
      <c r="CV124" s="1214"/>
      <c r="CW124" s="1214"/>
      <c r="CX124" s="1214"/>
      <c r="CY124" s="1214"/>
      <c r="CZ124" s="1214"/>
      <c r="DA124" s="1214"/>
      <c r="DB124" s="1214"/>
      <c r="DC124" s="1214"/>
      <c r="DD124" s="1214"/>
      <c r="DE124" s="1214"/>
      <c r="DF124" s="1214"/>
      <c r="DG124" s="1214"/>
      <c r="DH124" s="1214"/>
      <c r="DI124" s="1214"/>
      <c r="DJ124" s="1214"/>
      <c r="DK124" s="1214"/>
      <c r="DL124" s="1214"/>
      <c r="DM124" s="1214"/>
      <c r="DN124" s="1214"/>
      <c r="DO124" s="1214"/>
      <c r="DP124" s="1214"/>
      <c r="DQ124" s="1214"/>
      <c r="DR124" s="1214"/>
      <c r="DS124" s="1214"/>
      <c r="DT124" s="1214"/>
      <c r="DU124" s="1214"/>
      <c r="DV124" s="1214"/>
      <c r="DW124" s="1214"/>
      <c r="DX124" s="1214"/>
      <c r="DY124" s="1214"/>
      <c r="DZ124" s="1214"/>
      <c r="EA124" s="1214"/>
      <c r="EB124" s="1214"/>
      <c r="EC124" s="1214"/>
      <c r="ED124" s="1214"/>
      <c r="EE124" s="1214"/>
      <c r="EF124" s="1214"/>
      <c r="EG124" s="1214"/>
      <c r="EH124" s="1214"/>
      <c r="EI124" s="1214"/>
      <c r="EJ124" s="1214"/>
      <c r="EK124" s="1214"/>
      <c r="EL124" s="1214"/>
      <c r="EM124" s="1214"/>
      <c r="EN124" s="1214"/>
      <c r="EO124" s="1214"/>
      <c r="EP124" s="1214"/>
      <c r="EQ124" s="1214"/>
      <c r="ER124" s="1214"/>
      <c r="ES124" s="1214"/>
      <c r="ET124" s="1214"/>
      <c r="EU124" s="1214"/>
      <c r="EV124" s="1214"/>
      <c r="EW124" s="1214"/>
      <c r="EX124" s="1214"/>
      <c r="EY124" s="1214"/>
      <c r="EZ124" s="1214"/>
      <c r="FA124" s="1214"/>
      <c r="FB124" s="1214"/>
      <c r="FC124" s="1214"/>
      <c r="FD124" s="1214"/>
      <c r="FE124" s="1214"/>
      <c r="FF124" s="1214"/>
      <c r="FG124" s="1214"/>
      <c r="FH124" s="1214"/>
      <c r="FI124" s="1214"/>
      <c r="FJ124" s="1214"/>
      <c r="FK124" s="1214"/>
      <c r="FL124" s="1214"/>
      <c r="FM124" s="1214"/>
      <c r="FN124" s="1214"/>
      <c r="FO124" s="1214"/>
      <c r="FP124" s="1213"/>
      <c r="FQ124" s="1213"/>
      <c r="FR124" s="1213"/>
      <c r="FS124" s="1213"/>
      <c r="FT124" s="1213"/>
      <c r="FU124" s="1213"/>
      <c r="FV124" s="1213"/>
      <c r="FW124" s="1213"/>
      <c r="FX124" s="1213"/>
      <c r="FY124" s="1213"/>
    </row>
    <row r="125" spans="1:181" s="1211" customFormat="1">
      <c r="A125" s="1212"/>
      <c r="B125" s="1212"/>
      <c r="D125" s="1250" t="s">
        <v>352</v>
      </c>
      <c r="F125" s="1249"/>
      <c r="J125" s="172"/>
      <c r="L125" s="3"/>
      <c r="M125" s="3"/>
      <c r="N125" s="1214"/>
      <c r="O125" s="1214"/>
      <c r="P125" s="1214"/>
      <c r="Q125" s="1214"/>
      <c r="R125" s="1214"/>
      <c r="S125" s="1214"/>
      <c r="T125" s="1214"/>
      <c r="U125" s="1214"/>
      <c r="V125" s="1214"/>
      <c r="W125" s="1214"/>
      <c r="X125" s="1214"/>
      <c r="Y125" s="1214"/>
      <c r="Z125" s="1214"/>
      <c r="AA125" s="1214"/>
      <c r="AB125" s="1214"/>
      <c r="AC125" s="1214"/>
      <c r="AD125" s="1214"/>
      <c r="AE125" s="1214"/>
      <c r="AF125" s="1214"/>
      <c r="AG125" s="1214"/>
      <c r="AH125" s="1214"/>
      <c r="AI125" s="1214"/>
      <c r="AJ125" s="1214"/>
      <c r="AK125" s="1214"/>
      <c r="AL125" s="1214"/>
      <c r="AM125" s="1214"/>
      <c r="AN125" s="1214"/>
      <c r="AO125" s="1214"/>
      <c r="AP125" s="1214"/>
      <c r="AQ125" s="1214"/>
      <c r="AR125" s="1214"/>
      <c r="AS125" s="1214"/>
      <c r="AT125" s="1214"/>
      <c r="AU125" s="1214"/>
      <c r="AV125" s="1214"/>
      <c r="AW125" s="1214"/>
      <c r="AX125" s="1214"/>
      <c r="AY125" s="1214"/>
      <c r="AZ125" s="1214"/>
      <c r="BA125" s="1214"/>
      <c r="BB125" s="1214"/>
      <c r="BC125" s="1214"/>
      <c r="BD125" s="1214"/>
      <c r="BE125" s="1214"/>
      <c r="BF125" s="1214"/>
      <c r="BG125" s="1214"/>
      <c r="BH125" s="1214"/>
      <c r="BI125" s="1214"/>
      <c r="BJ125" s="1214"/>
      <c r="BK125" s="1214"/>
      <c r="BL125" s="1214"/>
      <c r="BM125" s="1214"/>
      <c r="BN125" s="1214"/>
      <c r="BO125" s="1214"/>
      <c r="BP125" s="1214"/>
      <c r="BQ125" s="1214"/>
      <c r="BR125" s="1214"/>
      <c r="BS125" s="1214"/>
      <c r="BT125" s="1214"/>
      <c r="BU125" s="1214"/>
      <c r="BV125" s="1214"/>
      <c r="BW125" s="1214"/>
      <c r="BX125" s="1214"/>
      <c r="BY125" s="1214"/>
      <c r="BZ125" s="1214"/>
      <c r="CA125" s="1214"/>
      <c r="CB125" s="1214"/>
      <c r="CC125" s="1214"/>
      <c r="CD125" s="1214"/>
      <c r="CE125" s="1214"/>
      <c r="CF125" s="1214"/>
      <c r="CG125" s="1214"/>
      <c r="CH125" s="1214"/>
      <c r="CI125" s="1214"/>
      <c r="CJ125" s="1214"/>
      <c r="CK125" s="1214"/>
      <c r="CL125" s="1214"/>
      <c r="CM125" s="1214"/>
      <c r="CN125" s="1214"/>
      <c r="CO125" s="1214"/>
      <c r="CP125" s="1214"/>
      <c r="CQ125" s="1214"/>
      <c r="CR125" s="1214"/>
      <c r="CS125" s="1214"/>
      <c r="CT125" s="1214"/>
      <c r="CU125" s="1214"/>
      <c r="CV125" s="1214"/>
      <c r="CW125" s="1214"/>
      <c r="CX125" s="1214"/>
      <c r="CY125" s="1214"/>
      <c r="CZ125" s="1214"/>
      <c r="DA125" s="1214"/>
      <c r="DB125" s="1214"/>
      <c r="DC125" s="1214"/>
      <c r="DD125" s="1214"/>
      <c r="DE125" s="1214"/>
      <c r="DF125" s="1214"/>
      <c r="DG125" s="1214"/>
      <c r="DH125" s="1214"/>
      <c r="DI125" s="1214"/>
      <c r="DJ125" s="1214"/>
      <c r="DK125" s="1214"/>
      <c r="DL125" s="1214"/>
      <c r="DM125" s="1214"/>
      <c r="DN125" s="1214"/>
      <c r="DO125" s="1214"/>
      <c r="DP125" s="1214"/>
      <c r="DQ125" s="1214"/>
      <c r="DR125" s="1214"/>
      <c r="DS125" s="1214"/>
      <c r="DT125" s="1214"/>
      <c r="DU125" s="1214"/>
      <c r="DV125" s="1214"/>
      <c r="DW125" s="1214"/>
      <c r="DX125" s="1214"/>
      <c r="DY125" s="1214"/>
      <c r="DZ125" s="1214"/>
      <c r="EA125" s="1214"/>
      <c r="EB125" s="1214"/>
      <c r="EC125" s="1214"/>
      <c r="ED125" s="1214"/>
      <c r="EE125" s="1214"/>
      <c r="EF125" s="1214"/>
      <c r="EG125" s="1214"/>
      <c r="EH125" s="1214"/>
      <c r="EI125" s="1214"/>
      <c r="EJ125" s="1214"/>
      <c r="EK125" s="1214"/>
      <c r="EL125" s="1214"/>
      <c r="EM125" s="1214"/>
      <c r="EN125" s="1214"/>
      <c r="EO125" s="1214"/>
      <c r="EP125" s="1214"/>
      <c r="EQ125" s="1214"/>
      <c r="ER125" s="1214"/>
      <c r="ES125" s="1214"/>
      <c r="ET125" s="1214"/>
      <c r="EU125" s="1214"/>
      <c r="EV125" s="1214"/>
      <c r="EW125" s="1214"/>
      <c r="EX125" s="1214"/>
      <c r="EY125" s="1214"/>
      <c r="EZ125" s="1214"/>
      <c r="FA125" s="1214"/>
      <c r="FB125" s="1214"/>
      <c r="FC125" s="1214"/>
      <c r="FD125" s="1214"/>
      <c r="FE125" s="1214"/>
      <c r="FF125" s="1214"/>
      <c r="FG125" s="1214"/>
      <c r="FH125" s="1214"/>
      <c r="FI125" s="1214"/>
      <c r="FJ125" s="1214"/>
      <c r="FK125" s="1214"/>
      <c r="FL125" s="1214"/>
      <c r="FM125" s="1214"/>
      <c r="FN125" s="1214"/>
      <c r="FO125" s="1214"/>
      <c r="FP125" s="1213"/>
      <c r="FQ125" s="1213"/>
      <c r="FR125" s="1213"/>
      <c r="FS125" s="1213"/>
      <c r="FT125" s="1213"/>
      <c r="FU125" s="1213"/>
      <c r="FV125" s="1213"/>
      <c r="FW125" s="1213"/>
      <c r="FX125" s="1213"/>
      <c r="FY125" s="1213"/>
    </row>
    <row r="126" spans="1:181" s="1211" customFormat="1">
      <c r="A126" s="1212"/>
      <c r="B126" s="1212"/>
      <c r="D126" s="1250" t="s">
        <v>351</v>
      </c>
      <c r="F126" s="1249"/>
      <c r="J126" s="172"/>
      <c r="L126" s="3"/>
      <c r="M126" s="3"/>
      <c r="N126" s="1214"/>
      <c r="O126" s="1214"/>
      <c r="P126" s="1214"/>
      <c r="Q126" s="1214"/>
      <c r="R126" s="1214"/>
      <c r="S126" s="1214"/>
      <c r="T126" s="1214"/>
      <c r="U126" s="1214"/>
      <c r="V126" s="1214"/>
      <c r="W126" s="1214"/>
      <c r="X126" s="1214"/>
      <c r="Y126" s="1214"/>
      <c r="Z126" s="1214"/>
      <c r="AA126" s="1214"/>
      <c r="AB126" s="1214"/>
      <c r="AC126" s="1214"/>
      <c r="AD126" s="1214"/>
      <c r="AE126" s="1214"/>
      <c r="AF126" s="1214"/>
      <c r="AG126" s="1214"/>
      <c r="AH126" s="1214"/>
      <c r="AI126" s="1214"/>
      <c r="AJ126" s="1214"/>
      <c r="AK126" s="1214"/>
      <c r="AL126" s="1214"/>
      <c r="AM126" s="1214"/>
      <c r="AN126" s="1214"/>
      <c r="AO126" s="1214"/>
      <c r="AP126" s="1214"/>
      <c r="AQ126" s="1214"/>
      <c r="AR126" s="1214"/>
      <c r="AS126" s="1214"/>
      <c r="AT126" s="1214"/>
      <c r="AU126" s="1214"/>
      <c r="AV126" s="1214"/>
      <c r="AW126" s="1214"/>
      <c r="AX126" s="1214"/>
      <c r="AY126" s="1214"/>
      <c r="AZ126" s="1214"/>
      <c r="BA126" s="1214"/>
      <c r="BB126" s="1214"/>
      <c r="BC126" s="1214"/>
      <c r="BD126" s="1214"/>
      <c r="BE126" s="1214"/>
      <c r="BF126" s="1214"/>
      <c r="BG126" s="1214"/>
      <c r="BH126" s="1214"/>
      <c r="BI126" s="1214"/>
      <c r="BJ126" s="1214"/>
      <c r="BK126" s="1214"/>
      <c r="BL126" s="1214"/>
      <c r="BM126" s="1214"/>
      <c r="BN126" s="1214"/>
      <c r="BO126" s="1214"/>
      <c r="BP126" s="1214"/>
      <c r="BQ126" s="1214"/>
      <c r="BR126" s="1214"/>
      <c r="BS126" s="1214"/>
      <c r="BT126" s="1214"/>
      <c r="BU126" s="1214"/>
      <c r="BV126" s="1214"/>
      <c r="BW126" s="1214"/>
      <c r="BX126" s="1214"/>
      <c r="BY126" s="1214"/>
      <c r="BZ126" s="1214"/>
      <c r="CA126" s="1214"/>
      <c r="CB126" s="1214"/>
      <c r="CC126" s="1214"/>
      <c r="CD126" s="1214"/>
      <c r="CE126" s="1214"/>
      <c r="CF126" s="1214"/>
      <c r="CG126" s="1214"/>
      <c r="CH126" s="1214"/>
      <c r="CI126" s="1214"/>
      <c r="CJ126" s="1214"/>
      <c r="CK126" s="1214"/>
      <c r="CL126" s="1214"/>
      <c r="CM126" s="1214"/>
      <c r="CN126" s="1214"/>
      <c r="CO126" s="1214"/>
      <c r="CP126" s="1214"/>
      <c r="CQ126" s="1214"/>
      <c r="CR126" s="1214"/>
      <c r="CS126" s="1214"/>
      <c r="CT126" s="1214"/>
      <c r="CU126" s="1214"/>
      <c r="CV126" s="1214"/>
      <c r="CW126" s="1214"/>
      <c r="CX126" s="1214"/>
      <c r="CY126" s="1214"/>
      <c r="CZ126" s="1214"/>
      <c r="DA126" s="1214"/>
      <c r="DB126" s="1214"/>
      <c r="DC126" s="1214"/>
      <c r="DD126" s="1214"/>
      <c r="DE126" s="1214"/>
      <c r="DF126" s="1214"/>
      <c r="DG126" s="1214"/>
      <c r="DH126" s="1214"/>
      <c r="DI126" s="1214"/>
      <c r="DJ126" s="1214"/>
      <c r="DK126" s="1214"/>
      <c r="DL126" s="1214"/>
      <c r="DM126" s="1214"/>
      <c r="DN126" s="1214"/>
      <c r="DO126" s="1214"/>
      <c r="DP126" s="1214"/>
      <c r="DQ126" s="1214"/>
      <c r="DR126" s="1214"/>
      <c r="DS126" s="1214"/>
      <c r="DT126" s="1214"/>
      <c r="DU126" s="1214"/>
      <c r="DV126" s="1214"/>
      <c r="DW126" s="1214"/>
      <c r="DX126" s="1214"/>
      <c r="DY126" s="1214"/>
      <c r="DZ126" s="1214"/>
      <c r="EA126" s="1214"/>
      <c r="EB126" s="1214"/>
      <c r="EC126" s="1214"/>
      <c r="ED126" s="1214"/>
      <c r="EE126" s="1214"/>
      <c r="EF126" s="1214"/>
      <c r="EG126" s="1214"/>
      <c r="EH126" s="1214"/>
      <c r="EI126" s="1214"/>
      <c r="EJ126" s="1214"/>
      <c r="EK126" s="1214"/>
      <c r="EL126" s="1214"/>
      <c r="EM126" s="1214"/>
      <c r="EN126" s="1214"/>
      <c r="EO126" s="1214"/>
      <c r="EP126" s="1214"/>
      <c r="EQ126" s="1214"/>
      <c r="ER126" s="1214"/>
      <c r="ES126" s="1214"/>
      <c r="ET126" s="1214"/>
      <c r="EU126" s="1214"/>
      <c r="EV126" s="1214"/>
      <c r="EW126" s="1214"/>
      <c r="EX126" s="1214"/>
      <c r="EY126" s="1214"/>
      <c r="EZ126" s="1214"/>
      <c r="FA126" s="1214"/>
      <c r="FB126" s="1214"/>
      <c r="FC126" s="1214"/>
      <c r="FD126" s="1214"/>
      <c r="FE126" s="1214"/>
      <c r="FF126" s="1214"/>
      <c r="FG126" s="1214"/>
      <c r="FH126" s="1214"/>
      <c r="FI126" s="1214"/>
      <c r="FJ126" s="1214"/>
      <c r="FK126" s="1214"/>
      <c r="FL126" s="1214"/>
      <c r="FM126" s="1214"/>
      <c r="FN126" s="1214"/>
      <c r="FO126" s="1214"/>
      <c r="FP126" s="1213"/>
      <c r="FQ126" s="1213"/>
      <c r="FR126" s="1213"/>
      <c r="FS126" s="1213"/>
      <c r="FT126" s="1213"/>
      <c r="FU126" s="1213"/>
      <c r="FV126" s="1213"/>
      <c r="FW126" s="1213"/>
      <c r="FX126" s="1213"/>
      <c r="FY126" s="1213"/>
    </row>
    <row r="127" spans="1:181" s="1211" customFormat="1">
      <c r="A127" s="1212"/>
      <c r="B127" s="1212"/>
      <c r="D127" s="1250" t="s">
        <v>350</v>
      </c>
      <c r="F127" s="1249"/>
      <c r="J127" s="172"/>
      <c r="L127" s="3"/>
      <c r="M127" s="3"/>
      <c r="N127" s="1214"/>
      <c r="O127" s="1214"/>
      <c r="P127" s="1214"/>
      <c r="Q127" s="1214"/>
      <c r="R127" s="1214"/>
      <c r="S127" s="1214"/>
      <c r="T127" s="1214"/>
      <c r="U127" s="1214"/>
      <c r="V127" s="1214"/>
      <c r="W127" s="1214"/>
      <c r="X127" s="1214"/>
      <c r="Y127" s="1214"/>
      <c r="Z127" s="1214"/>
      <c r="AA127" s="1214"/>
      <c r="AB127" s="1214"/>
      <c r="AC127" s="1214"/>
      <c r="AD127" s="1214"/>
      <c r="AE127" s="1214"/>
      <c r="AF127" s="1214"/>
      <c r="AG127" s="1214"/>
      <c r="AH127" s="1214"/>
      <c r="AI127" s="1214"/>
      <c r="AJ127" s="1214"/>
      <c r="AK127" s="1214"/>
      <c r="AL127" s="1214"/>
      <c r="AM127" s="1214"/>
      <c r="AN127" s="1214"/>
      <c r="AO127" s="1214"/>
      <c r="AP127" s="1214"/>
      <c r="AQ127" s="1214"/>
      <c r="AR127" s="1214"/>
      <c r="AS127" s="1214"/>
      <c r="AT127" s="1214"/>
      <c r="AU127" s="1214"/>
      <c r="AV127" s="1214"/>
      <c r="AW127" s="1214"/>
      <c r="AX127" s="1214"/>
      <c r="AY127" s="1214"/>
      <c r="AZ127" s="1214"/>
      <c r="BA127" s="1214"/>
      <c r="BB127" s="1214"/>
      <c r="BC127" s="1214"/>
      <c r="BD127" s="1214"/>
      <c r="BE127" s="1214"/>
      <c r="BF127" s="1214"/>
      <c r="BG127" s="1214"/>
      <c r="BH127" s="1214"/>
      <c r="BI127" s="1214"/>
      <c r="BJ127" s="1214"/>
      <c r="BK127" s="1214"/>
      <c r="BL127" s="1214"/>
      <c r="BM127" s="1214"/>
      <c r="BN127" s="1214"/>
      <c r="BO127" s="1214"/>
      <c r="BP127" s="1214"/>
      <c r="BQ127" s="1214"/>
      <c r="BR127" s="1214"/>
      <c r="BS127" s="1214"/>
      <c r="BT127" s="1214"/>
      <c r="BU127" s="1214"/>
      <c r="BV127" s="1214"/>
      <c r="BW127" s="1214"/>
      <c r="BX127" s="1214"/>
      <c r="BY127" s="1214"/>
      <c r="BZ127" s="1214"/>
      <c r="CA127" s="1214"/>
      <c r="CB127" s="1214"/>
      <c r="CC127" s="1214"/>
      <c r="CD127" s="1214"/>
      <c r="CE127" s="1214"/>
      <c r="CF127" s="1214"/>
      <c r="CG127" s="1214"/>
      <c r="CH127" s="1214"/>
      <c r="CI127" s="1214"/>
      <c r="CJ127" s="1214"/>
      <c r="CK127" s="1214"/>
      <c r="CL127" s="1214"/>
      <c r="CM127" s="1214"/>
      <c r="CN127" s="1214"/>
      <c r="CO127" s="1214"/>
      <c r="CP127" s="1214"/>
      <c r="CQ127" s="1214"/>
      <c r="CR127" s="1214"/>
      <c r="CS127" s="1214"/>
      <c r="CT127" s="1214"/>
      <c r="CU127" s="1214"/>
      <c r="CV127" s="1214"/>
      <c r="CW127" s="1214"/>
      <c r="CX127" s="1214"/>
      <c r="CY127" s="1214"/>
      <c r="CZ127" s="1214"/>
      <c r="DA127" s="1214"/>
      <c r="DB127" s="1214"/>
      <c r="DC127" s="1214"/>
      <c r="DD127" s="1214"/>
      <c r="DE127" s="1214"/>
      <c r="DF127" s="1214"/>
      <c r="DG127" s="1214"/>
      <c r="DH127" s="1214"/>
      <c r="DI127" s="1214"/>
      <c r="DJ127" s="1214"/>
      <c r="DK127" s="1214"/>
      <c r="DL127" s="1214"/>
      <c r="DM127" s="1214"/>
      <c r="DN127" s="1214"/>
      <c r="DO127" s="1214"/>
      <c r="DP127" s="1214"/>
      <c r="DQ127" s="1214"/>
      <c r="DR127" s="1214"/>
      <c r="DS127" s="1214"/>
      <c r="DT127" s="1214"/>
      <c r="DU127" s="1214"/>
      <c r="DV127" s="1214"/>
      <c r="DW127" s="1214"/>
      <c r="DX127" s="1214"/>
      <c r="DY127" s="1214"/>
      <c r="DZ127" s="1214"/>
      <c r="EA127" s="1214"/>
      <c r="EB127" s="1214"/>
      <c r="EC127" s="1214"/>
      <c r="ED127" s="1214"/>
      <c r="EE127" s="1214"/>
      <c r="EF127" s="1214"/>
      <c r="EG127" s="1214"/>
      <c r="EH127" s="1214"/>
      <c r="EI127" s="1214"/>
      <c r="EJ127" s="1214"/>
      <c r="EK127" s="1214"/>
      <c r="EL127" s="1214"/>
      <c r="EM127" s="1214"/>
      <c r="EN127" s="1214"/>
      <c r="EO127" s="1214"/>
      <c r="EP127" s="1214"/>
      <c r="EQ127" s="1214"/>
      <c r="ER127" s="1214"/>
      <c r="ES127" s="1214"/>
      <c r="ET127" s="1214"/>
      <c r="EU127" s="1214"/>
      <c r="EV127" s="1214"/>
      <c r="EW127" s="1214"/>
      <c r="EX127" s="1214"/>
      <c r="EY127" s="1214"/>
      <c r="EZ127" s="1214"/>
      <c r="FA127" s="1214"/>
      <c r="FB127" s="1214"/>
      <c r="FC127" s="1214"/>
      <c r="FD127" s="1214"/>
      <c r="FE127" s="1214"/>
      <c r="FF127" s="1214"/>
      <c r="FG127" s="1214"/>
      <c r="FH127" s="1214"/>
      <c r="FI127" s="1214"/>
      <c r="FJ127" s="1214"/>
      <c r="FK127" s="1214"/>
      <c r="FL127" s="1214"/>
      <c r="FM127" s="1214"/>
      <c r="FN127" s="1214"/>
      <c r="FO127" s="1214"/>
      <c r="FP127" s="1213"/>
      <c r="FQ127" s="1213"/>
      <c r="FR127" s="1213"/>
      <c r="FS127" s="1213"/>
      <c r="FT127" s="1213"/>
      <c r="FU127" s="1213"/>
      <c r="FV127" s="1213"/>
      <c r="FW127" s="1213"/>
      <c r="FX127" s="1213"/>
      <c r="FY127" s="1213"/>
    </row>
    <row r="128" spans="1:181" s="1211" customFormat="1">
      <c r="A128" s="1212"/>
      <c r="B128" s="1212"/>
      <c r="D128" s="1211" t="s">
        <v>349</v>
      </c>
      <c r="F128" s="1258">
        <f>SUM(F125:F127)</f>
        <v>0</v>
      </c>
      <c r="J128" s="172"/>
      <c r="L128" s="3"/>
      <c r="M128" s="3"/>
      <c r="N128" s="1214"/>
      <c r="O128" s="1214"/>
      <c r="P128" s="1214"/>
      <c r="Q128" s="1214"/>
      <c r="R128" s="1214"/>
      <c r="S128" s="1214"/>
      <c r="T128" s="1214"/>
      <c r="U128" s="1214"/>
      <c r="V128" s="1214"/>
      <c r="W128" s="1214"/>
      <c r="X128" s="1214"/>
      <c r="Y128" s="1214"/>
      <c r="Z128" s="1214"/>
      <c r="AA128" s="1214"/>
      <c r="AB128" s="1214"/>
      <c r="AC128" s="1214"/>
      <c r="AD128" s="1214"/>
      <c r="AE128" s="1214"/>
      <c r="AF128" s="1214"/>
      <c r="AG128" s="1214"/>
      <c r="AH128" s="1214"/>
      <c r="AI128" s="1214"/>
      <c r="AJ128" s="1214"/>
      <c r="AK128" s="1214"/>
      <c r="AL128" s="1214"/>
      <c r="AM128" s="1214"/>
      <c r="AN128" s="1214"/>
      <c r="AO128" s="1214"/>
      <c r="AP128" s="1214"/>
      <c r="AQ128" s="1214"/>
      <c r="AR128" s="1214"/>
      <c r="AS128" s="1214"/>
      <c r="AT128" s="1214"/>
      <c r="AU128" s="1214"/>
      <c r="AV128" s="1214"/>
      <c r="AW128" s="1214"/>
      <c r="AX128" s="1214"/>
      <c r="AY128" s="1214"/>
      <c r="AZ128" s="1214"/>
      <c r="BA128" s="1214"/>
      <c r="BB128" s="1214"/>
      <c r="BC128" s="1214"/>
      <c r="BD128" s="1214"/>
      <c r="BE128" s="1214"/>
      <c r="BF128" s="1214"/>
      <c r="BG128" s="1214"/>
      <c r="BH128" s="1214"/>
      <c r="BI128" s="1214"/>
      <c r="BJ128" s="1214"/>
      <c r="BK128" s="1214"/>
      <c r="BL128" s="1214"/>
      <c r="BM128" s="1214"/>
      <c r="BN128" s="1214"/>
      <c r="BO128" s="1214"/>
      <c r="BP128" s="1214"/>
      <c r="BQ128" s="1214"/>
      <c r="BR128" s="1214"/>
      <c r="BS128" s="1214"/>
      <c r="BT128" s="1214"/>
      <c r="BU128" s="1214"/>
      <c r="BV128" s="1214"/>
      <c r="BW128" s="1214"/>
      <c r="BX128" s="1214"/>
      <c r="BY128" s="1214"/>
      <c r="BZ128" s="1214"/>
      <c r="CA128" s="1214"/>
      <c r="CB128" s="1214"/>
      <c r="CC128" s="1214"/>
      <c r="CD128" s="1214"/>
      <c r="CE128" s="1214"/>
      <c r="CF128" s="1214"/>
      <c r="CG128" s="1214"/>
      <c r="CH128" s="1214"/>
      <c r="CI128" s="1214"/>
      <c r="CJ128" s="1214"/>
      <c r="CK128" s="1214"/>
      <c r="CL128" s="1214"/>
      <c r="CM128" s="1214"/>
      <c r="CN128" s="1214"/>
      <c r="CO128" s="1214"/>
      <c r="CP128" s="1214"/>
      <c r="CQ128" s="1214"/>
      <c r="CR128" s="1214"/>
      <c r="CS128" s="1214"/>
      <c r="CT128" s="1214"/>
      <c r="CU128" s="1214"/>
      <c r="CV128" s="1214"/>
      <c r="CW128" s="1214"/>
      <c r="CX128" s="1214"/>
      <c r="CY128" s="1214"/>
      <c r="CZ128" s="1214"/>
      <c r="DA128" s="1214"/>
      <c r="DB128" s="1214"/>
      <c r="DC128" s="1214"/>
      <c r="DD128" s="1214"/>
      <c r="DE128" s="1214"/>
      <c r="DF128" s="1214"/>
      <c r="DG128" s="1214"/>
      <c r="DH128" s="1214"/>
      <c r="DI128" s="1214"/>
      <c r="DJ128" s="1214"/>
      <c r="DK128" s="1214"/>
      <c r="DL128" s="1214"/>
      <c r="DM128" s="1214"/>
      <c r="DN128" s="1214"/>
      <c r="DO128" s="1214"/>
      <c r="DP128" s="1214"/>
      <c r="DQ128" s="1214"/>
      <c r="DR128" s="1214"/>
      <c r="DS128" s="1214"/>
      <c r="DT128" s="1214"/>
      <c r="DU128" s="1214"/>
      <c r="DV128" s="1214"/>
      <c r="DW128" s="1214"/>
      <c r="DX128" s="1214"/>
      <c r="DY128" s="1214"/>
      <c r="DZ128" s="1214"/>
      <c r="EA128" s="1214"/>
      <c r="EB128" s="1214"/>
      <c r="EC128" s="1214"/>
      <c r="ED128" s="1214"/>
      <c r="EE128" s="1214"/>
      <c r="EF128" s="1214"/>
      <c r="EG128" s="1214"/>
      <c r="EH128" s="1214"/>
      <c r="EI128" s="1214"/>
      <c r="EJ128" s="1214"/>
      <c r="EK128" s="1214"/>
      <c r="EL128" s="1214"/>
      <c r="EM128" s="1214"/>
      <c r="EN128" s="1214"/>
      <c r="EO128" s="1214"/>
      <c r="EP128" s="1214"/>
      <c r="EQ128" s="1214"/>
      <c r="ER128" s="1214"/>
      <c r="ES128" s="1214"/>
      <c r="ET128" s="1214"/>
      <c r="EU128" s="1214"/>
      <c r="EV128" s="1214"/>
      <c r="EW128" s="1214"/>
      <c r="EX128" s="1214"/>
      <c r="EY128" s="1214"/>
      <c r="EZ128" s="1214"/>
      <c r="FA128" s="1214"/>
      <c r="FB128" s="1214"/>
      <c r="FC128" s="1214"/>
      <c r="FD128" s="1214"/>
      <c r="FE128" s="1214"/>
      <c r="FF128" s="1214"/>
      <c r="FG128" s="1214"/>
      <c r="FH128" s="1214"/>
      <c r="FI128" s="1214"/>
      <c r="FJ128" s="1214"/>
      <c r="FK128" s="1214"/>
      <c r="FL128" s="1214"/>
      <c r="FM128" s="1214"/>
      <c r="FN128" s="1214"/>
      <c r="FO128" s="1214"/>
      <c r="FP128" s="1213"/>
      <c r="FQ128" s="1213"/>
      <c r="FR128" s="1213"/>
      <c r="FS128" s="1213"/>
      <c r="FT128" s="1213"/>
      <c r="FU128" s="1213"/>
      <c r="FV128" s="1213"/>
      <c r="FW128" s="1213"/>
      <c r="FX128" s="1213"/>
      <c r="FY128" s="1213"/>
    </row>
    <row r="129" spans="1:181" s="1211" customFormat="1">
      <c r="A129" s="1212"/>
      <c r="B129" s="1212"/>
      <c r="D129" s="1211" t="s">
        <v>348</v>
      </c>
      <c r="F129" s="1226"/>
      <c r="J129" s="172"/>
      <c r="L129" s="3"/>
      <c r="M129" s="3"/>
      <c r="N129" s="1214"/>
      <c r="O129" s="1214"/>
      <c r="P129" s="1214"/>
      <c r="Q129" s="1214"/>
      <c r="R129" s="1214"/>
      <c r="S129" s="1214"/>
      <c r="T129" s="1214"/>
      <c r="U129" s="1214"/>
      <c r="V129" s="1214"/>
      <c r="W129" s="1214"/>
      <c r="X129" s="1214"/>
      <c r="Y129" s="1214"/>
      <c r="Z129" s="1214"/>
      <c r="AA129" s="1214"/>
      <c r="AB129" s="1214"/>
      <c r="AC129" s="1214"/>
      <c r="AD129" s="1214"/>
      <c r="AE129" s="1214"/>
      <c r="AF129" s="1214"/>
      <c r="AG129" s="1214"/>
      <c r="AH129" s="1214"/>
      <c r="AI129" s="1214"/>
      <c r="AJ129" s="1214"/>
      <c r="AK129" s="1214"/>
      <c r="AL129" s="1214"/>
      <c r="AM129" s="1214"/>
      <c r="AN129" s="1214"/>
      <c r="AO129" s="1214"/>
      <c r="AP129" s="1214"/>
      <c r="AQ129" s="1214"/>
      <c r="AR129" s="1214"/>
      <c r="AS129" s="1214"/>
      <c r="AT129" s="1214"/>
      <c r="AU129" s="1214"/>
      <c r="AV129" s="1214"/>
      <c r="AW129" s="1214"/>
      <c r="AX129" s="1214"/>
      <c r="AY129" s="1214"/>
      <c r="AZ129" s="1214"/>
      <c r="BA129" s="1214"/>
      <c r="BB129" s="1214"/>
      <c r="BC129" s="1214"/>
      <c r="BD129" s="1214"/>
      <c r="BE129" s="1214"/>
      <c r="BF129" s="1214"/>
      <c r="BG129" s="1214"/>
      <c r="BH129" s="1214"/>
      <c r="BI129" s="1214"/>
      <c r="BJ129" s="1214"/>
      <c r="BK129" s="1214"/>
      <c r="BL129" s="1214"/>
      <c r="BM129" s="1214"/>
      <c r="BN129" s="1214"/>
      <c r="BO129" s="1214"/>
      <c r="BP129" s="1214"/>
      <c r="BQ129" s="1214"/>
      <c r="BR129" s="1214"/>
      <c r="BS129" s="1214"/>
      <c r="BT129" s="1214"/>
      <c r="BU129" s="1214"/>
      <c r="BV129" s="1214"/>
      <c r="BW129" s="1214"/>
      <c r="BX129" s="1214"/>
      <c r="BY129" s="1214"/>
      <c r="BZ129" s="1214"/>
      <c r="CA129" s="1214"/>
      <c r="CB129" s="1214"/>
      <c r="CC129" s="1214"/>
      <c r="CD129" s="1214"/>
      <c r="CE129" s="1214"/>
      <c r="CF129" s="1214"/>
      <c r="CG129" s="1214"/>
      <c r="CH129" s="1214"/>
      <c r="CI129" s="1214"/>
      <c r="CJ129" s="1214"/>
      <c r="CK129" s="1214"/>
      <c r="CL129" s="1214"/>
      <c r="CM129" s="1214"/>
      <c r="CN129" s="1214"/>
      <c r="CO129" s="1214"/>
      <c r="CP129" s="1214"/>
      <c r="CQ129" s="1214"/>
      <c r="CR129" s="1214"/>
      <c r="CS129" s="1214"/>
      <c r="CT129" s="1214"/>
      <c r="CU129" s="1214"/>
      <c r="CV129" s="1214"/>
      <c r="CW129" s="1214"/>
      <c r="CX129" s="1214"/>
      <c r="CY129" s="1214"/>
      <c r="CZ129" s="1214"/>
      <c r="DA129" s="1214"/>
      <c r="DB129" s="1214"/>
      <c r="DC129" s="1214"/>
      <c r="DD129" s="1214"/>
      <c r="DE129" s="1214"/>
      <c r="DF129" s="1214"/>
      <c r="DG129" s="1214"/>
      <c r="DH129" s="1214"/>
      <c r="DI129" s="1214"/>
      <c r="DJ129" s="1214"/>
      <c r="DK129" s="1214"/>
      <c r="DL129" s="1214"/>
      <c r="DM129" s="1214"/>
      <c r="DN129" s="1214"/>
      <c r="DO129" s="1214"/>
      <c r="DP129" s="1214"/>
      <c r="DQ129" s="1214"/>
      <c r="DR129" s="1214"/>
      <c r="DS129" s="1214"/>
      <c r="DT129" s="1214"/>
      <c r="DU129" s="1214"/>
      <c r="DV129" s="1214"/>
      <c r="DW129" s="1214"/>
      <c r="DX129" s="1214"/>
      <c r="DY129" s="1214"/>
      <c r="DZ129" s="1214"/>
      <c r="EA129" s="1214"/>
      <c r="EB129" s="1214"/>
      <c r="EC129" s="1214"/>
      <c r="ED129" s="1214"/>
      <c r="EE129" s="1214"/>
      <c r="EF129" s="1214"/>
      <c r="EG129" s="1214"/>
      <c r="EH129" s="1214"/>
      <c r="EI129" s="1214"/>
      <c r="EJ129" s="1214"/>
      <c r="EK129" s="1214"/>
      <c r="EL129" s="1214"/>
      <c r="EM129" s="1214"/>
      <c r="EN129" s="1214"/>
      <c r="EO129" s="1214"/>
      <c r="EP129" s="1214"/>
      <c r="EQ129" s="1214"/>
      <c r="ER129" s="1214"/>
      <c r="ES129" s="1214"/>
      <c r="ET129" s="1214"/>
      <c r="EU129" s="1214"/>
      <c r="EV129" s="1214"/>
      <c r="EW129" s="1214"/>
      <c r="EX129" s="1214"/>
      <c r="EY129" s="1214"/>
      <c r="EZ129" s="1214"/>
      <c r="FA129" s="1214"/>
      <c r="FB129" s="1214"/>
      <c r="FC129" s="1214"/>
      <c r="FD129" s="1214"/>
      <c r="FE129" s="1214"/>
      <c r="FF129" s="1214"/>
      <c r="FG129" s="1214"/>
      <c r="FH129" s="1214"/>
      <c r="FI129" s="1214"/>
      <c r="FJ129" s="1214"/>
      <c r="FK129" s="1214"/>
      <c r="FL129" s="1214"/>
      <c r="FM129" s="1214"/>
      <c r="FN129" s="1214"/>
      <c r="FO129" s="1214"/>
      <c r="FP129" s="1213"/>
      <c r="FQ129" s="1213"/>
      <c r="FR129" s="1213"/>
      <c r="FS129" s="1213"/>
      <c r="FT129" s="1213"/>
      <c r="FU129" s="1213"/>
      <c r="FV129" s="1213"/>
      <c r="FW129" s="1213"/>
      <c r="FX129" s="1213"/>
      <c r="FY129" s="1213"/>
    </row>
    <row r="130" spans="1:181" s="1211" customFormat="1">
      <c r="A130" s="1212"/>
      <c r="B130" s="1212"/>
      <c r="D130" s="1232" t="s">
        <v>347</v>
      </c>
      <c r="F130" s="1248">
        <f>SUM(F128:F129)</f>
        <v>0</v>
      </c>
      <c r="J130" s="172"/>
      <c r="L130" s="3"/>
      <c r="M130" s="3"/>
      <c r="N130" s="1214"/>
      <c r="O130" s="1214"/>
      <c r="P130" s="1214"/>
      <c r="Q130" s="1214"/>
      <c r="R130" s="1214"/>
      <c r="S130" s="1214"/>
      <c r="T130" s="1214"/>
      <c r="U130" s="1214"/>
      <c r="V130" s="1214"/>
      <c r="W130" s="1214"/>
      <c r="X130" s="1214"/>
      <c r="Y130" s="1214"/>
      <c r="Z130" s="1214"/>
      <c r="AA130" s="1214"/>
      <c r="AB130" s="1214"/>
      <c r="AC130" s="1214"/>
      <c r="AD130" s="1214"/>
      <c r="AE130" s="1214"/>
      <c r="AF130" s="1214"/>
      <c r="AG130" s="1214"/>
      <c r="AH130" s="1214"/>
      <c r="AI130" s="1214"/>
      <c r="AJ130" s="1214"/>
      <c r="AK130" s="1214"/>
      <c r="AL130" s="1214"/>
      <c r="AM130" s="1214"/>
      <c r="AN130" s="1214"/>
      <c r="AO130" s="1214"/>
      <c r="AP130" s="1214"/>
      <c r="AQ130" s="1214"/>
      <c r="AR130" s="1214"/>
      <c r="AS130" s="1214"/>
      <c r="AT130" s="1214"/>
      <c r="AU130" s="1214"/>
      <c r="AV130" s="1214"/>
      <c r="AW130" s="1214"/>
      <c r="AX130" s="1214"/>
      <c r="AY130" s="1214"/>
      <c r="AZ130" s="1214"/>
      <c r="BA130" s="1214"/>
      <c r="BB130" s="1214"/>
      <c r="BC130" s="1214"/>
      <c r="BD130" s="1214"/>
      <c r="BE130" s="1214"/>
      <c r="BF130" s="1214"/>
      <c r="BG130" s="1214"/>
      <c r="BH130" s="1214"/>
      <c r="BI130" s="1214"/>
      <c r="BJ130" s="1214"/>
      <c r="BK130" s="1214"/>
      <c r="BL130" s="1214"/>
      <c r="BM130" s="1214"/>
      <c r="BN130" s="1214"/>
      <c r="BO130" s="1214"/>
      <c r="BP130" s="1214"/>
      <c r="BQ130" s="1214"/>
      <c r="BR130" s="1214"/>
      <c r="BS130" s="1214"/>
      <c r="BT130" s="1214"/>
      <c r="BU130" s="1214"/>
      <c r="BV130" s="1214"/>
      <c r="BW130" s="1214"/>
      <c r="BX130" s="1214"/>
      <c r="BY130" s="1214"/>
      <c r="BZ130" s="1214"/>
      <c r="CA130" s="1214"/>
      <c r="CB130" s="1214"/>
      <c r="CC130" s="1214"/>
      <c r="CD130" s="1214"/>
      <c r="CE130" s="1214"/>
      <c r="CF130" s="1214"/>
      <c r="CG130" s="1214"/>
      <c r="CH130" s="1214"/>
      <c r="CI130" s="1214"/>
      <c r="CJ130" s="1214"/>
      <c r="CK130" s="1214"/>
      <c r="CL130" s="1214"/>
      <c r="CM130" s="1214"/>
      <c r="CN130" s="1214"/>
      <c r="CO130" s="1214"/>
      <c r="CP130" s="1214"/>
      <c r="CQ130" s="1214"/>
      <c r="CR130" s="1214"/>
      <c r="CS130" s="1214"/>
      <c r="CT130" s="1214"/>
      <c r="CU130" s="1214"/>
      <c r="CV130" s="1214"/>
      <c r="CW130" s="1214"/>
      <c r="CX130" s="1214"/>
      <c r="CY130" s="1214"/>
      <c r="CZ130" s="1214"/>
      <c r="DA130" s="1214"/>
      <c r="DB130" s="1214"/>
      <c r="DC130" s="1214"/>
      <c r="DD130" s="1214"/>
      <c r="DE130" s="1214"/>
      <c r="DF130" s="1214"/>
      <c r="DG130" s="1214"/>
      <c r="DH130" s="1214"/>
      <c r="DI130" s="1214"/>
      <c r="DJ130" s="1214"/>
      <c r="DK130" s="1214"/>
      <c r="DL130" s="1214"/>
      <c r="DM130" s="1214"/>
      <c r="DN130" s="1214"/>
      <c r="DO130" s="1214"/>
      <c r="DP130" s="1214"/>
      <c r="DQ130" s="1214"/>
      <c r="DR130" s="1214"/>
      <c r="DS130" s="1214"/>
      <c r="DT130" s="1214"/>
      <c r="DU130" s="1214"/>
      <c r="DV130" s="1214"/>
      <c r="DW130" s="1214"/>
      <c r="DX130" s="1214"/>
      <c r="DY130" s="1214"/>
      <c r="DZ130" s="1214"/>
      <c r="EA130" s="1214"/>
      <c r="EB130" s="1214"/>
      <c r="EC130" s="1214"/>
      <c r="ED130" s="1214"/>
      <c r="EE130" s="1214"/>
      <c r="EF130" s="1214"/>
      <c r="EG130" s="1214"/>
      <c r="EH130" s="1214"/>
      <c r="EI130" s="1214"/>
      <c r="EJ130" s="1214"/>
      <c r="EK130" s="1214"/>
      <c r="EL130" s="1214"/>
      <c r="EM130" s="1214"/>
      <c r="EN130" s="1214"/>
      <c r="EO130" s="1214"/>
      <c r="EP130" s="1214"/>
      <c r="EQ130" s="1214"/>
      <c r="ER130" s="1214"/>
      <c r="ES130" s="1214"/>
      <c r="ET130" s="1214"/>
      <c r="EU130" s="1214"/>
      <c r="EV130" s="1214"/>
      <c r="EW130" s="1214"/>
      <c r="EX130" s="1214"/>
      <c r="EY130" s="1214"/>
      <c r="EZ130" s="1214"/>
      <c r="FA130" s="1214"/>
      <c r="FB130" s="1214"/>
      <c r="FC130" s="1214"/>
      <c r="FD130" s="1214"/>
      <c r="FE130" s="1214"/>
      <c r="FF130" s="1214"/>
      <c r="FG130" s="1214"/>
      <c r="FH130" s="1214"/>
      <c r="FI130" s="1214"/>
      <c r="FJ130" s="1214"/>
      <c r="FK130" s="1214"/>
      <c r="FL130" s="1214"/>
      <c r="FM130" s="1214"/>
      <c r="FN130" s="1214"/>
      <c r="FO130" s="1214"/>
      <c r="FP130" s="1213"/>
      <c r="FQ130" s="1213"/>
      <c r="FR130" s="1213"/>
      <c r="FS130" s="1213"/>
      <c r="FT130" s="1213"/>
      <c r="FU130" s="1213"/>
      <c r="FV130" s="1213"/>
      <c r="FW130" s="1213"/>
      <c r="FX130" s="1213"/>
      <c r="FY130" s="1213"/>
    </row>
    <row r="131" spans="1:181" s="1211" customFormat="1" ht="12" customHeight="1">
      <c r="A131" s="1212"/>
      <c r="B131" s="1212"/>
      <c r="J131" s="172"/>
      <c r="L131" s="3"/>
      <c r="M131" s="3"/>
      <c r="N131" s="1214"/>
      <c r="O131" s="1214"/>
      <c r="P131" s="1214"/>
      <c r="Q131" s="1214"/>
      <c r="R131" s="1214"/>
      <c r="S131" s="1214"/>
      <c r="T131" s="1214"/>
      <c r="U131" s="1214"/>
      <c r="V131" s="1214"/>
      <c r="W131" s="1214"/>
      <c r="X131" s="1214"/>
      <c r="Y131" s="1214"/>
      <c r="Z131" s="1214"/>
      <c r="AA131" s="1214"/>
      <c r="AB131" s="1214"/>
      <c r="AC131" s="1214"/>
      <c r="AD131" s="1214"/>
      <c r="AE131" s="1214"/>
      <c r="AF131" s="1214"/>
      <c r="AG131" s="1214"/>
      <c r="AH131" s="1214"/>
      <c r="AI131" s="1214"/>
      <c r="AJ131" s="1214"/>
      <c r="AK131" s="1214"/>
      <c r="AL131" s="1214"/>
      <c r="AM131" s="1214"/>
      <c r="AN131" s="1214"/>
      <c r="AO131" s="1214"/>
      <c r="AP131" s="1214"/>
      <c r="AQ131" s="1214"/>
      <c r="AR131" s="1214"/>
      <c r="AS131" s="1214"/>
      <c r="AT131" s="1214"/>
      <c r="AU131" s="1214"/>
      <c r="AV131" s="1214"/>
      <c r="AW131" s="1214"/>
      <c r="AX131" s="1214"/>
      <c r="AY131" s="1214"/>
      <c r="AZ131" s="1214"/>
      <c r="BA131" s="1214"/>
      <c r="BB131" s="1214"/>
      <c r="BC131" s="1214"/>
      <c r="BD131" s="1214"/>
      <c r="BE131" s="1214"/>
      <c r="BF131" s="1214"/>
      <c r="BG131" s="1214"/>
      <c r="BH131" s="1214"/>
      <c r="BI131" s="1214"/>
      <c r="BJ131" s="1214"/>
      <c r="BK131" s="1214"/>
      <c r="BL131" s="1214"/>
      <c r="BM131" s="1214"/>
      <c r="BN131" s="1214"/>
      <c r="BO131" s="1214"/>
      <c r="BP131" s="1214"/>
      <c r="BQ131" s="1214"/>
      <c r="BR131" s="1214"/>
      <c r="BS131" s="1214"/>
      <c r="BT131" s="1214"/>
      <c r="BU131" s="1214"/>
      <c r="BV131" s="1214"/>
      <c r="BW131" s="1214"/>
      <c r="BX131" s="1214"/>
      <c r="BY131" s="1214"/>
      <c r="BZ131" s="1214"/>
      <c r="CA131" s="1214"/>
      <c r="CB131" s="1214"/>
      <c r="CC131" s="1214"/>
      <c r="CD131" s="1214"/>
      <c r="CE131" s="1214"/>
      <c r="CF131" s="1214"/>
      <c r="CG131" s="1214"/>
      <c r="CH131" s="1214"/>
      <c r="CI131" s="1214"/>
      <c r="CJ131" s="1214"/>
      <c r="CK131" s="1214"/>
      <c r="CL131" s="1214"/>
      <c r="CM131" s="1214"/>
      <c r="CN131" s="1214"/>
      <c r="CO131" s="1214"/>
      <c r="CP131" s="1214"/>
      <c r="CQ131" s="1214"/>
      <c r="CR131" s="1214"/>
      <c r="CS131" s="1214"/>
      <c r="CT131" s="1214"/>
      <c r="CU131" s="1214"/>
      <c r="CV131" s="1214"/>
      <c r="CW131" s="1214"/>
      <c r="CX131" s="1214"/>
      <c r="CY131" s="1214"/>
      <c r="CZ131" s="1214"/>
      <c r="DA131" s="1214"/>
      <c r="DB131" s="1214"/>
      <c r="DC131" s="1214"/>
      <c r="DD131" s="1214"/>
      <c r="DE131" s="1214"/>
      <c r="DF131" s="1214"/>
      <c r="DG131" s="1214"/>
      <c r="DH131" s="1214"/>
      <c r="DI131" s="1214"/>
      <c r="DJ131" s="1214"/>
      <c r="DK131" s="1214"/>
      <c r="DL131" s="1214"/>
      <c r="DM131" s="1214"/>
      <c r="DN131" s="1214"/>
      <c r="DO131" s="1214"/>
      <c r="DP131" s="1214"/>
      <c r="DQ131" s="1214"/>
      <c r="DR131" s="1214"/>
      <c r="DS131" s="1214"/>
      <c r="DT131" s="1214"/>
      <c r="DU131" s="1214"/>
      <c r="DV131" s="1214"/>
      <c r="DW131" s="1214"/>
      <c r="DX131" s="1214"/>
      <c r="DY131" s="1214"/>
      <c r="DZ131" s="1214"/>
      <c r="EA131" s="1214"/>
      <c r="EB131" s="1214"/>
      <c r="EC131" s="1214"/>
      <c r="ED131" s="1214"/>
      <c r="EE131" s="1214"/>
      <c r="EF131" s="1214"/>
      <c r="EG131" s="1214"/>
      <c r="EH131" s="1214"/>
      <c r="EI131" s="1214"/>
      <c r="EJ131" s="1214"/>
      <c r="EK131" s="1214"/>
      <c r="EL131" s="1214"/>
      <c r="EM131" s="1214"/>
      <c r="EN131" s="1214"/>
      <c r="EO131" s="1214"/>
      <c r="EP131" s="1214"/>
      <c r="EQ131" s="1214"/>
      <c r="ER131" s="1214"/>
      <c r="ES131" s="1214"/>
      <c r="ET131" s="1214"/>
      <c r="EU131" s="1214"/>
      <c r="EV131" s="1214"/>
      <c r="EW131" s="1214"/>
      <c r="EX131" s="1214"/>
      <c r="EY131" s="1214"/>
      <c r="EZ131" s="1214"/>
      <c r="FA131" s="1214"/>
      <c r="FB131" s="1214"/>
      <c r="FC131" s="1214"/>
      <c r="FD131" s="1214"/>
      <c r="FE131" s="1214"/>
      <c r="FF131" s="1214"/>
      <c r="FG131" s="1214"/>
      <c r="FH131" s="1214"/>
      <c r="FI131" s="1214"/>
      <c r="FJ131" s="1214"/>
      <c r="FK131" s="1214"/>
      <c r="FL131" s="1214"/>
      <c r="FM131" s="1214"/>
      <c r="FN131" s="1214"/>
      <c r="FO131" s="1214"/>
      <c r="FP131" s="1213"/>
      <c r="FQ131" s="1213"/>
      <c r="FR131" s="1213"/>
      <c r="FS131" s="1213"/>
      <c r="FT131" s="1213"/>
      <c r="FU131" s="1213"/>
      <c r="FV131" s="1213"/>
      <c r="FW131" s="1213"/>
      <c r="FX131" s="1213"/>
      <c r="FY131" s="1213"/>
    </row>
    <row r="132" spans="1:181" s="1211" customFormat="1">
      <c r="A132" s="1212"/>
      <c r="B132" s="1212"/>
      <c r="D132" s="1232" t="s">
        <v>346</v>
      </c>
      <c r="F132" s="1248">
        <f>F121-F130</f>
        <v>0</v>
      </c>
      <c r="J132" s="172"/>
      <c r="L132" s="3"/>
      <c r="M132" s="3"/>
      <c r="N132" s="1214"/>
      <c r="O132" s="1214"/>
      <c r="P132" s="1214"/>
      <c r="Q132" s="1214"/>
      <c r="R132" s="1214"/>
      <c r="S132" s="1214"/>
      <c r="T132" s="1214"/>
      <c r="U132" s="1214"/>
      <c r="V132" s="1214"/>
      <c r="W132" s="1214"/>
      <c r="X132" s="1214"/>
      <c r="Y132" s="1214"/>
      <c r="Z132" s="1214"/>
      <c r="AA132" s="1214"/>
      <c r="AB132" s="1214"/>
      <c r="AC132" s="1214"/>
      <c r="AD132" s="1214"/>
      <c r="AE132" s="1214"/>
      <c r="AF132" s="1214"/>
      <c r="AG132" s="1214"/>
      <c r="AH132" s="1214"/>
      <c r="AI132" s="1214"/>
      <c r="AJ132" s="1214"/>
      <c r="AK132" s="1214"/>
      <c r="AL132" s="1214"/>
      <c r="AM132" s="1214"/>
      <c r="AN132" s="1214"/>
      <c r="AO132" s="1214"/>
      <c r="AP132" s="1214"/>
      <c r="AQ132" s="1214"/>
      <c r="AR132" s="1214"/>
      <c r="AS132" s="1214"/>
      <c r="AT132" s="1214"/>
      <c r="AU132" s="1214"/>
      <c r="AV132" s="1214"/>
      <c r="AW132" s="1214"/>
      <c r="AX132" s="1214"/>
      <c r="AY132" s="1214"/>
      <c r="AZ132" s="1214"/>
      <c r="BA132" s="1214"/>
      <c r="BB132" s="1214"/>
      <c r="BC132" s="1214"/>
      <c r="BD132" s="1214"/>
      <c r="BE132" s="1214"/>
      <c r="BF132" s="1214"/>
      <c r="BG132" s="1214"/>
      <c r="BH132" s="1214"/>
      <c r="BI132" s="1214"/>
      <c r="BJ132" s="1214"/>
      <c r="BK132" s="1214"/>
      <c r="BL132" s="1214"/>
      <c r="BM132" s="1214"/>
      <c r="BN132" s="1214"/>
      <c r="BO132" s="1214"/>
      <c r="BP132" s="1214"/>
      <c r="BQ132" s="1214"/>
      <c r="BR132" s="1214"/>
      <c r="BS132" s="1214"/>
      <c r="BT132" s="1214"/>
      <c r="BU132" s="1214"/>
      <c r="BV132" s="1214"/>
      <c r="BW132" s="1214"/>
      <c r="BX132" s="1214"/>
      <c r="BY132" s="1214"/>
      <c r="BZ132" s="1214"/>
      <c r="CA132" s="1214"/>
      <c r="CB132" s="1214"/>
      <c r="CC132" s="1214"/>
      <c r="CD132" s="1214"/>
      <c r="CE132" s="1214"/>
      <c r="CF132" s="1214"/>
      <c r="CG132" s="1214"/>
      <c r="CH132" s="1214"/>
      <c r="CI132" s="1214"/>
      <c r="CJ132" s="1214"/>
      <c r="CK132" s="1214"/>
      <c r="CL132" s="1214"/>
      <c r="CM132" s="1214"/>
      <c r="CN132" s="1214"/>
      <c r="CO132" s="1214"/>
      <c r="CP132" s="1214"/>
      <c r="CQ132" s="1214"/>
      <c r="CR132" s="1214"/>
      <c r="CS132" s="1214"/>
      <c r="CT132" s="1214"/>
      <c r="CU132" s="1214"/>
      <c r="CV132" s="1214"/>
      <c r="CW132" s="1214"/>
      <c r="CX132" s="1214"/>
      <c r="CY132" s="1214"/>
      <c r="CZ132" s="1214"/>
      <c r="DA132" s="1214"/>
      <c r="DB132" s="1214"/>
      <c r="DC132" s="1214"/>
      <c r="DD132" s="1214"/>
      <c r="DE132" s="1214"/>
      <c r="DF132" s="1214"/>
      <c r="DG132" s="1214"/>
      <c r="DH132" s="1214"/>
      <c r="DI132" s="1214"/>
      <c r="DJ132" s="1214"/>
      <c r="DK132" s="1214"/>
      <c r="DL132" s="1214"/>
      <c r="DM132" s="1214"/>
      <c r="DN132" s="1214"/>
      <c r="DO132" s="1214"/>
      <c r="DP132" s="1214"/>
      <c r="DQ132" s="1214"/>
      <c r="DR132" s="1214"/>
      <c r="DS132" s="1214"/>
      <c r="DT132" s="1214"/>
      <c r="DU132" s="1214"/>
      <c r="DV132" s="1214"/>
      <c r="DW132" s="1214"/>
      <c r="DX132" s="1214"/>
      <c r="DY132" s="1214"/>
      <c r="DZ132" s="1214"/>
      <c r="EA132" s="1214"/>
      <c r="EB132" s="1214"/>
      <c r="EC132" s="1214"/>
      <c r="ED132" s="1214"/>
      <c r="EE132" s="1214"/>
      <c r="EF132" s="1214"/>
      <c r="EG132" s="1214"/>
      <c r="EH132" s="1214"/>
      <c r="EI132" s="1214"/>
      <c r="EJ132" s="1214"/>
      <c r="EK132" s="1214"/>
      <c r="EL132" s="1214"/>
      <c r="EM132" s="1214"/>
      <c r="EN132" s="1214"/>
      <c r="EO132" s="1214"/>
      <c r="EP132" s="1214"/>
      <c r="EQ132" s="1214"/>
      <c r="ER132" s="1214"/>
      <c r="ES132" s="1214"/>
      <c r="ET132" s="1214"/>
      <c r="EU132" s="1214"/>
      <c r="EV132" s="1214"/>
      <c r="EW132" s="1214"/>
      <c r="EX132" s="1214"/>
      <c r="EY132" s="1214"/>
      <c r="EZ132" s="1214"/>
      <c r="FA132" s="1214"/>
      <c r="FB132" s="1214"/>
      <c r="FC132" s="1214"/>
      <c r="FD132" s="1214"/>
      <c r="FE132" s="1214"/>
      <c r="FF132" s="1214"/>
      <c r="FG132" s="1214"/>
      <c r="FH132" s="1214"/>
      <c r="FI132" s="1214"/>
      <c r="FJ132" s="1214"/>
      <c r="FK132" s="1214"/>
      <c r="FL132" s="1214"/>
      <c r="FM132" s="1214"/>
      <c r="FN132" s="1214"/>
      <c r="FO132" s="1214"/>
      <c r="FP132" s="1213"/>
      <c r="FQ132" s="1213"/>
      <c r="FR132" s="1213"/>
      <c r="FS132" s="1213"/>
      <c r="FT132" s="1213"/>
      <c r="FU132" s="1213"/>
      <c r="FV132" s="1213"/>
      <c r="FW132" s="1213"/>
      <c r="FX132" s="1213"/>
      <c r="FY132" s="1213"/>
    </row>
    <row r="133" spans="1:181" s="1211" customFormat="1">
      <c r="A133" s="1212"/>
      <c r="B133" s="1212"/>
      <c r="F133" s="1257" t="s">
        <v>1774</v>
      </c>
      <c r="G133" s="1257" t="s">
        <v>1773</v>
      </c>
      <c r="J133" s="172"/>
      <c r="L133" s="3"/>
      <c r="M133" s="3"/>
      <c r="N133" s="1214"/>
      <c r="O133" s="1214"/>
      <c r="P133" s="1214"/>
      <c r="Q133" s="1214"/>
      <c r="R133" s="1214"/>
      <c r="S133" s="1214"/>
      <c r="T133" s="1214"/>
      <c r="U133" s="1214"/>
      <c r="V133" s="1214"/>
      <c r="W133" s="1214"/>
      <c r="X133" s="1214"/>
      <c r="Y133" s="1214"/>
      <c r="Z133" s="1214"/>
      <c r="AA133" s="1214"/>
      <c r="AB133" s="1214"/>
      <c r="AC133" s="1214"/>
      <c r="AD133" s="1214"/>
      <c r="AE133" s="1214"/>
      <c r="AF133" s="1214"/>
      <c r="AG133" s="1214"/>
      <c r="AH133" s="1214"/>
      <c r="AI133" s="1214"/>
      <c r="AJ133" s="1214"/>
      <c r="AK133" s="1214"/>
      <c r="AL133" s="1214"/>
      <c r="AM133" s="1214"/>
      <c r="AN133" s="1214"/>
      <c r="AO133" s="1214"/>
      <c r="AP133" s="1214"/>
      <c r="AQ133" s="1214"/>
      <c r="AR133" s="1214"/>
      <c r="AS133" s="1214"/>
      <c r="AT133" s="1214"/>
      <c r="AU133" s="1214"/>
      <c r="AV133" s="1214"/>
      <c r="AW133" s="1214"/>
      <c r="AX133" s="1214"/>
      <c r="AY133" s="1214"/>
      <c r="AZ133" s="1214"/>
      <c r="BA133" s="1214"/>
      <c r="BB133" s="1214"/>
      <c r="BC133" s="1214"/>
      <c r="BD133" s="1214"/>
      <c r="BE133" s="1214"/>
      <c r="BF133" s="1214"/>
      <c r="BG133" s="1214"/>
      <c r="BH133" s="1214"/>
      <c r="BI133" s="1214"/>
      <c r="BJ133" s="1214"/>
      <c r="BK133" s="1214"/>
      <c r="BL133" s="1214"/>
      <c r="BM133" s="1214"/>
      <c r="BN133" s="1214"/>
      <c r="BO133" s="1214"/>
      <c r="BP133" s="1214"/>
      <c r="BQ133" s="1214"/>
      <c r="BR133" s="1214"/>
      <c r="BS133" s="1214"/>
      <c r="BT133" s="1214"/>
      <c r="BU133" s="1214"/>
      <c r="BV133" s="1214"/>
      <c r="BW133" s="1214"/>
      <c r="BX133" s="1214"/>
      <c r="BY133" s="1214"/>
      <c r="BZ133" s="1214"/>
      <c r="CA133" s="1214"/>
      <c r="CB133" s="1214"/>
      <c r="CC133" s="1214"/>
      <c r="CD133" s="1214"/>
      <c r="CE133" s="1214"/>
      <c r="CF133" s="1214"/>
      <c r="CG133" s="1214"/>
      <c r="CH133" s="1214"/>
      <c r="CI133" s="1214"/>
      <c r="CJ133" s="1214"/>
      <c r="CK133" s="1214"/>
      <c r="CL133" s="1214"/>
      <c r="CM133" s="1214"/>
      <c r="CN133" s="1214"/>
      <c r="CO133" s="1214"/>
      <c r="CP133" s="1214"/>
      <c r="CQ133" s="1214"/>
      <c r="CR133" s="1214"/>
      <c r="CS133" s="1214"/>
      <c r="CT133" s="1214"/>
      <c r="CU133" s="1214"/>
      <c r="CV133" s="1214"/>
      <c r="CW133" s="1214"/>
      <c r="CX133" s="1214"/>
      <c r="CY133" s="1214"/>
      <c r="CZ133" s="1214"/>
      <c r="DA133" s="1214"/>
      <c r="DB133" s="1214"/>
      <c r="DC133" s="1214"/>
      <c r="DD133" s="1214"/>
      <c r="DE133" s="1214"/>
      <c r="DF133" s="1214"/>
      <c r="DG133" s="1214"/>
      <c r="DH133" s="1214"/>
      <c r="DI133" s="1214"/>
      <c r="DJ133" s="1214"/>
      <c r="DK133" s="1214"/>
      <c r="DL133" s="1214"/>
      <c r="DM133" s="1214"/>
      <c r="DN133" s="1214"/>
      <c r="DO133" s="1214"/>
      <c r="DP133" s="1214"/>
      <c r="DQ133" s="1214"/>
      <c r="DR133" s="1214"/>
      <c r="DS133" s="1214"/>
      <c r="DT133" s="1214"/>
      <c r="DU133" s="1214"/>
      <c r="DV133" s="1214"/>
      <c r="DW133" s="1214"/>
      <c r="DX133" s="1214"/>
      <c r="DY133" s="1214"/>
      <c r="DZ133" s="1214"/>
      <c r="EA133" s="1214"/>
      <c r="EB133" s="1214"/>
      <c r="EC133" s="1214"/>
      <c r="ED133" s="1214"/>
      <c r="EE133" s="1214"/>
      <c r="EF133" s="1214"/>
      <c r="EG133" s="1214"/>
      <c r="EH133" s="1214"/>
      <c r="EI133" s="1214"/>
      <c r="EJ133" s="1214"/>
      <c r="EK133" s="1214"/>
      <c r="EL133" s="1214"/>
      <c r="EM133" s="1214"/>
      <c r="EN133" s="1214"/>
      <c r="EO133" s="1214"/>
      <c r="EP133" s="1214"/>
      <c r="EQ133" s="1214"/>
      <c r="ER133" s="1214"/>
      <c r="ES133" s="1214"/>
      <c r="ET133" s="1214"/>
      <c r="EU133" s="1214"/>
      <c r="EV133" s="1214"/>
      <c r="EW133" s="1214"/>
      <c r="EX133" s="1214"/>
      <c r="EY133" s="1214"/>
      <c r="EZ133" s="1214"/>
      <c r="FA133" s="1214"/>
      <c r="FB133" s="1214"/>
      <c r="FC133" s="1214"/>
      <c r="FD133" s="1214"/>
      <c r="FE133" s="1214"/>
      <c r="FF133" s="1214"/>
      <c r="FG133" s="1214"/>
      <c r="FH133" s="1214"/>
      <c r="FI133" s="1214"/>
      <c r="FJ133" s="1214"/>
      <c r="FK133" s="1214"/>
      <c r="FL133" s="1214"/>
      <c r="FM133" s="1214"/>
      <c r="FN133" s="1214"/>
      <c r="FO133" s="1214"/>
      <c r="FP133" s="1213"/>
      <c r="FQ133" s="1213"/>
      <c r="FR133" s="1213"/>
      <c r="FS133" s="1213"/>
      <c r="FT133" s="1213"/>
      <c r="FU133" s="1213"/>
      <c r="FV133" s="1213"/>
      <c r="FW133" s="1213"/>
      <c r="FX133" s="1213"/>
      <c r="FY133" s="1213"/>
    </row>
    <row r="134" spans="1:181" s="1211" customFormat="1">
      <c r="A134" s="1212"/>
      <c r="B134" s="1212"/>
      <c r="D134" s="1232" t="s">
        <v>1094</v>
      </c>
      <c r="F134" s="1256"/>
      <c r="G134" s="1256"/>
      <c r="J134" s="172"/>
      <c r="L134" s="3"/>
      <c r="M134" s="3"/>
      <c r="N134" s="1214"/>
      <c r="O134" s="1214"/>
      <c r="P134" s="1214"/>
      <c r="Q134" s="1214"/>
      <c r="R134" s="1214"/>
      <c r="S134" s="1214"/>
      <c r="T134" s="1214"/>
      <c r="U134" s="1214"/>
      <c r="V134" s="1214"/>
      <c r="W134" s="1214"/>
      <c r="X134" s="1214"/>
      <c r="Y134" s="1214"/>
      <c r="Z134" s="1214"/>
      <c r="AA134" s="1214"/>
      <c r="AB134" s="1214"/>
      <c r="AC134" s="1214"/>
      <c r="AD134" s="1214"/>
      <c r="AE134" s="1214"/>
      <c r="AF134" s="1214"/>
      <c r="AG134" s="1214"/>
      <c r="AH134" s="1214"/>
      <c r="AI134" s="1214"/>
      <c r="AJ134" s="1214"/>
      <c r="AK134" s="1214"/>
      <c r="AL134" s="1214"/>
      <c r="AM134" s="1214"/>
      <c r="AN134" s="1214"/>
      <c r="AO134" s="1214"/>
      <c r="AP134" s="1214"/>
      <c r="AQ134" s="1214"/>
      <c r="AR134" s="1214"/>
      <c r="AS134" s="1214"/>
      <c r="AT134" s="1214"/>
      <c r="AU134" s="1214"/>
      <c r="AV134" s="1214"/>
      <c r="AW134" s="1214"/>
      <c r="AX134" s="1214"/>
      <c r="AY134" s="1214"/>
      <c r="AZ134" s="1214"/>
      <c r="BA134" s="1214"/>
      <c r="BB134" s="1214"/>
      <c r="BC134" s="1214"/>
      <c r="BD134" s="1214"/>
      <c r="BE134" s="1214"/>
      <c r="BF134" s="1214"/>
      <c r="BG134" s="1214"/>
      <c r="BH134" s="1214"/>
      <c r="BI134" s="1214"/>
      <c r="BJ134" s="1214"/>
      <c r="BK134" s="1214"/>
      <c r="BL134" s="1214"/>
      <c r="BM134" s="1214"/>
      <c r="BN134" s="1214"/>
      <c r="BO134" s="1214"/>
      <c r="BP134" s="1214"/>
      <c r="BQ134" s="1214"/>
      <c r="BR134" s="1214"/>
      <c r="BS134" s="1214"/>
      <c r="BT134" s="1214"/>
      <c r="BU134" s="1214"/>
      <c r="BV134" s="1214"/>
      <c r="BW134" s="1214"/>
      <c r="BX134" s="1214"/>
      <c r="BY134" s="1214"/>
      <c r="BZ134" s="1214"/>
      <c r="CA134" s="1214"/>
      <c r="CB134" s="1214"/>
      <c r="CC134" s="1214"/>
      <c r="CD134" s="1214"/>
      <c r="CE134" s="1214"/>
      <c r="CF134" s="1214"/>
      <c r="CG134" s="1214"/>
      <c r="CH134" s="1214"/>
      <c r="CI134" s="1214"/>
      <c r="CJ134" s="1214"/>
      <c r="CK134" s="1214"/>
      <c r="CL134" s="1214"/>
      <c r="CM134" s="1214"/>
      <c r="CN134" s="1214"/>
      <c r="CO134" s="1214"/>
      <c r="CP134" s="1214"/>
      <c r="CQ134" s="1214"/>
      <c r="CR134" s="1214"/>
      <c r="CS134" s="1214"/>
      <c r="CT134" s="1214"/>
      <c r="CU134" s="1214"/>
      <c r="CV134" s="1214"/>
      <c r="CW134" s="1214"/>
      <c r="CX134" s="1214"/>
      <c r="CY134" s="1214"/>
      <c r="CZ134" s="1214"/>
      <c r="DA134" s="1214"/>
      <c r="DB134" s="1214"/>
      <c r="DC134" s="1214"/>
      <c r="DD134" s="1214"/>
      <c r="DE134" s="1214"/>
      <c r="DF134" s="1214"/>
      <c r="DG134" s="1214"/>
      <c r="DH134" s="1214"/>
      <c r="DI134" s="1214"/>
      <c r="DJ134" s="1214"/>
      <c r="DK134" s="1214"/>
      <c r="DL134" s="1214"/>
      <c r="DM134" s="1214"/>
      <c r="DN134" s="1214"/>
      <c r="DO134" s="1214"/>
      <c r="DP134" s="1214"/>
      <c r="DQ134" s="1214"/>
      <c r="DR134" s="1214"/>
      <c r="DS134" s="1214"/>
      <c r="DT134" s="1214"/>
      <c r="DU134" s="1214"/>
      <c r="DV134" s="1214"/>
      <c r="DW134" s="1214"/>
      <c r="DX134" s="1214"/>
      <c r="DY134" s="1214"/>
      <c r="DZ134" s="1214"/>
      <c r="EA134" s="1214"/>
      <c r="EB134" s="1214"/>
      <c r="EC134" s="1214"/>
      <c r="ED134" s="1214"/>
      <c r="EE134" s="1214"/>
      <c r="EF134" s="1214"/>
      <c r="EG134" s="1214"/>
      <c r="EH134" s="1214"/>
      <c r="EI134" s="1214"/>
      <c r="EJ134" s="1214"/>
      <c r="EK134" s="1214"/>
      <c r="EL134" s="1214"/>
      <c r="EM134" s="1214"/>
      <c r="EN134" s="1214"/>
      <c r="EO134" s="1214"/>
      <c r="EP134" s="1214"/>
      <c r="EQ134" s="1214"/>
      <c r="ER134" s="1214"/>
      <c r="ES134" s="1214"/>
      <c r="ET134" s="1214"/>
      <c r="EU134" s="1214"/>
      <c r="EV134" s="1214"/>
      <c r="EW134" s="1214"/>
      <c r="EX134" s="1214"/>
      <c r="EY134" s="1214"/>
      <c r="EZ134" s="1214"/>
      <c r="FA134" s="1214"/>
      <c r="FB134" s="1214"/>
      <c r="FC134" s="1214"/>
      <c r="FD134" s="1214"/>
      <c r="FE134" s="1214"/>
      <c r="FF134" s="1214"/>
      <c r="FG134" s="1214"/>
      <c r="FH134" s="1214"/>
      <c r="FI134" s="1214"/>
      <c r="FJ134" s="1214"/>
      <c r="FK134" s="1214"/>
      <c r="FL134" s="1214"/>
      <c r="FM134" s="1214"/>
      <c r="FN134" s="1214"/>
      <c r="FO134" s="1214"/>
      <c r="FP134" s="1213"/>
      <c r="FQ134" s="1213"/>
      <c r="FR134" s="1213"/>
      <c r="FS134" s="1213"/>
      <c r="FT134" s="1213"/>
      <c r="FU134" s="1213"/>
      <c r="FV134" s="1213"/>
      <c r="FW134" s="1213"/>
      <c r="FX134" s="1213"/>
      <c r="FY134" s="1213"/>
    </row>
    <row r="135" spans="1:181" s="1211" customFormat="1">
      <c r="A135" s="1212"/>
      <c r="B135" s="1212"/>
      <c r="J135" s="107"/>
      <c r="L135" s="3"/>
      <c r="M135" s="3"/>
      <c r="N135" s="1214"/>
      <c r="O135" s="1214"/>
      <c r="P135" s="1214"/>
      <c r="Q135" s="1214"/>
      <c r="R135" s="1214"/>
      <c r="S135" s="1214"/>
      <c r="T135" s="1214"/>
      <c r="U135" s="1214"/>
      <c r="V135" s="1214"/>
      <c r="W135" s="1214"/>
      <c r="X135" s="1214"/>
      <c r="Y135" s="1214"/>
      <c r="Z135" s="1214"/>
      <c r="AA135" s="1214"/>
      <c r="AB135" s="1214"/>
      <c r="AC135" s="1214"/>
      <c r="AD135" s="1214"/>
      <c r="AE135" s="1214"/>
      <c r="AF135" s="1214"/>
      <c r="AG135" s="1214"/>
      <c r="AH135" s="1214"/>
      <c r="AI135" s="1214"/>
      <c r="AJ135" s="1214"/>
      <c r="AK135" s="1214"/>
      <c r="AL135" s="1214"/>
      <c r="AM135" s="1214"/>
      <c r="AN135" s="1214"/>
      <c r="AO135" s="1214"/>
      <c r="AP135" s="1214"/>
      <c r="AQ135" s="1214"/>
      <c r="AR135" s="1214"/>
      <c r="AS135" s="1214"/>
      <c r="AT135" s="1214"/>
      <c r="AU135" s="1214"/>
      <c r="AV135" s="1214"/>
      <c r="AW135" s="1214"/>
      <c r="AX135" s="1214"/>
      <c r="AY135" s="1214"/>
      <c r="AZ135" s="1214"/>
      <c r="BA135" s="1214"/>
      <c r="BB135" s="1214"/>
      <c r="BC135" s="1214"/>
      <c r="BD135" s="1214"/>
      <c r="BE135" s="1214"/>
      <c r="BF135" s="1214"/>
      <c r="BG135" s="1214"/>
      <c r="BH135" s="1214"/>
      <c r="BI135" s="1214"/>
      <c r="BJ135" s="1214"/>
      <c r="BK135" s="1214"/>
      <c r="BL135" s="1214"/>
      <c r="BM135" s="1214"/>
      <c r="BN135" s="1214"/>
      <c r="BO135" s="1214"/>
      <c r="BP135" s="1214"/>
      <c r="BQ135" s="1214"/>
      <c r="BR135" s="1214"/>
      <c r="BS135" s="1214"/>
      <c r="BT135" s="1214"/>
      <c r="BU135" s="1214"/>
      <c r="BV135" s="1214"/>
      <c r="BW135" s="1214"/>
      <c r="BX135" s="1214"/>
      <c r="BY135" s="1214"/>
      <c r="BZ135" s="1214"/>
      <c r="CA135" s="1214"/>
      <c r="CB135" s="1214"/>
      <c r="CC135" s="1214"/>
      <c r="CD135" s="1214"/>
      <c r="CE135" s="1214"/>
      <c r="CF135" s="1214"/>
      <c r="CG135" s="1214"/>
      <c r="CH135" s="1214"/>
      <c r="CI135" s="1214"/>
      <c r="CJ135" s="1214"/>
      <c r="CK135" s="1214"/>
      <c r="CL135" s="1214"/>
      <c r="CM135" s="1214"/>
      <c r="CN135" s="1214"/>
      <c r="CO135" s="1214"/>
      <c r="CP135" s="1214"/>
      <c r="CQ135" s="1214"/>
      <c r="CR135" s="1214"/>
      <c r="CS135" s="1214"/>
      <c r="CT135" s="1214"/>
      <c r="CU135" s="1214"/>
      <c r="CV135" s="1214"/>
      <c r="CW135" s="1214"/>
      <c r="CX135" s="1214"/>
      <c r="CY135" s="1214"/>
      <c r="CZ135" s="1214"/>
      <c r="DA135" s="1214"/>
      <c r="DB135" s="1214"/>
      <c r="DC135" s="1214"/>
      <c r="DD135" s="1214"/>
      <c r="DE135" s="1214"/>
      <c r="DF135" s="1214"/>
      <c r="DG135" s="1214"/>
      <c r="DH135" s="1214"/>
      <c r="DI135" s="1214"/>
      <c r="DJ135" s="1214"/>
      <c r="DK135" s="1214"/>
      <c r="DL135" s="1214"/>
      <c r="DM135" s="1214"/>
      <c r="DN135" s="1214"/>
      <c r="DO135" s="1214"/>
      <c r="DP135" s="1214"/>
      <c r="DQ135" s="1214"/>
      <c r="DR135" s="1214"/>
      <c r="DS135" s="1214"/>
      <c r="DT135" s="1214"/>
      <c r="DU135" s="1214"/>
      <c r="DV135" s="1214"/>
      <c r="DW135" s="1214"/>
      <c r="DX135" s="1214"/>
      <c r="DY135" s="1214"/>
      <c r="DZ135" s="1214"/>
      <c r="EA135" s="1214"/>
      <c r="EB135" s="1214"/>
      <c r="EC135" s="1214"/>
      <c r="ED135" s="1214"/>
      <c r="EE135" s="1214"/>
      <c r="EF135" s="1214"/>
      <c r="EG135" s="1214"/>
      <c r="EH135" s="1214"/>
      <c r="EI135" s="1214"/>
      <c r="EJ135" s="1214"/>
      <c r="EK135" s="1214"/>
      <c r="EL135" s="1214"/>
      <c r="EM135" s="1214"/>
      <c r="EN135" s="1214"/>
      <c r="EO135" s="1214"/>
      <c r="EP135" s="1214"/>
      <c r="EQ135" s="1214"/>
      <c r="ER135" s="1214"/>
      <c r="ES135" s="1214"/>
      <c r="ET135" s="1214"/>
      <c r="EU135" s="1214"/>
      <c r="EV135" s="1214"/>
      <c r="EW135" s="1214"/>
      <c r="EX135" s="1214"/>
      <c r="EY135" s="1214"/>
      <c r="EZ135" s="1214"/>
      <c r="FA135" s="1214"/>
      <c r="FB135" s="1214"/>
      <c r="FC135" s="1214"/>
      <c r="FD135" s="1214"/>
      <c r="FE135" s="1214"/>
      <c r="FF135" s="1214"/>
      <c r="FG135" s="1214"/>
      <c r="FH135" s="1214"/>
      <c r="FI135" s="1214"/>
      <c r="FJ135" s="1214"/>
      <c r="FK135" s="1214"/>
      <c r="FL135" s="1214"/>
      <c r="FM135" s="1214"/>
      <c r="FN135" s="1214"/>
      <c r="FO135" s="1214"/>
      <c r="FP135" s="1213"/>
      <c r="FQ135" s="1213"/>
      <c r="FR135" s="1213"/>
      <c r="FS135" s="1213"/>
      <c r="FT135" s="1213"/>
      <c r="FU135" s="1213"/>
      <c r="FV135" s="1213"/>
      <c r="FW135" s="1213"/>
      <c r="FX135" s="1213"/>
      <c r="FY135" s="1213"/>
    </row>
    <row r="136" spans="1:181" s="1211" customFormat="1">
      <c r="A136" s="1212"/>
      <c r="B136" s="1211" t="s">
        <v>34</v>
      </c>
      <c r="C136" s="1233" t="s">
        <v>3</v>
      </c>
      <c r="D136" s="1211" t="s">
        <v>1772</v>
      </c>
      <c r="F136" s="1239"/>
      <c r="H136" s="172"/>
      <c r="L136" s="3"/>
      <c r="M136" s="3"/>
      <c r="N136" s="1214"/>
      <c r="O136" s="1214"/>
      <c r="P136" s="1214"/>
      <c r="Q136" s="1214"/>
      <c r="R136" s="1214"/>
      <c r="S136" s="1214"/>
      <c r="T136" s="1214"/>
      <c r="U136" s="1214"/>
      <c r="V136" s="1214"/>
      <c r="W136" s="1214"/>
      <c r="X136" s="1214"/>
      <c r="Y136" s="1214"/>
      <c r="Z136" s="1214"/>
      <c r="AA136" s="1214"/>
      <c r="AB136" s="1214"/>
      <c r="AC136" s="1214"/>
      <c r="AD136" s="1214"/>
      <c r="AE136" s="1214"/>
      <c r="AF136" s="1214"/>
      <c r="AG136" s="1214"/>
      <c r="AH136" s="1214"/>
      <c r="AI136" s="1214"/>
      <c r="AJ136" s="1214"/>
      <c r="AK136" s="1214"/>
      <c r="AL136" s="1214"/>
      <c r="AM136" s="1214"/>
      <c r="AN136" s="1214"/>
      <c r="AO136" s="1214"/>
      <c r="AP136" s="1214"/>
      <c r="AQ136" s="1214"/>
      <c r="AR136" s="1214"/>
      <c r="AS136" s="1214"/>
      <c r="AT136" s="1214"/>
      <c r="AU136" s="1214"/>
      <c r="AV136" s="1214"/>
      <c r="AW136" s="1214"/>
      <c r="AX136" s="1214"/>
      <c r="AY136" s="1214"/>
      <c r="AZ136" s="1214"/>
      <c r="BA136" s="1214"/>
      <c r="BB136" s="1214"/>
      <c r="BC136" s="1214"/>
      <c r="BD136" s="1214"/>
      <c r="BE136" s="1214"/>
      <c r="BF136" s="1214"/>
      <c r="BG136" s="1214"/>
      <c r="BH136" s="1214"/>
      <c r="BI136" s="1214"/>
      <c r="BJ136" s="1214"/>
      <c r="BK136" s="1214"/>
      <c r="BL136" s="1214"/>
      <c r="BM136" s="1214"/>
      <c r="BN136" s="1214"/>
      <c r="BO136" s="1214"/>
      <c r="BP136" s="1214"/>
      <c r="BQ136" s="1214"/>
      <c r="BR136" s="1214"/>
      <c r="BS136" s="1214"/>
      <c r="BT136" s="1214"/>
      <c r="BU136" s="1214"/>
      <c r="BV136" s="1214"/>
      <c r="BW136" s="1214"/>
      <c r="BX136" s="1214"/>
      <c r="BY136" s="1214"/>
      <c r="BZ136" s="1214"/>
      <c r="CA136" s="1214"/>
      <c r="CB136" s="1214"/>
      <c r="CC136" s="1214"/>
      <c r="CD136" s="1214"/>
      <c r="CE136" s="1214"/>
      <c r="CF136" s="1214"/>
      <c r="CG136" s="1214"/>
      <c r="CH136" s="1214"/>
      <c r="CI136" s="1214"/>
      <c r="CJ136" s="1214"/>
      <c r="CK136" s="1214"/>
      <c r="CL136" s="1214"/>
      <c r="CM136" s="1214"/>
      <c r="CN136" s="1214"/>
      <c r="CO136" s="1214"/>
      <c r="CP136" s="1214"/>
      <c r="CQ136" s="1214"/>
      <c r="CR136" s="1214"/>
      <c r="CS136" s="1214"/>
      <c r="CT136" s="1214"/>
      <c r="CU136" s="1214"/>
      <c r="CV136" s="1214"/>
      <c r="CW136" s="1214"/>
      <c r="CX136" s="1214"/>
      <c r="CY136" s="1214"/>
      <c r="CZ136" s="1214"/>
      <c r="DA136" s="1214"/>
      <c r="DB136" s="1214"/>
      <c r="DC136" s="1214"/>
      <c r="DD136" s="1214"/>
      <c r="DE136" s="1214"/>
      <c r="DF136" s="1214"/>
      <c r="DG136" s="1214"/>
      <c r="DH136" s="1214"/>
      <c r="DI136" s="1214"/>
      <c r="DJ136" s="1214"/>
      <c r="DK136" s="1214"/>
      <c r="DL136" s="1214"/>
      <c r="DM136" s="1214"/>
      <c r="DN136" s="1214"/>
      <c r="DO136" s="1214"/>
      <c r="DP136" s="1214"/>
      <c r="DQ136" s="1214"/>
      <c r="DR136" s="1214"/>
      <c r="DS136" s="1214"/>
      <c r="DT136" s="1214"/>
      <c r="DU136" s="1214"/>
      <c r="DV136" s="1214"/>
      <c r="DW136" s="1214"/>
      <c r="DX136" s="1214"/>
      <c r="DY136" s="1214"/>
      <c r="DZ136" s="1214"/>
      <c r="EA136" s="1214"/>
      <c r="EB136" s="1214"/>
      <c r="EC136" s="1214"/>
      <c r="ED136" s="1214"/>
      <c r="EE136" s="1214"/>
      <c r="EF136" s="1214"/>
      <c r="EG136" s="1214"/>
      <c r="EH136" s="1214"/>
      <c r="EI136" s="1214"/>
      <c r="EJ136" s="1214"/>
      <c r="EK136" s="1214"/>
      <c r="EL136" s="1214"/>
      <c r="EM136" s="1214"/>
      <c r="EN136" s="1214"/>
      <c r="EO136" s="1214"/>
      <c r="EP136" s="1214"/>
      <c r="EQ136" s="1214"/>
      <c r="ER136" s="1214"/>
      <c r="ES136" s="1214"/>
      <c r="ET136" s="1214"/>
      <c r="EU136" s="1214"/>
      <c r="EV136" s="1214"/>
      <c r="EW136" s="1214"/>
      <c r="EX136" s="1214"/>
      <c r="EY136" s="1214"/>
      <c r="EZ136" s="1214"/>
      <c r="FA136" s="1214"/>
      <c r="FB136" s="1214"/>
      <c r="FC136" s="1214"/>
      <c r="FD136" s="1214"/>
      <c r="FE136" s="1214"/>
      <c r="FF136" s="1214"/>
      <c r="FG136" s="1214"/>
      <c r="FH136" s="1214"/>
      <c r="FI136" s="1214"/>
      <c r="FJ136" s="1214"/>
      <c r="FK136" s="1214"/>
      <c r="FL136" s="1214"/>
      <c r="FM136" s="1214"/>
      <c r="FN136" s="1214"/>
      <c r="FO136" s="1214"/>
      <c r="FP136" s="1213"/>
      <c r="FQ136" s="1213"/>
      <c r="FR136" s="1213"/>
      <c r="FS136" s="1213"/>
      <c r="FT136" s="1213"/>
      <c r="FU136" s="1213"/>
      <c r="FV136" s="1213"/>
      <c r="FW136" s="1213"/>
      <c r="FX136" s="1213"/>
      <c r="FY136" s="1213"/>
    </row>
    <row r="137" spans="1:181" s="1211" customFormat="1">
      <c r="A137" s="1212"/>
      <c r="B137" s="1212"/>
      <c r="C137" s="1234"/>
      <c r="D137" s="1233"/>
      <c r="E137" s="1233"/>
      <c r="G137" s="1239"/>
      <c r="L137" s="3"/>
      <c r="M137" s="3"/>
      <c r="N137" s="1214"/>
      <c r="O137" s="1214"/>
      <c r="P137" s="1214"/>
      <c r="Q137" s="1214"/>
      <c r="R137" s="1214"/>
      <c r="S137" s="1214"/>
      <c r="T137" s="1214"/>
      <c r="U137" s="1214"/>
      <c r="V137" s="1214"/>
      <c r="W137" s="1214"/>
      <c r="X137" s="1214"/>
      <c r="Y137" s="1214"/>
      <c r="Z137" s="1214"/>
      <c r="AA137" s="1214"/>
      <c r="AB137" s="1214"/>
      <c r="AC137" s="1214"/>
      <c r="AD137" s="1214"/>
      <c r="AE137" s="1214"/>
      <c r="AF137" s="1214"/>
      <c r="AG137" s="1214"/>
      <c r="AH137" s="1214"/>
      <c r="AI137" s="1214"/>
      <c r="AJ137" s="1214"/>
      <c r="AK137" s="1214"/>
      <c r="AL137" s="1214"/>
      <c r="AM137" s="1214"/>
      <c r="AN137" s="1214"/>
      <c r="AO137" s="1214"/>
      <c r="AP137" s="1214"/>
      <c r="AQ137" s="1214"/>
      <c r="AR137" s="1214"/>
      <c r="AS137" s="1214"/>
      <c r="AT137" s="1214"/>
      <c r="AU137" s="1214"/>
      <c r="AV137" s="1214"/>
      <c r="AW137" s="1214"/>
      <c r="AX137" s="1214"/>
      <c r="AY137" s="1214"/>
      <c r="AZ137" s="1214"/>
      <c r="BA137" s="1214"/>
      <c r="BB137" s="1214"/>
      <c r="BC137" s="1214"/>
      <c r="BD137" s="1214"/>
      <c r="BE137" s="1214"/>
      <c r="BF137" s="1214"/>
      <c r="BG137" s="1214"/>
      <c r="BH137" s="1214"/>
      <c r="BI137" s="1214"/>
      <c r="BJ137" s="1214"/>
      <c r="BK137" s="1214"/>
      <c r="BL137" s="1214"/>
      <c r="BM137" s="1214"/>
      <c r="BN137" s="1214"/>
      <c r="BO137" s="1214"/>
      <c r="BP137" s="1214"/>
      <c r="BQ137" s="1214"/>
      <c r="BR137" s="1214"/>
      <c r="BS137" s="1214"/>
      <c r="BT137" s="1214"/>
      <c r="BU137" s="1214"/>
      <c r="BV137" s="1214"/>
      <c r="BW137" s="1214"/>
      <c r="BX137" s="1214"/>
      <c r="BY137" s="1214"/>
      <c r="BZ137" s="1214"/>
      <c r="CA137" s="1214"/>
      <c r="CB137" s="1214"/>
      <c r="CC137" s="1214"/>
      <c r="CD137" s="1214"/>
      <c r="CE137" s="1214"/>
      <c r="CF137" s="1214"/>
      <c r="CG137" s="1214"/>
      <c r="CH137" s="1214"/>
      <c r="CI137" s="1214"/>
      <c r="CJ137" s="1214"/>
      <c r="CK137" s="1214"/>
      <c r="CL137" s="1214"/>
      <c r="CM137" s="1214"/>
      <c r="CN137" s="1214"/>
      <c r="CO137" s="1214"/>
      <c r="CP137" s="1214"/>
      <c r="CQ137" s="1214"/>
      <c r="CR137" s="1214"/>
      <c r="CS137" s="1214"/>
      <c r="CT137" s="1214"/>
      <c r="CU137" s="1214"/>
      <c r="CV137" s="1214"/>
      <c r="CW137" s="1214"/>
      <c r="CX137" s="1214"/>
      <c r="CY137" s="1214"/>
      <c r="CZ137" s="1214"/>
      <c r="DA137" s="1214"/>
      <c r="DB137" s="1214"/>
      <c r="DC137" s="1214"/>
      <c r="DD137" s="1214"/>
      <c r="DE137" s="1214"/>
      <c r="DF137" s="1214"/>
      <c r="DG137" s="1214"/>
      <c r="DH137" s="1214"/>
      <c r="DI137" s="1214"/>
      <c r="DJ137" s="1214"/>
      <c r="DK137" s="1214"/>
      <c r="DL137" s="1214"/>
      <c r="DM137" s="1214"/>
      <c r="DN137" s="1214"/>
      <c r="DO137" s="1214"/>
      <c r="DP137" s="1214"/>
      <c r="DQ137" s="1214"/>
      <c r="DR137" s="1214"/>
      <c r="DS137" s="1214"/>
      <c r="DT137" s="1214"/>
      <c r="DU137" s="1214"/>
      <c r="DV137" s="1214"/>
      <c r="DW137" s="1214"/>
      <c r="DX137" s="1214"/>
      <c r="DY137" s="1214"/>
      <c r="DZ137" s="1214"/>
      <c r="EA137" s="1214"/>
      <c r="EB137" s="1214"/>
      <c r="EC137" s="1214"/>
      <c r="ED137" s="1214"/>
      <c r="EE137" s="1214"/>
      <c r="EF137" s="1214"/>
      <c r="EG137" s="1214"/>
      <c r="EH137" s="1214"/>
      <c r="EI137" s="1214"/>
      <c r="EJ137" s="1214"/>
      <c r="EK137" s="1214"/>
      <c r="EL137" s="1214"/>
      <c r="EM137" s="1214"/>
      <c r="EN137" s="1214"/>
      <c r="EO137" s="1214"/>
      <c r="EP137" s="1214"/>
      <c r="EQ137" s="1214"/>
      <c r="ER137" s="1214"/>
      <c r="ES137" s="1214"/>
      <c r="ET137" s="1214"/>
      <c r="EU137" s="1214"/>
      <c r="EV137" s="1214"/>
      <c r="EW137" s="1214"/>
      <c r="EX137" s="1214"/>
      <c r="EY137" s="1214"/>
      <c r="EZ137" s="1214"/>
      <c r="FA137" s="1214"/>
      <c r="FB137" s="1214"/>
      <c r="FC137" s="1214"/>
      <c r="FD137" s="1214"/>
      <c r="FE137" s="1214"/>
      <c r="FF137" s="1214"/>
      <c r="FG137" s="1214"/>
      <c r="FH137" s="1214"/>
      <c r="FI137" s="1214"/>
      <c r="FJ137" s="1214"/>
      <c r="FK137" s="1214"/>
      <c r="FL137" s="1214"/>
      <c r="FM137" s="1214"/>
      <c r="FN137" s="1214"/>
      <c r="FO137" s="1214"/>
      <c r="FP137" s="1213"/>
      <c r="FQ137" s="1213"/>
      <c r="FR137" s="1213"/>
      <c r="FS137" s="1213"/>
      <c r="FT137" s="1213"/>
      <c r="FU137" s="1213"/>
      <c r="FV137" s="1213"/>
      <c r="FW137" s="1213"/>
      <c r="FX137" s="1213"/>
      <c r="FY137" s="1213"/>
    </row>
    <row r="138" spans="1:181" ht="31.2" customHeight="1">
      <c r="C138" s="1255"/>
      <c r="D138" s="2237" t="s">
        <v>1751</v>
      </c>
      <c r="E138" s="2238"/>
      <c r="F138" s="2238"/>
      <c r="G138" s="2238"/>
      <c r="H138" s="2238"/>
      <c r="I138" s="2239"/>
      <c r="J138" s="172"/>
    </row>
    <row r="139" spans="1:181">
      <c r="D139" s="1230"/>
      <c r="E139" s="1230"/>
      <c r="F139" s="1231"/>
      <c r="G139" s="1230"/>
      <c r="H139" s="1231"/>
      <c r="I139" s="1230"/>
      <c r="K139" s="1230"/>
    </row>
    <row r="140" spans="1:181">
      <c r="D140" s="1232" t="s">
        <v>1771</v>
      </c>
      <c r="F140" s="1232"/>
      <c r="G140" s="1231"/>
      <c r="H140" s="1248">
        <f>E46-SUM(F38:F43)</f>
        <v>96000</v>
      </c>
      <c r="I140" s="172"/>
    </row>
    <row r="141" spans="1:181">
      <c r="D141" s="1232"/>
      <c r="F141" s="1232"/>
      <c r="G141" s="1231"/>
      <c r="H141" s="1248"/>
      <c r="I141" s="172"/>
    </row>
    <row r="142" spans="1:181">
      <c r="D142" s="1232"/>
      <c r="E142" s="1232" t="s">
        <v>1770</v>
      </c>
      <c r="F142" s="1232"/>
      <c r="G142" s="1231"/>
      <c r="H142" s="1248"/>
      <c r="I142" s="172"/>
    </row>
    <row r="143" spans="1:181">
      <c r="E143" s="2221"/>
      <c r="F143" s="2222"/>
      <c r="G143" s="2223"/>
      <c r="H143" s="1226"/>
      <c r="I143" s="172"/>
    </row>
    <row r="144" spans="1:181">
      <c r="E144" s="2221"/>
      <c r="F144" s="2222"/>
      <c r="G144" s="2223"/>
      <c r="H144" s="1226"/>
      <c r="I144" s="172"/>
    </row>
    <row r="145" spans="2:11">
      <c r="E145" s="2221"/>
      <c r="F145" s="2222"/>
      <c r="G145" s="2223"/>
      <c r="H145" s="1226"/>
      <c r="I145" s="172"/>
    </row>
    <row r="146" spans="2:11">
      <c r="E146" s="1254"/>
      <c r="F146" s="1253"/>
      <c r="G146" s="1252"/>
      <c r="H146" s="1226"/>
      <c r="I146" s="172"/>
    </row>
    <row r="147" spans="2:11">
      <c r="E147" s="1254"/>
      <c r="F147" s="1253"/>
      <c r="G147" s="1252"/>
      <c r="H147" s="1226"/>
      <c r="I147" s="172"/>
    </row>
    <row r="148" spans="2:11">
      <c r="E148" s="1254"/>
      <c r="F148" s="1253"/>
      <c r="G148" s="1252"/>
      <c r="H148" s="1226"/>
      <c r="I148" s="172"/>
    </row>
    <row r="149" spans="2:11">
      <c r="E149" s="2221"/>
      <c r="F149" s="2222"/>
      <c r="G149" s="2223"/>
      <c r="H149" s="1226"/>
      <c r="I149" s="172"/>
      <c r="J149" s="1231"/>
    </row>
    <row r="150" spans="2:11">
      <c r="D150" s="1250"/>
      <c r="E150" s="2221"/>
      <c r="F150" s="2222"/>
      <c r="G150" s="2223"/>
      <c r="H150" s="1226"/>
      <c r="I150" s="172"/>
    </row>
    <row r="151" spans="2:11">
      <c r="D151" s="1250"/>
      <c r="E151" s="2221"/>
      <c r="F151" s="2222"/>
      <c r="G151" s="2223"/>
      <c r="H151" s="1226"/>
      <c r="I151" s="172"/>
    </row>
    <row r="152" spans="2:11">
      <c r="D152" s="1250"/>
      <c r="E152" s="2221"/>
      <c r="F152" s="2222"/>
      <c r="G152" s="2223"/>
      <c r="H152" s="1226"/>
      <c r="I152" s="172"/>
    </row>
    <row r="153" spans="2:11">
      <c r="D153" s="1250"/>
      <c r="E153" s="2221"/>
      <c r="F153" s="2222"/>
      <c r="G153" s="2223"/>
      <c r="H153" s="1226"/>
      <c r="I153" s="172"/>
    </row>
    <row r="154" spans="2:11">
      <c r="D154" s="1250"/>
      <c r="E154" s="2221"/>
      <c r="F154" s="2222"/>
      <c r="G154" s="2223"/>
      <c r="H154" s="1226"/>
      <c r="I154" s="172"/>
    </row>
    <row r="155" spans="2:11">
      <c r="D155" s="1231"/>
      <c r="E155" s="2246"/>
      <c r="F155" s="2247"/>
      <c r="G155" s="2248"/>
      <c r="H155" s="1226"/>
      <c r="I155" s="172"/>
      <c r="J155" s="1230"/>
      <c r="K155" s="1230"/>
    </row>
    <row r="156" spans="2:11">
      <c r="E156" s="2221"/>
      <c r="F156" s="2222"/>
      <c r="G156" s="2223"/>
      <c r="H156" s="1226"/>
      <c r="I156" s="172"/>
    </row>
    <row r="157" spans="2:11">
      <c r="E157" s="107"/>
      <c r="F157" s="107"/>
      <c r="G157" s="107"/>
      <c r="H157" s="1251"/>
      <c r="I157" s="172"/>
    </row>
    <row r="158" spans="2:11">
      <c r="D158" s="1232" t="s">
        <v>1769</v>
      </c>
      <c r="F158" s="1232"/>
      <c r="G158" s="1231"/>
      <c r="H158" s="1248">
        <f>SUM(H140:H156)</f>
        <v>96000</v>
      </c>
      <c r="I158" s="172"/>
    </row>
    <row r="160" spans="2:11">
      <c r="B160" s="1211" t="s">
        <v>38</v>
      </c>
      <c r="C160" s="1233" t="s">
        <v>402</v>
      </c>
      <c r="D160" s="1211" t="s">
        <v>1768</v>
      </c>
      <c r="E160" s="172"/>
      <c r="F160" s="1239"/>
    </row>
    <row r="161" spans="3:11">
      <c r="C161" s="1234"/>
      <c r="D161" s="1233"/>
      <c r="E161" s="1232"/>
      <c r="F161" s="1239"/>
    </row>
    <row r="162" spans="3:11">
      <c r="C162" s="1234"/>
      <c r="D162" s="2240" t="s">
        <v>1751</v>
      </c>
      <c r="E162" s="2241"/>
      <c r="F162" s="2241"/>
      <c r="G162" s="2241"/>
      <c r="H162" s="2241"/>
      <c r="I162" s="2242"/>
    </row>
    <row r="163" spans="3:11">
      <c r="D163" s="2243"/>
      <c r="E163" s="2244"/>
      <c r="F163" s="2244"/>
      <c r="G163" s="2244"/>
      <c r="H163" s="2244"/>
      <c r="I163" s="2245"/>
      <c r="J163" s="172"/>
    </row>
    <row r="164" spans="3:11">
      <c r="E164" s="1230"/>
      <c r="F164" s="1230"/>
      <c r="G164" s="1231"/>
    </row>
    <row r="165" spans="3:11">
      <c r="D165" s="1232" t="s">
        <v>1767</v>
      </c>
      <c r="F165" s="1238"/>
      <c r="G165" s="172"/>
    </row>
    <row r="166" spans="3:11">
      <c r="G166" s="172"/>
    </row>
    <row r="167" spans="3:11">
      <c r="D167" s="1211" t="s">
        <v>405</v>
      </c>
      <c r="G167" s="172"/>
    </row>
    <row r="168" spans="3:11">
      <c r="D168" s="1250" t="s">
        <v>352</v>
      </c>
      <c r="F168" s="1249"/>
      <c r="G168" s="172"/>
    </row>
    <row r="169" spans="3:11">
      <c r="D169" s="1250" t="s">
        <v>351</v>
      </c>
      <c r="F169" s="1249"/>
      <c r="G169" s="172"/>
    </row>
    <row r="170" spans="3:11">
      <c r="D170" s="1250" t="s">
        <v>350</v>
      </c>
      <c r="F170" s="1249"/>
      <c r="G170" s="172"/>
    </row>
    <row r="171" spans="3:11">
      <c r="D171" s="1232" t="s">
        <v>408</v>
      </c>
      <c r="E171" s="1232"/>
      <c r="F171" s="1248">
        <f>SUM(F168:F170)</f>
        <v>0</v>
      </c>
      <c r="G171" s="172"/>
    </row>
    <row r="172" spans="3:11">
      <c r="G172" s="172"/>
    </row>
    <row r="173" spans="3:11">
      <c r="D173" s="1232" t="s">
        <v>407</v>
      </c>
      <c r="F173" s="1248">
        <f>F165-F171</f>
        <v>0</v>
      </c>
      <c r="G173" s="172"/>
    </row>
    <row r="174" spans="3:11">
      <c r="D174" s="1232"/>
      <c r="F174" s="1248"/>
      <c r="G174" s="172"/>
    </row>
    <row r="176" spans="3:11">
      <c r="C176" s="1211" t="s">
        <v>1766</v>
      </c>
      <c r="D176" s="1230"/>
      <c r="E176" s="1230"/>
      <c r="F176" s="1231"/>
      <c r="G176" s="1230"/>
      <c r="H176" s="1231"/>
      <c r="I176" s="1230"/>
      <c r="K176" s="1230"/>
    </row>
    <row r="177" spans="2:11">
      <c r="D177" s="1230"/>
      <c r="E177" s="1230"/>
      <c r="F177" s="1231"/>
      <c r="G177" s="1230"/>
      <c r="H177" s="1231"/>
      <c r="I177" s="1230"/>
      <c r="K177" s="1230"/>
    </row>
    <row r="178" spans="2:11">
      <c r="C178" s="1247" t="s">
        <v>1765</v>
      </c>
      <c r="D178" s="1246"/>
      <c r="E178" s="1245">
        <v>3700000</v>
      </c>
      <c r="F178" s="172"/>
      <c r="G178" s="1230"/>
      <c r="H178" s="1231"/>
      <c r="I178" s="1230"/>
      <c r="K178" s="1230"/>
    </row>
    <row r="179" spans="2:11">
      <c r="D179" s="1231"/>
      <c r="E179" s="1230"/>
      <c r="F179" s="1244"/>
      <c r="G179" s="1230"/>
      <c r="H179" s="1231"/>
      <c r="I179" s="1230"/>
      <c r="K179" s="1230"/>
    </row>
    <row r="181" spans="2:11">
      <c r="B181" s="1211" t="s">
        <v>211</v>
      </c>
      <c r="C181" s="1233" t="s">
        <v>210</v>
      </c>
      <c r="D181" s="1211" t="s">
        <v>1764</v>
      </c>
      <c r="E181" s="172"/>
    </row>
    <row r="182" spans="2:11">
      <c r="C182" s="1234"/>
      <c r="D182" s="1233"/>
      <c r="E182" s="1232"/>
    </row>
    <row r="183" spans="2:11">
      <c r="D183" s="2240" t="s">
        <v>1751</v>
      </c>
      <c r="E183" s="2241"/>
      <c r="F183" s="2241"/>
      <c r="G183" s="2241"/>
      <c r="H183" s="2241"/>
      <c r="I183" s="2242"/>
      <c r="J183" s="172"/>
    </row>
    <row r="184" spans="2:11">
      <c r="D184" s="2243"/>
      <c r="E184" s="2244"/>
      <c r="F184" s="2244"/>
      <c r="G184" s="2244"/>
      <c r="H184" s="2244"/>
      <c r="I184" s="2245"/>
      <c r="J184" s="172"/>
    </row>
    <row r="185" spans="2:11">
      <c r="D185" s="1230"/>
      <c r="E185" s="1230"/>
      <c r="F185" s="1231"/>
      <c r="G185" s="1230"/>
      <c r="H185" s="1231"/>
      <c r="I185" s="1230"/>
      <c r="K185" s="1230"/>
    </row>
    <row r="186" spans="2:11">
      <c r="D186" s="1232" t="s">
        <v>1763</v>
      </c>
      <c r="E186" s="1231"/>
      <c r="F186" s="1230"/>
      <c r="G186" s="1231"/>
      <c r="H186" s="1238"/>
      <c r="I186" s="172"/>
      <c r="K186" s="1230"/>
    </row>
    <row r="187" spans="2:11">
      <c r="D187" s="1230"/>
      <c r="E187" s="1230"/>
      <c r="F187" s="1230"/>
      <c r="G187" s="1230"/>
      <c r="H187" s="1231"/>
      <c r="I187" s="1230"/>
      <c r="K187" s="1230"/>
    </row>
    <row r="188" spans="2:11" ht="15.6" customHeight="1">
      <c r="B188" s="1211" t="s">
        <v>345</v>
      </c>
      <c r="C188" s="1243" t="s">
        <v>59</v>
      </c>
      <c r="D188" s="1241" t="s">
        <v>1762</v>
      </c>
      <c r="E188" s="1240"/>
      <c r="F188" s="1240"/>
      <c r="G188" s="1240"/>
      <c r="H188" s="1240"/>
      <c r="I188" s="1240"/>
      <c r="J188" s="172"/>
    </row>
    <row r="189" spans="2:11">
      <c r="C189" s="1242"/>
      <c r="D189" s="1241" t="s">
        <v>1761</v>
      </c>
      <c r="E189" s="172"/>
      <c r="F189" s="1240"/>
      <c r="G189" s="1240"/>
      <c r="H189" s="1240"/>
      <c r="I189" s="1240"/>
      <c r="J189" s="1240"/>
    </row>
    <row r="190" spans="2:11">
      <c r="C190" s="1234"/>
      <c r="D190" s="1233"/>
      <c r="E190" s="1232"/>
      <c r="F190" s="1239"/>
      <c r="J190" s="107"/>
    </row>
    <row r="191" spans="2:11">
      <c r="D191" s="2240" t="s">
        <v>1751</v>
      </c>
      <c r="E191" s="2241"/>
      <c r="F191" s="2241"/>
      <c r="G191" s="2241"/>
      <c r="H191" s="2241"/>
      <c r="I191" s="2242"/>
      <c r="J191" s="172"/>
    </row>
    <row r="192" spans="2:11">
      <c r="D192" s="2243"/>
      <c r="E192" s="2244"/>
      <c r="F192" s="2244"/>
      <c r="G192" s="2244"/>
      <c r="H192" s="2244"/>
      <c r="I192" s="2245"/>
      <c r="J192" s="172"/>
    </row>
    <row r="193" spans="2:13">
      <c r="I193" s="1236"/>
      <c r="J193" s="172"/>
      <c r="K193" s="1236"/>
    </row>
    <row r="194" spans="2:13">
      <c r="D194" s="1232" t="s">
        <v>1760</v>
      </c>
      <c r="H194" s="1238"/>
      <c r="I194" s="1236"/>
      <c r="J194" s="172"/>
      <c r="K194" s="1236"/>
    </row>
    <row r="195" spans="2:13">
      <c r="D195" s="1232" t="s">
        <v>1759</v>
      </c>
      <c r="H195" s="1238"/>
      <c r="I195" s="1236"/>
      <c r="J195" s="172"/>
      <c r="K195" s="1236"/>
    </row>
    <row r="196" spans="2:13">
      <c r="D196" s="1232" t="s">
        <v>1758</v>
      </c>
      <c r="H196" s="1238"/>
      <c r="I196" s="1236"/>
      <c r="J196" s="172"/>
      <c r="K196" s="1236"/>
    </row>
    <row r="197" spans="2:13">
      <c r="D197" s="1236"/>
      <c r="E197" s="1236"/>
      <c r="F197" s="1236"/>
      <c r="G197" s="1236"/>
      <c r="I197" s="1236"/>
      <c r="J197" s="1237"/>
      <c r="K197" s="1236"/>
    </row>
    <row r="198" spans="2:13">
      <c r="C198" s="1211" t="s">
        <v>1757</v>
      </c>
      <c r="D198" s="1230"/>
      <c r="E198" s="1230"/>
      <c r="F198" s="1231"/>
      <c r="G198" s="1230"/>
      <c r="H198" s="1231"/>
      <c r="I198" s="1230"/>
      <c r="K198" s="1230"/>
    </row>
    <row r="199" spans="2:13">
      <c r="C199" s="1231" t="s">
        <v>1756</v>
      </c>
      <c r="D199" s="1230"/>
      <c r="E199" s="1231"/>
      <c r="F199" s="1230"/>
      <c r="G199" s="1231"/>
      <c r="H199" s="172"/>
      <c r="I199" s="1230"/>
      <c r="K199" s="1230"/>
    </row>
    <row r="200" spans="2:13" ht="12.75" customHeight="1">
      <c r="C200" s="1231" t="s">
        <v>1755</v>
      </c>
      <c r="D200" s="1230"/>
      <c r="E200" s="1231"/>
      <c r="F200" s="1230"/>
      <c r="G200" s="1231"/>
      <c r="H200" s="172"/>
      <c r="I200" s="1230"/>
      <c r="K200" s="1230"/>
    </row>
    <row r="201" spans="2:13" ht="12.75" customHeight="1">
      <c r="C201" s="1231" t="s">
        <v>1754</v>
      </c>
      <c r="D201" s="1230"/>
      <c r="E201" s="1231"/>
      <c r="F201" s="1230"/>
      <c r="G201" s="1231"/>
      <c r="H201" s="172"/>
      <c r="I201" s="1230"/>
      <c r="K201" s="1230"/>
    </row>
    <row r="202" spans="2:13" ht="12.75" customHeight="1">
      <c r="D202" s="1235"/>
      <c r="E202" s="1230"/>
      <c r="F202" s="1231"/>
      <c r="G202" s="1230"/>
      <c r="H202" s="1231"/>
      <c r="I202" s="1230"/>
      <c r="K202" s="1230"/>
      <c r="L202" s="697"/>
      <c r="M202" s="1222"/>
    </row>
    <row r="203" spans="2:13">
      <c r="B203" s="1211" t="s">
        <v>1753</v>
      </c>
      <c r="C203" s="1233" t="s">
        <v>27</v>
      </c>
      <c r="D203" s="1211" t="s">
        <v>1752</v>
      </c>
      <c r="E203" s="172"/>
      <c r="L203" s="694"/>
      <c r="M203" s="1222"/>
    </row>
    <row r="204" spans="2:13">
      <c r="C204" s="1234"/>
      <c r="D204" s="1233"/>
      <c r="E204" s="1232"/>
      <c r="L204" s="694"/>
      <c r="M204" s="1222"/>
    </row>
    <row r="205" spans="2:13">
      <c r="D205" s="2240" t="s">
        <v>1751</v>
      </c>
      <c r="E205" s="2241"/>
      <c r="F205" s="2241"/>
      <c r="G205" s="2241"/>
      <c r="H205" s="2241"/>
      <c r="I205" s="2242"/>
      <c r="J205" s="172"/>
      <c r="L205" s="694"/>
      <c r="M205" s="1222"/>
    </row>
    <row r="206" spans="2:13">
      <c r="D206" s="2243"/>
      <c r="E206" s="2244"/>
      <c r="F206" s="2244"/>
      <c r="G206" s="2244"/>
      <c r="H206" s="2244"/>
      <c r="I206" s="2245"/>
      <c r="J206" s="172"/>
      <c r="L206" s="694"/>
      <c r="M206" s="1222"/>
    </row>
    <row r="207" spans="2:13">
      <c r="D207" s="1230"/>
      <c r="E207" s="1230"/>
      <c r="F207" s="1231"/>
      <c r="G207" s="1230"/>
      <c r="H207" s="1231"/>
      <c r="I207" s="1230"/>
      <c r="J207" s="107"/>
      <c r="K207" s="1230"/>
    </row>
    <row r="208" spans="2:13" ht="40.5" customHeight="1">
      <c r="F208" s="1229" t="s">
        <v>1750</v>
      </c>
      <c r="G208" s="1228" t="s">
        <v>1749</v>
      </c>
      <c r="H208" s="1228" t="s">
        <v>1748</v>
      </c>
      <c r="I208" s="1228" t="s">
        <v>1747</v>
      </c>
      <c r="J208" s="172"/>
      <c r="L208" s="1222"/>
      <c r="M208" s="1222"/>
    </row>
    <row r="209" spans="4:13" ht="12.75" customHeight="1">
      <c r="D209" s="1211" t="s">
        <v>642</v>
      </c>
      <c r="F209" s="1224">
        <f>F121</f>
        <v>0</v>
      </c>
      <c r="G209" s="1226"/>
      <c r="H209" s="1226"/>
      <c r="I209" s="1226"/>
      <c r="J209" s="172"/>
    </row>
    <row r="210" spans="4:13" ht="12.75" customHeight="1">
      <c r="D210" s="1211" t="s">
        <v>1746</v>
      </c>
      <c r="F210" s="1224">
        <f>F128</f>
        <v>0</v>
      </c>
      <c r="G210" s="1226"/>
      <c r="H210" s="1226"/>
      <c r="I210" s="1226"/>
      <c r="J210" s="172"/>
      <c r="L210" s="1222"/>
      <c r="M210" s="1222"/>
    </row>
    <row r="211" spans="4:13" ht="12.75" customHeight="1">
      <c r="D211" s="1211" t="s">
        <v>348</v>
      </c>
      <c r="F211" s="1227">
        <f>F129</f>
        <v>0</v>
      </c>
      <c r="G211" s="1226"/>
      <c r="H211" s="1226"/>
      <c r="I211" s="1226"/>
      <c r="J211" s="172"/>
      <c r="L211" s="1222"/>
      <c r="M211" s="1222"/>
    </row>
    <row r="212" spans="4:13">
      <c r="D212" s="1211" t="s">
        <v>354</v>
      </c>
      <c r="F212" s="1225">
        <f>SUM(F210:F211)</f>
        <v>0</v>
      </c>
      <c r="G212" s="1225">
        <f>SUM(G210:G211)</f>
        <v>0</v>
      </c>
      <c r="H212" s="1225">
        <f>SUM(H210:H211)</f>
        <v>0</v>
      </c>
      <c r="I212" s="1225">
        <f>SUM(I210:I211)</f>
        <v>0</v>
      </c>
      <c r="J212" s="172"/>
      <c r="L212" s="1222"/>
      <c r="M212" s="1222"/>
    </row>
    <row r="213" spans="4:13">
      <c r="D213" s="1211" t="s">
        <v>346</v>
      </c>
      <c r="F213" s="1225">
        <f>F209-F212</f>
        <v>0</v>
      </c>
      <c r="G213" s="1225">
        <f>G209-G212</f>
        <v>0</v>
      </c>
      <c r="H213" s="1225">
        <f>H209-H212</f>
        <v>0</v>
      </c>
      <c r="I213" s="1225">
        <f>I209-I212</f>
        <v>0</v>
      </c>
      <c r="J213" s="172"/>
      <c r="L213" s="1222"/>
      <c r="M213" s="1222"/>
    </row>
    <row r="214" spans="4:13">
      <c r="D214" s="1211" t="s">
        <v>1745</v>
      </c>
      <c r="F214" s="1224">
        <f>G134</f>
        <v>0</v>
      </c>
      <c r="G214" s="1223"/>
      <c r="H214" s="1223"/>
      <c r="I214" s="1223"/>
      <c r="J214" s="172"/>
      <c r="L214" s="1222"/>
      <c r="M214" s="1222"/>
    </row>
    <row r="215" spans="4:13">
      <c r="J215" s="107"/>
      <c r="M215" s="1222"/>
    </row>
    <row r="244" spans="1:181" s="1211" customFormat="1" ht="12.75" customHeight="1">
      <c r="A244" s="1212"/>
      <c r="B244" s="1212"/>
      <c r="L244" s="3"/>
      <c r="M244" s="3"/>
      <c r="N244" s="1214"/>
      <c r="O244" s="1214"/>
      <c r="P244" s="1214"/>
      <c r="Q244" s="1214"/>
      <c r="R244" s="1214"/>
      <c r="S244" s="1214"/>
      <c r="T244" s="1214"/>
      <c r="U244" s="1214"/>
      <c r="V244" s="1214"/>
      <c r="W244" s="1214"/>
      <c r="X244" s="1214"/>
      <c r="Y244" s="1214"/>
      <c r="Z244" s="1214"/>
      <c r="AA244" s="1214"/>
      <c r="AB244" s="1214"/>
      <c r="AC244" s="1214"/>
      <c r="AD244" s="1214"/>
      <c r="AE244" s="1214"/>
      <c r="AF244" s="1214"/>
      <c r="AG244" s="1214"/>
      <c r="AH244" s="1214"/>
      <c r="AI244" s="1214"/>
      <c r="AJ244" s="1214"/>
      <c r="AK244" s="1214"/>
      <c r="AL244" s="1214"/>
      <c r="AM244" s="1214"/>
      <c r="AN244" s="1214"/>
      <c r="AO244" s="1214"/>
      <c r="AP244" s="1214"/>
      <c r="AQ244" s="1214"/>
      <c r="AR244" s="1214"/>
      <c r="AS244" s="1214"/>
      <c r="AT244" s="1214"/>
      <c r="AU244" s="1214"/>
      <c r="AV244" s="1214"/>
      <c r="AW244" s="1214"/>
      <c r="AX244" s="1214"/>
      <c r="AY244" s="1214"/>
      <c r="AZ244" s="1214"/>
      <c r="BA244" s="1214"/>
      <c r="BB244" s="1214"/>
      <c r="BC244" s="1214"/>
      <c r="BD244" s="1214"/>
      <c r="BE244" s="1214"/>
      <c r="BF244" s="1214"/>
      <c r="BG244" s="1214"/>
      <c r="BH244" s="1214"/>
      <c r="BI244" s="1214"/>
      <c r="BJ244" s="1214"/>
      <c r="BK244" s="1214"/>
      <c r="BL244" s="1214"/>
      <c r="BM244" s="1214"/>
      <c r="BN244" s="1214"/>
      <c r="BO244" s="1214"/>
      <c r="BP244" s="1214"/>
      <c r="BQ244" s="1214"/>
      <c r="BR244" s="1214"/>
      <c r="BS244" s="1214"/>
      <c r="BT244" s="1214"/>
      <c r="BU244" s="1214"/>
      <c r="BV244" s="1214"/>
      <c r="BW244" s="1214"/>
      <c r="BX244" s="1214"/>
      <c r="BY244" s="1214"/>
      <c r="BZ244" s="1214"/>
      <c r="CA244" s="1214"/>
      <c r="CB244" s="1214"/>
      <c r="CC244" s="1214"/>
      <c r="CD244" s="1214"/>
      <c r="CE244" s="1214"/>
      <c r="CF244" s="1214"/>
      <c r="CG244" s="1214"/>
      <c r="CH244" s="1214"/>
      <c r="CI244" s="1214"/>
      <c r="CJ244" s="1214"/>
      <c r="CK244" s="1214"/>
      <c r="CL244" s="1214"/>
      <c r="CM244" s="1214"/>
      <c r="CN244" s="1214"/>
      <c r="CO244" s="1214"/>
      <c r="CP244" s="1214"/>
      <c r="CQ244" s="1214"/>
      <c r="CR244" s="1214"/>
      <c r="CS244" s="1214"/>
      <c r="CT244" s="1214"/>
      <c r="CU244" s="1214"/>
      <c r="CV244" s="1214"/>
      <c r="CW244" s="1214"/>
      <c r="CX244" s="1214"/>
      <c r="CY244" s="1214"/>
      <c r="CZ244" s="1214"/>
      <c r="DA244" s="1214"/>
      <c r="DB244" s="1214"/>
      <c r="DC244" s="1214"/>
      <c r="DD244" s="1214"/>
      <c r="DE244" s="1214"/>
      <c r="DF244" s="1214"/>
      <c r="DG244" s="1214"/>
      <c r="DH244" s="1214"/>
      <c r="DI244" s="1214"/>
      <c r="DJ244" s="1214"/>
      <c r="DK244" s="1214"/>
      <c r="DL244" s="1214"/>
      <c r="DM244" s="1214"/>
      <c r="DN244" s="1214"/>
      <c r="DO244" s="1214"/>
      <c r="DP244" s="1214"/>
      <c r="DQ244" s="1214"/>
      <c r="DR244" s="1214"/>
      <c r="DS244" s="1214"/>
      <c r="DT244" s="1214"/>
      <c r="DU244" s="1214"/>
      <c r="DV244" s="1214"/>
      <c r="DW244" s="1214"/>
      <c r="DX244" s="1214"/>
      <c r="DY244" s="1214"/>
      <c r="DZ244" s="1214"/>
      <c r="EA244" s="1214"/>
      <c r="EB244" s="1214"/>
      <c r="EC244" s="1214"/>
      <c r="ED244" s="1214"/>
      <c r="EE244" s="1214"/>
      <c r="EF244" s="1214"/>
      <c r="EG244" s="1214"/>
      <c r="EH244" s="1214"/>
      <c r="EI244" s="1214"/>
      <c r="EJ244" s="1214"/>
      <c r="EK244" s="1214"/>
      <c r="EL244" s="1214"/>
      <c r="EM244" s="1214"/>
      <c r="EN244" s="1214"/>
      <c r="EO244" s="1214"/>
      <c r="EP244" s="1214"/>
      <c r="EQ244" s="1214"/>
      <c r="ER244" s="1214"/>
      <c r="ES244" s="1214"/>
      <c r="ET244" s="1214"/>
      <c r="EU244" s="1214"/>
      <c r="EV244" s="1214"/>
      <c r="EW244" s="1214"/>
      <c r="EX244" s="1214"/>
      <c r="EY244" s="1214"/>
      <c r="EZ244" s="1214"/>
      <c r="FA244" s="1214"/>
      <c r="FB244" s="1214"/>
      <c r="FC244" s="1214"/>
      <c r="FD244" s="1214"/>
      <c r="FE244" s="1214"/>
      <c r="FF244" s="1214"/>
      <c r="FG244" s="1214"/>
      <c r="FH244" s="1214"/>
      <c r="FI244" s="1214"/>
      <c r="FJ244" s="1214"/>
      <c r="FK244" s="1214"/>
      <c r="FL244" s="1214"/>
      <c r="FM244" s="1214"/>
      <c r="FN244" s="1214"/>
      <c r="FO244" s="1214"/>
      <c r="FP244" s="1213"/>
      <c r="FQ244" s="1213"/>
      <c r="FR244" s="1213"/>
      <c r="FS244" s="1213"/>
      <c r="FT244" s="1213"/>
      <c r="FU244" s="1213"/>
      <c r="FV244" s="1213"/>
      <c r="FW244" s="1213"/>
      <c r="FX244" s="1213"/>
      <c r="FY244" s="1213"/>
    </row>
    <row r="250" spans="1:181" s="1211" customFormat="1">
      <c r="A250" s="1212"/>
      <c r="B250" s="1212"/>
      <c r="F250" s="1219"/>
      <c r="L250" s="3"/>
      <c r="M250" s="3"/>
      <c r="N250" s="1214"/>
      <c r="O250" s="1214"/>
      <c r="P250" s="1214"/>
      <c r="Q250" s="1214"/>
      <c r="R250" s="1214"/>
      <c r="S250" s="1214"/>
      <c r="T250" s="1214"/>
      <c r="U250" s="1214"/>
      <c r="V250" s="1214"/>
      <c r="W250" s="1214"/>
      <c r="X250" s="1214"/>
      <c r="Y250" s="1214"/>
      <c r="Z250" s="1214"/>
      <c r="AA250" s="1214"/>
      <c r="AB250" s="1214"/>
      <c r="AC250" s="1214"/>
      <c r="AD250" s="1214"/>
      <c r="AE250" s="1214"/>
      <c r="AF250" s="1214"/>
      <c r="AG250" s="1214"/>
      <c r="AH250" s="1214"/>
      <c r="AI250" s="1214"/>
      <c r="AJ250" s="1214"/>
      <c r="AK250" s="1214"/>
      <c r="AL250" s="1214"/>
      <c r="AM250" s="1214"/>
      <c r="AN250" s="1214"/>
      <c r="AO250" s="1214"/>
      <c r="AP250" s="1214"/>
      <c r="AQ250" s="1214"/>
      <c r="AR250" s="1214"/>
      <c r="AS250" s="1214"/>
      <c r="AT250" s="1214"/>
      <c r="AU250" s="1214"/>
      <c r="AV250" s="1214"/>
      <c r="AW250" s="1214"/>
      <c r="AX250" s="1214"/>
      <c r="AY250" s="1214"/>
      <c r="AZ250" s="1214"/>
      <c r="BA250" s="1214"/>
      <c r="BB250" s="1214"/>
      <c r="BC250" s="1214"/>
      <c r="BD250" s="1214"/>
      <c r="BE250" s="1214"/>
      <c r="BF250" s="1214"/>
      <c r="BG250" s="1214"/>
      <c r="BH250" s="1214"/>
      <c r="BI250" s="1214"/>
      <c r="BJ250" s="1214"/>
      <c r="BK250" s="1214"/>
      <c r="BL250" s="1214"/>
      <c r="BM250" s="1214"/>
      <c r="BN250" s="1214"/>
      <c r="BO250" s="1214"/>
      <c r="BP250" s="1214"/>
      <c r="BQ250" s="1214"/>
      <c r="BR250" s="1214"/>
      <c r="BS250" s="1214"/>
      <c r="BT250" s="1214"/>
      <c r="BU250" s="1214"/>
      <c r="BV250" s="1214"/>
      <c r="BW250" s="1214"/>
      <c r="BX250" s="1214"/>
      <c r="BY250" s="1214"/>
      <c r="BZ250" s="1214"/>
      <c r="CA250" s="1214"/>
      <c r="CB250" s="1214"/>
      <c r="CC250" s="1214"/>
      <c r="CD250" s="1214"/>
      <c r="CE250" s="1214"/>
      <c r="CF250" s="1214"/>
      <c r="CG250" s="1214"/>
      <c r="CH250" s="1214"/>
      <c r="CI250" s="1214"/>
      <c r="CJ250" s="1214"/>
      <c r="CK250" s="1214"/>
      <c r="CL250" s="1214"/>
      <c r="CM250" s="1214"/>
      <c r="CN250" s="1214"/>
      <c r="CO250" s="1214"/>
      <c r="CP250" s="1214"/>
      <c r="CQ250" s="1214"/>
      <c r="CR250" s="1214"/>
      <c r="CS250" s="1214"/>
      <c r="CT250" s="1214"/>
      <c r="CU250" s="1214"/>
      <c r="CV250" s="1214"/>
      <c r="CW250" s="1214"/>
      <c r="CX250" s="1214"/>
      <c r="CY250" s="1214"/>
      <c r="CZ250" s="1214"/>
      <c r="DA250" s="1214"/>
      <c r="DB250" s="1214"/>
      <c r="DC250" s="1214"/>
      <c r="DD250" s="1214"/>
      <c r="DE250" s="1214"/>
      <c r="DF250" s="1214"/>
      <c r="DG250" s="1214"/>
      <c r="DH250" s="1214"/>
      <c r="DI250" s="1214"/>
      <c r="DJ250" s="1214"/>
      <c r="DK250" s="1214"/>
      <c r="DL250" s="1214"/>
      <c r="DM250" s="1214"/>
      <c r="DN250" s="1214"/>
      <c r="DO250" s="1214"/>
      <c r="DP250" s="1214"/>
      <c r="DQ250" s="1214"/>
      <c r="DR250" s="1214"/>
      <c r="DS250" s="1214"/>
      <c r="DT250" s="1214"/>
      <c r="DU250" s="1214"/>
      <c r="DV250" s="1214"/>
      <c r="DW250" s="1214"/>
      <c r="DX250" s="1214"/>
      <c r="DY250" s="1214"/>
      <c r="DZ250" s="1214"/>
      <c r="EA250" s="1214"/>
      <c r="EB250" s="1214"/>
      <c r="EC250" s="1214"/>
      <c r="ED250" s="1214"/>
      <c r="EE250" s="1214"/>
      <c r="EF250" s="1214"/>
      <c r="EG250" s="1214"/>
      <c r="EH250" s="1214"/>
      <c r="EI250" s="1214"/>
      <c r="EJ250" s="1214"/>
      <c r="EK250" s="1214"/>
      <c r="EL250" s="1214"/>
      <c r="EM250" s="1214"/>
      <c r="EN250" s="1214"/>
      <c r="EO250" s="1214"/>
      <c r="EP250" s="1214"/>
      <c r="EQ250" s="1214"/>
      <c r="ER250" s="1214"/>
      <c r="ES250" s="1214"/>
      <c r="ET250" s="1214"/>
      <c r="EU250" s="1214"/>
      <c r="EV250" s="1214"/>
      <c r="EW250" s="1214"/>
      <c r="EX250" s="1214"/>
      <c r="EY250" s="1214"/>
      <c r="EZ250" s="1214"/>
      <c r="FA250" s="1214"/>
      <c r="FB250" s="1214"/>
      <c r="FC250" s="1214"/>
      <c r="FD250" s="1214"/>
      <c r="FE250" s="1214"/>
      <c r="FF250" s="1214"/>
      <c r="FG250" s="1214"/>
      <c r="FH250" s="1214"/>
      <c r="FI250" s="1214"/>
      <c r="FJ250" s="1214"/>
      <c r="FK250" s="1214"/>
      <c r="FL250" s="1214"/>
      <c r="FM250" s="1214"/>
      <c r="FN250" s="1214"/>
      <c r="FO250" s="1214"/>
      <c r="FP250" s="1213"/>
      <c r="FQ250" s="1213"/>
      <c r="FR250" s="1213"/>
      <c r="FS250" s="1213"/>
      <c r="FT250" s="1213"/>
      <c r="FU250" s="1213"/>
      <c r="FV250" s="1213"/>
      <c r="FW250" s="1213"/>
      <c r="FX250" s="1213"/>
      <c r="FY250" s="1213"/>
    </row>
    <row r="251" spans="1:181" s="1211" customFormat="1">
      <c r="A251" s="1212"/>
      <c r="B251" s="1212"/>
      <c r="F251" s="1219"/>
      <c r="I251" s="1218"/>
      <c r="L251" s="3"/>
      <c r="M251" s="3"/>
      <c r="N251" s="1214"/>
      <c r="O251" s="1214"/>
      <c r="P251" s="1214"/>
      <c r="Q251" s="1214"/>
      <c r="R251" s="1214"/>
      <c r="S251" s="1214"/>
      <c r="T251" s="1214"/>
      <c r="U251" s="1214"/>
      <c r="V251" s="1214"/>
      <c r="W251" s="1214"/>
      <c r="X251" s="1214"/>
      <c r="Y251" s="1214"/>
      <c r="Z251" s="1214"/>
      <c r="AA251" s="1214"/>
      <c r="AB251" s="1214"/>
      <c r="AC251" s="1214"/>
      <c r="AD251" s="1214"/>
      <c r="AE251" s="1214"/>
      <c r="AF251" s="1214"/>
      <c r="AG251" s="1214"/>
      <c r="AH251" s="1214"/>
      <c r="AI251" s="1214"/>
      <c r="AJ251" s="1214"/>
      <c r="AK251" s="1214"/>
      <c r="AL251" s="1214"/>
      <c r="AM251" s="1214"/>
      <c r="AN251" s="1214"/>
      <c r="AO251" s="1214"/>
      <c r="AP251" s="1214"/>
      <c r="AQ251" s="1214"/>
      <c r="AR251" s="1214"/>
      <c r="AS251" s="1214"/>
      <c r="AT251" s="1214"/>
      <c r="AU251" s="1214"/>
      <c r="AV251" s="1214"/>
      <c r="AW251" s="1214"/>
      <c r="AX251" s="1214"/>
      <c r="AY251" s="1214"/>
      <c r="AZ251" s="1214"/>
      <c r="BA251" s="1214"/>
      <c r="BB251" s="1214"/>
      <c r="BC251" s="1214"/>
      <c r="BD251" s="1214"/>
      <c r="BE251" s="1214"/>
      <c r="BF251" s="1214"/>
      <c r="BG251" s="1214"/>
      <c r="BH251" s="1214"/>
      <c r="BI251" s="1214"/>
      <c r="BJ251" s="1214"/>
      <c r="BK251" s="1214"/>
      <c r="BL251" s="1214"/>
      <c r="BM251" s="1214"/>
      <c r="BN251" s="1214"/>
      <c r="BO251" s="1214"/>
      <c r="BP251" s="1214"/>
      <c r="BQ251" s="1214"/>
      <c r="BR251" s="1214"/>
      <c r="BS251" s="1214"/>
      <c r="BT251" s="1214"/>
      <c r="BU251" s="1214"/>
      <c r="BV251" s="1214"/>
      <c r="BW251" s="1214"/>
      <c r="BX251" s="1214"/>
      <c r="BY251" s="1214"/>
      <c r="BZ251" s="1214"/>
      <c r="CA251" s="1214"/>
      <c r="CB251" s="1214"/>
      <c r="CC251" s="1214"/>
      <c r="CD251" s="1214"/>
      <c r="CE251" s="1214"/>
      <c r="CF251" s="1214"/>
      <c r="CG251" s="1214"/>
      <c r="CH251" s="1214"/>
      <c r="CI251" s="1214"/>
      <c r="CJ251" s="1214"/>
      <c r="CK251" s="1214"/>
      <c r="CL251" s="1214"/>
      <c r="CM251" s="1214"/>
      <c r="CN251" s="1214"/>
      <c r="CO251" s="1214"/>
      <c r="CP251" s="1214"/>
      <c r="CQ251" s="1214"/>
      <c r="CR251" s="1214"/>
      <c r="CS251" s="1214"/>
      <c r="CT251" s="1214"/>
      <c r="CU251" s="1214"/>
      <c r="CV251" s="1214"/>
      <c r="CW251" s="1214"/>
      <c r="CX251" s="1214"/>
      <c r="CY251" s="1214"/>
      <c r="CZ251" s="1214"/>
      <c r="DA251" s="1214"/>
      <c r="DB251" s="1214"/>
      <c r="DC251" s="1214"/>
      <c r="DD251" s="1214"/>
      <c r="DE251" s="1214"/>
      <c r="DF251" s="1214"/>
      <c r="DG251" s="1214"/>
      <c r="DH251" s="1214"/>
      <c r="DI251" s="1214"/>
      <c r="DJ251" s="1214"/>
      <c r="DK251" s="1214"/>
      <c r="DL251" s="1214"/>
      <c r="DM251" s="1214"/>
      <c r="DN251" s="1214"/>
      <c r="DO251" s="1214"/>
      <c r="DP251" s="1214"/>
      <c r="DQ251" s="1214"/>
      <c r="DR251" s="1214"/>
      <c r="DS251" s="1214"/>
      <c r="DT251" s="1214"/>
      <c r="DU251" s="1214"/>
      <c r="DV251" s="1214"/>
      <c r="DW251" s="1214"/>
      <c r="DX251" s="1214"/>
      <c r="DY251" s="1214"/>
      <c r="DZ251" s="1214"/>
      <c r="EA251" s="1214"/>
      <c r="EB251" s="1214"/>
      <c r="EC251" s="1214"/>
      <c r="ED251" s="1214"/>
      <c r="EE251" s="1214"/>
      <c r="EF251" s="1214"/>
      <c r="EG251" s="1214"/>
      <c r="EH251" s="1214"/>
      <c r="EI251" s="1214"/>
      <c r="EJ251" s="1214"/>
      <c r="EK251" s="1214"/>
      <c r="EL251" s="1214"/>
      <c r="EM251" s="1214"/>
      <c r="EN251" s="1214"/>
      <c r="EO251" s="1214"/>
      <c r="EP251" s="1214"/>
      <c r="EQ251" s="1214"/>
      <c r="ER251" s="1214"/>
      <c r="ES251" s="1214"/>
      <c r="ET251" s="1214"/>
      <c r="EU251" s="1214"/>
      <c r="EV251" s="1214"/>
      <c r="EW251" s="1214"/>
      <c r="EX251" s="1214"/>
      <c r="EY251" s="1214"/>
      <c r="EZ251" s="1214"/>
      <c r="FA251" s="1214"/>
      <c r="FB251" s="1214"/>
      <c r="FC251" s="1214"/>
      <c r="FD251" s="1214"/>
      <c r="FE251" s="1214"/>
      <c r="FF251" s="1214"/>
      <c r="FG251" s="1214"/>
      <c r="FH251" s="1214"/>
      <c r="FI251" s="1214"/>
      <c r="FJ251" s="1214"/>
      <c r="FK251" s="1214"/>
      <c r="FL251" s="1214"/>
      <c r="FM251" s="1214"/>
      <c r="FN251" s="1214"/>
      <c r="FO251" s="1214"/>
      <c r="FP251" s="1213"/>
      <c r="FQ251" s="1213"/>
      <c r="FR251" s="1213"/>
      <c r="FS251" s="1213"/>
      <c r="FT251" s="1213"/>
      <c r="FU251" s="1213"/>
      <c r="FV251" s="1213"/>
      <c r="FW251" s="1213"/>
      <c r="FX251" s="1213"/>
      <c r="FY251" s="1213"/>
    </row>
    <row r="252" spans="1:181" s="1211" customFormat="1">
      <c r="A252" s="1212"/>
      <c r="B252" s="1212"/>
      <c r="F252" s="1219"/>
      <c r="I252" s="1218"/>
      <c r="L252" s="3"/>
      <c r="M252" s="3"/>
      <c r="N252" s="1214"/>
      <c r="O252" s="1214"/>
      <c r="P252" s="1214"/>
      <c r="Q252" s="1214"/>
      <c r="R252" s="1214"/>
      <c r="S252" s="1214"/>
      <c r="T252" s="1214"/>
      <c r="U252" s="1214"/>
      <c r="V252" s="1214"/>
      <c r="W252" s="1214"/>
      <c r="X252" s="1214"/>
      <c r="Y252" s="1214"/>
      <c r="Z252" s="1214"/>
      <c r="AA252" s="1214"/>
      <c r="AB252" s="1214"/>
      <c r="AC252" s="1214"/>
      <c r="AD252" s="1214"/>
      <c r="AE252" s="1214"/>
      <c r="AF252" s="1214"/>
      <c r="AG252" s="1214"/>
      <c r="AH252" s="1214"/>
      <c r="AI252" s="1214"/>
      <c r="AJ252" s="1214"/>
      <c r="AK252" s="1214"/>
      <c r="AL252" s="1214"/>
      <c r="AM252" s="1214"/>
      <c r="AN252" s="1214"/>
      <c r="AO252" s="1214"/>
      <c r="AP252" s="1214"/>
      <c r="AQ252" s="1214"/>
      <c r="AR252" s="1214"/>
      <c r="AS252" s="1214"/>
      <c r="AT252" s="1214"/>
      <c r="AU252" s="1214"/>
      <c r="AV252" s="1214"/>
      <c r="AW252" s="1214"/>
      <c r="AX252" s="1214"/>
      <c r="AY252" s="1214"/>
      <c r="AZ252" s="1214"/>
      <c r="BA252" s="1214"/>
      <c r="BB252" s="1214"/>
      <c r="BC252" s="1214"/>
      <c r="BD252" s="1214"/>
      <c r="BE252" s="1214"/>
      <c r="BF252" s="1214"/>
      <c r="BG252" s="1214"/>
      <c r="BH252" s="1214"/>
      <c r="BI252" s="1214"/>
      <c r="BJ252" s="1214"/>
      <c r="BK252" s="1214"/>
      <c r="BL252" s="1214"/>
      <c r="BM252" s="1214"/>
      <c r="BN252" s="1214"/>
      <c r="BO252" s="1214"/>
      <c r="BP252" s="1214"/>
      <c r="BQ252" s="1214"/>
      <c r="BR252" s="1214"/>
      <c r="BS252" s="1214"/>
      <c r="BT252" s="1214"/>
      <c r="BU252" s="1214"/>
      <c r="BV252" s="1214"/>
      <c r="BW252" s="1214"/>
      <c r="BX252" s="1214"/>
      <c r="BY252" s="1214"/>
      <c r="BZ252" s="1214"/>
      <c r="CA252" s="1214"/>
      <c r="CB252" s="1214"/>
      <c r="CC252" s="1214"/>
      <c r="CD252" s="1214"/>
      <c r="CE252" s="1214"/>
      <c r="CF252" s="1214"/>
      <c r="CG252" s="1214"/>
      <c r="CH252" s="1214"/>
      <c r="CI252" s="1214"/>
      <c r="CJ252" s="1214"/>
      <c r="CK252" s="1214"/>
      <c r="CL252" s="1214"/>
      <c r="CM252" s="1214"/>
      <c r="CN252" s="1214"/>
      <c r="CO252" s="1214"/>
      <c r="CP252" s="1214"/>
      <c r="CQ252" s="1214"/>
      <c r="CR252" s="1214"/>
      <c r="CS252" s="1214"/>
      <c r="CT252" s="1214"/>
      <c r="CU252" s="1214"/>
      <c r="CV252" s="1214"/>
      <c r="CW252" s="1214"/>
      <c r="CX252" s="1214"/>
      <c r="CY252" s="1214"/>
      <c r="CZ252" s="1214"/>
      <c r="DA252" s="1214"/>
      <c r="DB252" s="1214"/>
      <c r="DC252" s="1214"/>
      <c r="DD252" s="1214"/>
      <c r="DE252" s="1214"/>
      <c r="DF252" s="1214"/>
      <c r="DG252" s="1214"/>
      <c r="DH252" s="1214"/>
      <c r="DI252" s="1214"/>
      <c r="DJ252" s="1214"/>
      <c r="DK252" s="1214"/>
      <c r="DL252" s="1214"/>
      <c r="DM252" s="1214"/>
      <c r="DN252" s="1214"/>
      <c r="DO252" s="1214"/>
      <c r="DP252" s="1214"/>
      <c r="DQ252" s="1214"/>
      <c r="DR252" s="1214"/>
      <c r="DS252" s="1214"/>
      <c r="DT252" s="1214"/>
      <c r="DU252" s="1214"/>
      <c r="DV252" s="1214"/>
      <c r="DW252" s="1214"/>
      <c r="DX252" s="1214"/>
      <c r="DY252" s="1214"/>
      <c r="DZ252" s="1214"/>
      <c r="EA252" s="1214"/>
      <c r="EB252" s="1214"/>
      <c r="EC252" s="1214"/>
      <c r="ED252" s="1214"/>
      <c r="EE252" s="1214"/>
      <c r="EF252" s="1214"/>
      <c r="EG252" s="1214"/>
      <c r="EH252" s="1214"/>
      <c r="EI252" s="1214"/>
      <c r="EJ252" s="1214"/>
      <c r="EK252" s="1214"/>
      <c r="EL252" s="1214"/>
      <c r="EM252" s="1214"/>
      <c r="EN252" s="1214"/>
      <c r="EO252" s="1214"/>
      <c r="EP252" s="1214"/>
      <c r="EQ252" s="1214"/>
      <c r="ER252" s="1214"/>
      <c r="ES252" s="1214"/>
      <c r="ET252" s="1214"/>
      <c r="EU252" s="1214"/>
      <c r="EV252" s="1214"/>
      <c r="EW252" s="1214"/>
      <c r="EX252" s="1214"/>
      <c r="EY252" s="1214"/>
      <c r="EZ252" s="1214"/>
      <c r="FA252" s="1214"/>
      <c r="FB252" s="1214"/>
      <c r="FC252" s="1214"/>
      <c r="FD252" s="1214"/>
      <c r="FE252" s="1214"/>
      <c r="FF252" s="1214"/>
      <c r="FG252" s="1214"/>
      <c r="FH252" s="1214"/>
      <c r="FI252" s="1214"/>
      <c r="FJ252" s="1214"/>
      <c r="FK252" s="1214"/>
      <c r="FL252" s="1214"/>
      <c r="FM252" s="1214"/>
      <c r="FN252" s="1214"/>
      <c r="FO252" s="1214"/>
      <c r="FP252" s="1213"/>
      <c r="FQ252" s="1213"/>
      <c r="FR252" s="1213"/>
      <c r="FS252" s="1213"/>
      <c r="FT252" s="1213"/>
      <c r="FU252" s="1213"/>
      <c r="FV252" s="1213"/>
      <c r="FW252" s="1213"/>
      <c r="FX252" s="1213"/>
      <c r="FY252" s="1213"/>
    </row>
    <row r="253" spans="1:181" s="1211" customFormat="1">
      <c r="A253" s="1212"/>
      <c r="B253" s="1212"/>
      <c r="F253" s="1219"/>
      <c r="I253" s="1218"/>
      <c r="L253" s="3"/>
      <c r="M253" s="3"/>
      <c r="N253" s="1214"/>
      <c r="O253" s="1214"/>
      <c r="P253" s="1214"/>
      <c r="Q253" s="1214"/>
      <c r="R253" s="1214"/>
      <c r="S253" s="1214"/>
      <c r="T253" s="1214"/>
      <c r="U253" s="1214"/>
      <c r="V253" s="1214"/>
      <c r="W253" s="1214"/>
      <c r="X253" s="1214"/>
      <c r="Y253" s="1214"/>
      <c r="Z253" s="1214"/>
      <c r="AA253" s="1214"/>
      <c r="AB253" s="1214"/>
      <c r="AC253" s="1214"/>
      <c r="AD253" s="1214"/>
      <c r="AE253" s="1214"/>
      <c r="AF253" s="1214"/>
      <c r="AG253" s="1214"/>
      <c r="AH253" s="1214"/>
      <c r="AI253" s="1214"/>
      <c r="AJ253" s="1214"/>
      <c r="AK253" s="1214"/>
      <c r="AL253" s="1214"/>
      <c r="AM253" s="1214"/>
      <c r="AN253" s="1214"/>
      <c r="AO253" s="1214"/>
      <c r="AP253" s="1214"/>
      <c r="AQ253" s="1214"/>
      <c r="AR253" s="1214"/>
      <c r="AS253" s="1214"/>
      <c r="AT253" s="1214"/>
      <c r="AU253" s="1214"/>
      <c r="AV253" s="1214"/>
      <c r="AW253" s="1214"/>
      <c r="AX253" s="1214"/>
      <c r="AY253" s="1214"/>
      <c r="AZ253" s="1214"/>
      <c r="BA253" s="1214"/>
      <c r="BB253" s="1214"/>
      <c r="BC253" s="1214"/>
      <c r="BD253" s="1214"/>
      <c r="BE253" s="1214"/>
      <c r="BF253" s="1214"/>
      <c r="BG253" s="1214"/>
      <c r="BH253" s="1214"/>
      <c r="BI253" s="1214"/>
      <c r="BJ253" s="1214"/>
      <c r="BK253" s="1214"/>
      <c r="BL253" s="1214"/>
      <c r="BM253" s="1214"/>
      <c r="BN253" s="1214"/>
      <c r="BO253" s="1214"/>
      <c r="BP253" s="1214"/>
      <c r="BQ253" s="1214"/>
      <c r="BR253" s="1214"/>
      <c r="BS253" s="1214"/>
      <c r="BT253" s="1214"/>
      <c r="BU253" s="1214"/>
      <c r="BV253" s="1214"/>
      <c r="BW253" s="1214"/>
      <c r="BX253" s="1214"/>
      <c r="BY253" s="1214"/>
      <c r="BZ253" s="1214"/>
      <c r="CA253" s="1214"/>
      <c r="CB253" s="1214"/>
      <c r="CC253" s="1214"/>
      <c r="CD253" s="1214"/>
      <c r="CE253" s="1214"/>
      <c r="CF253" s="1214"/>
      <c r="CG253" s="1214"/>
      <c r="CH253" s="1214"/>
      <c r="CI253" s="1214"/>
      <c r="CJ253" s="1214"/>
      <c r="CK253" s="1214"/>
      <c r="CL253" s="1214"/>
      <c r="CM253" s="1214"/>
      <c r="CN253" s="1214"/>
      <c r="CO253" s="1214"/>
      <c r="CP253" s="1214"/>
      <c r="CQ253" s="1214"/>
      <c r="CR253" s="1214"/>
      <c r="CS253" s="1214"/>
      <c r="CT253" s="1214"/>
      <c r="CU253" s="1214"/>
      <c r="CV253" s="1214"/>
      <c r="CW253" s="1214"/>
      <c r="CX253" s="1214"/>
      <c r="CY253" s="1214"/>
      <c r="CZ253" s="1214"/>
      <c r="DA253" s="1214"/>
      <c r="DB253" s="1214"/>
      <c r="DC253" s="1214"/>
      <c r="DD253" s="1214"/>
      <c r="DE253" s="1214"/>
      <c r="DF253" s="1214"/>
      <c r="DG253" s="1214"/>
      <c r="DH253" s="1214"/>
      <c r="DI253" s="1214"/>
      <c r="DJ253" s="1214"/>
      <c r="DK253" s="1214"/>
      <c r="DL253" s="1214"/>
      <c r="DM253" s="1214"/>
      <c r="DN253" s="1214"/>
      <c r="DO253" s="1214"/>
      <c r="DP253" s="1214"/>
      <c r="DQ253" s="1214"/>
      <c r="DR253" s="1214"/>
      <c r="DS253" s="1214"/>
      <c r="DT253" s="1214"/>
      <c r="DU253" s="1214"/>
      <c r="DV253" s="1214"/>
      <c r="DW253" s="1214"/>
      <c r="DX253" s="1214"/>
      <c r="DY253" s="1214"/>
      <c r="DZ253" s="1214"/>
      <c r="EA253" s="1214"/>
      <c r="EB253" s="1214"/>
      <c r="EC253" s="1214"/>
      <c r="ED253" s="1214"/>
      <c r="EE253" s="1214"/>
      <c r="EF253" s="1214"/>
      <c r="EG253" s="1214"/>
      <c r="EH253" s="1214"/>
      <c r="EI253" s="1214"/>
      <c r="EJ253" s="1214"/>
      <c r="EK253" s="1214"/>
      <c r="EL253" s="1214"/>
      <c r="EM253" s="1214"/>
      <c r="EN253" s="1214"/>
      <c r="EO253" s="1214"/>
      <c r="EP253" s="1214"/>
      <c r="EQ253" s="1214"/>
      <c r="ER253" s="1214"/>
      <c r="ES253" s="1214"/>
      <c r="ET253" s="1214"/>
      <c r="EU253" s="1214"/>
      <c r="EV253" s="1214"/>
      <c r="EW253" s="1214"/>
      <c r="EX253" s="1214"/>
      <c r="EY253" s="1214"/>
      <c r="EZ253" s="1214"/>
      <c r="FA253" s="1214"/>
      <c r="FB253" s="1214"/>
      <c r="FC253" s="1214"/>
      <c r="FD253" s="1214"/>
      <c r="FE253" s="1214"/>
      <c r="FF253" s="1214"/>
      <c r="FG253" s="1214"/>
      <c r="FH253" s="1214"/>
      <c r="FI253" s="1214"/>
      <c r="FJ253" s="1214"/>
      <c r="FK253" s="1214"/>
      <c r="FL253" s="1214"/>
      <c r="FM253" s="1214"/>
      <c r="FN253" s="1214"/>
      <c r="FO253" s="1214"/>
      <c r="FP253" s="1213"/>
      <c r="FQ253" s="1213"/>
      <c r="FR253" s="1213"/>
      <c r="FS253" s="1213"/>
      <c r="FT253" s="1213"/>
      <c r="FU253" s="1213"/>
      <c r="FV253" s="1213"/>
      <c r="FW253" s="1213"/>
      <c r="FX253" s="1213"/>
      <c r="FY253" s="1213"/>
    </row>
    <row r="254" spans="1:181" s="1211" customFormat="1">
      <c r="A254" s="1212"/>
      <c r="B254" s="1212"/>
      <c r="F254" s="1217"/>
      <c r="I254" s="1218"/>
      <c r="L254" s="3"/>
      <c r="M254" s="3"/>
      <c r="N254" s="1214"/>
      <c r="O254" s="1214"/>
      <c r="P254" s="1214"/>
      <c r="Q254" s="1214"/>
      <c r="R254" s="1214"/>
      <c r="S254" s="1214"/>
      <c r="T254" s="1214"/>
      <c r="U254" s="1214"/>
      <c r="V254" s="1214"/>
      <c r="W254" s="1214"/>
      <c r="X254" s="1214"/>
      <c r="Y254" s="1214"/>
      <c r="Z254" s="1214"/>
      <c r="AA254" s="1214"/>
      <c r="AB254" s="1214"/>
      <c r="AC254" s="1214"/>
      <c r="AD254" s="1214"/>
      <c r="AE254" s="1214"/>
      <c r="AF254" s="1214"/>
      <c r="AG254" s="1214"/>
      <c r="AH254" s="1214"/>
      <c r="AI254" s="1214"/>
      <c r="AJ254" s="1214"/>
      <c r="AK254" s="1214"/>
      <c r="AL254" s="1214"/>
      <c r="AM254" s="1214"/>
      <c r="AN254" s="1214"/>
      <c r="AO254" s="1214"/>
      <c r="AP254" s="1214"/>
      <c r="AQ254" s="1214"/>
      <c r="AR254" s="1214"/>
      <c r="AS254" s="1214"/>
      <c r="AT254" s="1214"/>
      <c r="AU254" s="1214"/>
      <c r="AV254" s="1214"/>
      <c r="AW254" s="1214"/>
      <c r="AX254" s="1214"/>
      <c r="AY254" s="1214"/>
      <c r="AZ254" s="1214"/>
      <c r="BA254" s="1214"/>
      <c r="BB254" s="1214"/>
      <c r="BC254" s="1214"/>
      <c r="BD254" s="1214"/>
      <c r="BE254" s="1214"/>
      <c r="BF254" s="1214"/>
      <c r="BG254" s="1214"/>
      <c r="BH254" s="1214"/>
      <c r="BI254" s="1214"/>
      <c r="BJ254" s="1214"/>
      <c r="BK254" s="1214"/>
      <c r="BL254" s="1214"/>
      <c r="BM254" s="1214"/>
      <c r="BN254" s="1214"/>
      <c r="BO254" s="1214"/>
      <c r="BP254" s="1214"/>
      <c r="BQ254" s="1214"/>
      <c r="BR254" s="1214"/>
      <c r="BS254" s="1214"/>
      <c r="BT254" s="1214"/>
      <c r="BU254" s="1214"/>
      <c r="BV254" s="1214"/>
      <c r="BW254" s="1214"/>
      <c r="BX254" s="1214"/>
      <c r="BY254" s="1214"/>
      <c r="BZ254" s="1214"/>
      <c r="CA254" s="1214"/>
      <c r="CB254" s="1214"/>
      <c r="CC254" s="1214"/>
      <c r="CD254" s="1214"/>
      <c r="CE254" s="1214"/>
      <c r="CF254" s="1214"/>
      <c r="CG254" s="1214"/>
      <c r="CH254" s="1214"/>
      <c r="CI254" s="1214"/>
      <c r="CJ254" s="1214"/>
      <c r="CK254" s="1214"/>
      <c r="CL254" s="1214"/>
      <c r="CM254" s="1214"/>
      <c r="CN254" s="1214"/>
      <c r="CO254" s="1214"/>
      <c r="CP254" s="1214"/>
      <c r="CQ254" s="1214"/>
      <c r="CR254" s="1214"/>
      <c r="CS254" s="1214"/>
      <c r="CT254" s="1214"/>
      <c r="CU254" s="1214"/>
      <c r="CV254" s="1214"/>
      <c r="CW254" s="1214"/>
      <c r="CX254" s="1214"/>
      <c r="CY254" s="1214"/>
      <c r="CZ254" s="1214"/>
      <c r="DA254" s="1214"/>
      <c r="DB254" s="1214"/>
      <c r="DC254" s="1214"/>
      <c r="DD254" s="1214"/>
      <c r="DE254" s="1214"/>
      <c r="DF254" s="1214"/>
      <c r="DG254" s="1214"/>
      <c r="DH254" s="1214"/>
      <c r="DI254" s="1214"/>
      <c r="DJ254" s="1214"/>
      <c r="DK254" s="1214"/>
      <c r="DL254" s="1214"/>
      <c r="DM254" s="1214"/>
      <c r="DN254" s="1214"/>
      <c r="DO254" s="1214"/>
      <c r="DP254" s="1214"/>
      <c r="DQ254" s="1214"/>
      <c r="DR254" s="1214"/>
      <c r="DS254" s="1214"/>
      <c r="DT254" s="1214"/>
      <c r="DU254" s="1214"/>
      <c r="DV254" s="1214"/>
      <c r="DW254" s="1214"/>
      <c r="DX254" s="1214"/>
      <c r="DY254" s="1214"/>
      <c r="DZ254" s="1214"/>
      <c r="EA254" s="1214"/>
      <c r="EB254" s="1214"/>
      <c r="EC254" s="1214"/>
      <c r="ED254" s="1214"/>
      <c r="EE254" s="1214"/>
      <c r="EF254" s="1214"/>
      <c r="EG254" s="1214"/>
      <c r="EH254" s="1214"/>
      <c r="EI254" s="1214"/>
      <c r="EJ254" s="1214"/>
      <c r="EK254" s="1214"/>
      <c r="EL254" s="1214"/>
      <c r="EM254" s="1214"/>
      <c r="EN254" s="1214"/>
      <c r="EO254" s="1214"/>
      <c r="EP254" s="1214"/>
      <c r="EQ254" s="1214"/>
      <c r="ER254" s="1214"/>
      <c r="ES254" s="1214"/>
      <c r="ET254" s="1214"/>
      <c r="EU254" s="1214"/>
      <c r="EV254" s="1214"/>
      <c r="EW254" s="1214"/>
      <c r="EX254" s="1214"/>
      <c r="EY254" s="1214"/>
      <c r="EZ254" s="1214"/>
      <c r="FA254" s="1214"/>
      <c r="FB254" s="1214"/>
      <c r="FC254" s="1214"/>
      <c r="FD254" s="1214"/>
      <c r="FE254" s="1214"/>
      <c r="FF254" s="1214"/>
      <c r="FG254" s="1214"/>
      <c r="FH254" s="1214"/>
      <c r="FI254" s="1214"/>
      <c r="FJ254" s="1214"/>
      <c r="FK254" s="1214"/>
      <c r="FL254" s="1214"/>
      <c r="FM254" s="1214"/>
      <c r="FN254" s="1214"/>
      <c r="FO254" s="1214"/>
      <c r="FP254" s="1213"/>
      <c r="FQ254" s="1213"/>
      <c r="FR254" s="1213"/>
      <c r="FS254" s="1213"/>
      <c r="FT254" s="1213"/>
      <c r="FU254" s="1213"/>
      <c r="FV254" s="1213"/>
      <c r="FW254" s="1213"/>
      <c r="FX254" s="1213"/>
      <c r="FY254" s="1213"/>
    </row>
    <row r="255" spans="1:181" s="1211" customFormat="1">
      <c r="A255" s="1212"/>
      <c r="B255" s="1212"/>
      <c r="F255" s="1217"/>
      <c r="I255" s="1215"/>
      <c r="L255" s="3"/>
      <c r="M255" s="3"/>
      <c r="N255" s="1214"/>
      <c r="O255" s="1214"/>
      <c r="P255" s="1214"/>
      <c r="Q255" s="1214"/>
      <c r="R255" s="1214"/>
      <c r="S255" s="1214"/>
      <c r="T255" s="1214"/>
      <c r="U255" s="1214"/>
      <c r="V255" s="1214"/>
      <c r="W255" s="1214"/>
      <c r="X255" s="1214"/>
      <c r="Y255" s="1214"/>
      <c r="Z255" s="1214"/>
      <c r="AA255" s="1214"/>
      <c r="AB255" s="1214"/>
      <c r="AC255" s="1214"/>
      <c r="AD255" s="1214"/>
      <c r="AE255" s="1214"/>
      <c r="AF255" s="1214"/>
      <c r="AG255" s="1214"/>
      <c r="AH255" s="1214"/>
      <c r="AI255" s="1214"/>
      <c r="AJ255" s="1214"/>
      <c r="AK255" s="1214"/>
      <c r="AL255" s="1214"/>
      <c r="AM255" s="1214"/>
      <c r="AN255" s="1214"/>
      <c r="AO255" s="1214"/>
      <c r="AP255" s="1214"/>
      <c r="AQ255" s="1214"/>
      <c r="AR255" s="1214"/>
      <c r="AS255" s="1214"/>
      <c r="AT255" s="1214"/>
      <c r="AU255" s="1214"/>
      <c r="AV255" s="1214"/>
      <c r="AW255" s="1214"/>
      <c r="AX255" s="1214"/>
      <c r="AY255" s="1214"/>
      <c r="AZ255" s="1214"/>
      <c r="BA255" s="1214"/>
      <c r="BB255" s="1214"/>
      <c r="BC255" s="1214"/>
      <c r="BD255" s="1214"/>
      <c r="BE255" s="1214"/>
      <c r="BF255" s="1214"/>
      <c r="BG255" s="1214"/>
      <c r="BH255" s="1214"/>
      <c r="BI255" s="1214"/>
      <c r="BJ255" s="1214"/>
      <c r="BK255" s="1214"/>
      <c r="BL255" s="1214"/>
      <c r="BM255" s="1214"/>
      <c r="BN255" s="1214"/>
      <c r="BO255" s="1214"/>
      <c r="BP255" s="1214"/>
      <c r="BQ255" s="1214"/>
      <c r="BR255" s="1214"/>
      <c r="BS255" s="1214"/>
      <c r="BT255" s="1214"/>
      <c r="BU255" s="1214"/>
      <c r="BV255" s="1214"/>
      <c r="BW255" s="1214"/>
      <c r="BX255" s="1214"/>
      <c r="BY255" s="1214"/>
      <c r="BZ255" s="1214"/>
      <c r="CA255" s="1214"/>
      <c r="CB255" s="1214"/>
      <c r="CC255" s="1214"/>
      <c r="CD255" s="1214"/>
      <c r="CE255" s="1214"/>
      <c r="CF255" s="1214"/>
      <c r="CG255" s="1214"/>
      <c r="CH255" s="1214"/>
      <c r="CI255" s="1214"/>
      <c r="CJ255" s="1214"/>
      <c r="CK255" s="1214"/>
      <c r="CL255" s="1214"/>
      <c r="CM255" s="1214"/>
      <c r="CN255" s="1214"/>
      <c r="CO255" s="1214"/>
      <c r="CP255" s="1214"/>
      <c r="CQ255" s="1214"/>
      <c r="CR255" s="1214"/>
      <c r="CS255" s="1214"/>
      <c r="CT255" s="1214"/>
      <c r="CU255" s="1214"/>
      <c r="CV255" s="1214"/>
      <c r="CW255" s="1214"/>
      <c r="CX255" s="1214"/>
      <c r="CY255" s="1214"/>
      <c r="CZ255" s="1214"/>
      <c r="DA255" s="1214"/>
      <c r="DB255" s="1214"/>
      <c r="DC255" s="1214"/>
      <c r="DD255" s="1214"/>
      <c r="DE255" s="1214"/>
      <c r="DF255" s="1214"/>
      <c r="DG255" s="1214"/>
      <c r="DH255" s="1214"/>
      <c r="DI255" s="1214"/>
      <c r="DJ255" s="1214"/>
      <c r="DK255" s="1214"/>
      <c r="DL255" s="1214"/>
      <c r="DM255" s="1214"/>
      <c r="DN255" s="1214"/>
      <c r="DO255" s="1214"/>
      <c r="DP255" s="1214"/>
      <c r="DQ255" s="1214"/>
      <c r="DR255" s="1214"/>
      <c r="DS255" s="1214"/>
      <c r="DT255" s="1214"/>
      <c r="DU255" s="1214"/>
      <c r="DV255" s="1214"/>
      <c r="DW255" s="1214"/>
      <c r="DX255" s="1214"/>
      <c r="DY255" s="1214"/>
      <c r="DZ255" s="1214"/>
      <c r="EA255" s="1214"/>
      <c r="EB255" s="1214"/>
      <c r="EC255" s="1214"/>
      <c r="ED255" s="1214"/>
      <c r="EE255" s="1214"/>
      <c r="EF255" s="1214"/>
      <c r="EG255" s="1214"/>
      <c r="EH255" s="1214"/>
      <c r="EI255" s="1214"/>
      <c r="EJ255" s="1214"/>
      <c r="EK255" s="1214"/>
      <c r="EL255" s="1214"/>
      <c r="EM255" s="1214"/>
      <c r="EN255" s="1214"/>
      <c r="EO255" s="1214"/>
      <c r="EP255" s="1214"/>
      <c r="EQ255" s="1214"/>
      <c r="ER255" s="1214"/>
      <c r="ES255" s="1214"/>
      <c r="ET255" s="1214"/>
      <c r="EU255" s="1214"/>
      <c r="EV255" s="1214"/>
      <c r="EW255" s="1214"/>
      <c r="EX255" s="1214"/>
      <c r="EY255" s="1214"/>
      <c r="EZ255" s="1214"/>
      <c r="FA255" s="1214"/>
      <c r="FB255" s="1214"/>
      <c r="FC255" s="1214"/>
      <c r="FD255" s="1214"/>
      <c r="FE255" s="1214"/>
      <c r="FF255" s="1214"/>
      <c r="FG255" s="1214"/>
      <c r="FH255" s="1214"/>
      <c r="FI255" s="1214"/>
      <c r="FJ255" s="1214"/>
      <c r="FK255" s="1214"/>
      <c r="FL255" s="1214"/>
      <c r="FM255" s="1214"/>
      <c r="FN255" s="1214"/>
      <c r="FO255" s="1214"/>
      <c r="FP255" s="1213"/>
      <c r="FQ255" s="1213"/>
      <c r="FR255" s="1213"/>
      <c r="FS255" s="1213"/>
      <c r="FT255" s="1213"/>
      <c r="FU255" s="1213"/>
      <c r="FV255" s="1213"/>
      <c r="FW255" s="1213"/>
      <c r="FX255" s="1213"/>
      <c r="FY255" s="1213"/>
    </row>
    <row r="256" spans="1:181" s="1211" customFormat="1">
      <c r="A256" s="1212"/>
      <c r="B256" s="1212"/>
      <c r="I256" s="1215"/>
      <c r="L256" s="3"/>
      <c r="M256" s="3"/>
      <c r="N256" s="1214"/>
      <c r="O256" s="1214"/>
      <c r="P256" s="1214"/>
      <c r="Q256" s="1214"/>
      <c r="R256" s="1214"/>
      <c r="S256" s="1214"/>
      <c r="T256" s="1214"/>
      <c r="U256" s="1214"/>
      <c r="V256" s="1214"/>
      <c r="W256" s="1214"/>
      <c r="X256" s="1214"/>
      <c r="Y256" s="1214"/>
      <c r="Z256" s="1214"/>
      <c r="AA256" s="1214"/>
      <c r="AB256" s="1214"/>
      <c r="AC256" s="1214"/>
      <c r="AD256" s="1214"/>
      <c r="AE256" s="1214"/>
      <c r="AF256" s="1214"/>
      <c r="AG256" s="1214"/>
      <c r="AH256" s="1214"/>
      <c r="AI256" s="1214"/>
      <c r="AJ256" s="1214"/>
      <c r="AK256" s="1214"/>
      <c r="AL256" s="1214"/>
      <c r="AM256" s="1214"/>
      <c r="AN256" s="1214"/>
      <c r="AO256" s="1214"/>
      <c r="AP256" s="1214"/>
      <c r="AQ256" s="1214"/>
      <c r="AR256" s="1214"/>
      <c r="AS256" s="1214"/>
      <c r="AT256" s="1214"/>
      <c r="AU256" s="1214"/>
      <c r="AV256" s="1214"/>
      <c r="AW256" s="1214"/>
      <c r="AX256" s="1214"/>
      <c r="AY256" s="1214"/>
      <c r="AZ256" s="1214"/>
      <c r="BA256" s="1214"/>
      <c r="BB256" s="1214"/>
      <c r="BC256" s="1214"/>
      <c r="BD256" s="1214"/>
      <c r="BE256" s="1214"/>
      <c r="BF256" s="1214"/>
      <c r="BG256" s="1214"/>
      <c r="BH256" s="1214"/>
      <c r="BI256" s="1214"/>
      <c r="BJ256" s="1214"/>
      <c r="BK256" s="1214"/>
      <c r="BL256" s="1214"/>
      <c r="BM256" s="1214"/>
      <c r="BN256" s="1214"/>
      <c r="BO256" s="1214"/>
      <c r="BP256" s="1214"/>
      <c r="BQ256" s="1214"/>
      <c r="BR256" s="1214"/>
      <c r="BS256" s="1214"/>
      <c r="BT256" s="1214"/>
      <c r="BU256" s="1214"/>
      <c r="BV256" s="1214"/>
      <c r="BW256" s="1214"/>
      <c r="BX256" s="1214"/>
      <c r="BY256" s="1214"/>
      <c r="BZ256" s="1214"/>
      <c r="CA256" s="1214"/>
      <c r="CB256" s="1214"/>
      <c r="CC256" s="1214"/>
      <c r="CD256" s="1214"/>
      <c r="CE256" s="1214"/>
      <c r="CF256" s="1214"/>
      <c r="CG256" s="1214"/>
      <c r="CH256" s="1214"/>
      <c r="CI256" s="1214"/>
      <c r="CJ256" s="1214"/>
      <c r="CK256" s="1214"/>
      <c r="CL256" s="1214"/>
      <c r="CM256" s="1214"/>
      <c r="CN256" s="1214"/>
      <c r="CO256" s="1214"/>
      <c r="CP256" s="1214"/>
      <c r="CQ256" s="1214"/>
      <c r="CR256" s="1214"/>
      <c r="CS256" s="1214"/>
      <c r="CT256" s="1214"/>
      <c r="CU256" s="1214"/>
      <c r="CV256" s="1214"/>
      <c r="CW256" s="1214"/>
      <c r="CX256" s="1214"/>
      <c r="CY256" s="1214"/>
      <c r="CZ256" s="1214"/>
      <c r="DA256" s="1214"/>
      <c r="DB256" s="1214"/>
      <c r="DC256" s="1214"/>
      <c r="DD256" s="1214"/>
      <c r="DE256" s="1214"/>
      <c r="DF256" s="1214"/>
      <c r="DG256" s="1214"/>
      <c r="DH256" s="1214"/>
      <c r="DI256" s="1214"/>
      <c r="DJ256" s="1214"/>
      <c r="DK256" s="1214"/>
      <c r="DL256" s="1214"/>
      <c r="DM256" s="1214"/>
      <c r="DN256" s="1214"/>
      <c r="DO256" s="1214"/>
      <c r="DP256" s="1214"/>
      <c r="DQ256" s="1214"/>
      <c r="DR256" s="1214"/>
      <c r="DS256" s="1214"/>
      <c r="DT256" s="1214"/>
      <c r="DU256" s="1214"/>
      <c r="DV256" s="1214"/>
      <c r="DW256" s="1214"/>
      <c r="DX256" s="1214"/>
      <c r="DY256" s="1214"/>
      <c r="DZ256" s="1214"/>
      <c r="EA256" s="1214"/>
      <c r="EB256" s="1214"/>
      <c r="EC256" s="1214"/>
      <c r="ED256" s="1214"/>
      <c r="EE256" s="1214"/>
      <c r="EF256" s="1214"/>
      <c r="EG256" s="1214"/>
      <c r="EH256" s="1214"/>
      <c r="EI256" s="1214"/>
      <c r="EJ256" s="1214"/>
      <c r="EK256" s="1214"/>
      <c r="EL256" s="1214"/>
      <c r="EM256" s="1214"/>
      <c r="EN256" s="1214"/>
      <c r="EO256" s="1214"/>
      <c r="EP256" s="1214"/>
      <c r="EQ256" s="1214"/>
      <c r="ER256" s="1214"/>
      <c r="ES256" s="1214"/>
      <c r="ET256" s="1214"/>
      <c r="EU256" s="1214"/>
      <c r="EV256" s="1214"/>
      <c r="EW256" s="1214"/>
      <c r="EX256" s="1214"/>
      <c r="EY256" s="1214"/>
      <c r="EZ256" s="1214"/>
      <c r="FA256" s="1214"/>
      <c r="FB256" s="1214"/>
      <c r="FC256" s="1214"/>
      <c r="FD256" s="1214"/>
      <c r="FE256" s="1214"/>
      <c r="FF256" s="1214"/>
      <c r="FG256" s="1214"/>
      <c r="FH256" s="1214"/>
      <c r="FI256" s="1214"/>
      <c r="FJ256" s="1214"/>
      <c r="FK256" s="1214"/>
      <c r="FL256" s="1214"/>
      <c r="FM256" s="1214"/>
      <c r="FN256" s="1214"/>
      <c r="FO256" s="1214"/>
      <c r="FP256" s="1213"/>
      <c r="FQ256" s="1213"/>
      <c r="FR256" s="1213"/>
      <c r="FS256" s="1213"/>
      <c r="FT256" s="1213"/>
      <c r="FU256" s="1213"/>
      <c r="FV256" s="1213"/>
      <c r="FW256" s="1213"/>
      <c r="FX256" s="1213"/>
      <c r="FY256" s="1213"/>
    </row>
    <row r="257" spans="1:181" s="1211" customFormat="1">
      <c r="A257" s="1212"/>
      <c r="B257" s="1212"/>
      <c r="F257" s="1217"/>
      <c r="I257" s="1221"/>
      <c r="L257" s="3"/>
      <c r="M257" s="3"/>
      <c r="N257" s="1214"/>
      <c r="O257" s="1214"/>
      <c r="P257" s="1214"/>
      <c r="Q257" s="1214"/>
      <c r="R257" s="1214"/>
      <c r="S257" s="1214"/>
      <c r="T257" s="1214"/>
      <c r="U257" s="1214"/>
      <c r="V257" s="1214"/>
      <c r="W257" s="1214"/>
      <c r="X257" s="1214"/>
      <c r="Y257" s="1214"/>
      <c r="Z257" s="1214"/>
      <c r="AA257" s="1214"/>
      <c r="AB257" s="1214"/>
      <c r="AC257" s="1214"/>
      <c r="AD257" s="1214"/>
      <c r="AE257" s="1214"/>
      <c r="AF257" s="1214"/>
      <c r="AG257" s="1214"/>
      <c r="AH257" s="1214"/>
      <c r="AI257" s="1214"/>
      <c r="AJ257" s="1214"/>
      <c r="AK257" s="1214"/>
      <c r="AL257" s="1214"/>
      <c r="AM257" s="1214"/>
      <c r="AN257" s="1214"/>
      <c r="AO257" s="1214"/>
      <c r="AP257" s="1214"/>
      <c r="AQ257" s="1214"/>
      <c r="AR257" s="1214"/>
      <c r="AS257" s="1214"/>
      <c r="AT257" s="1214"/>
      <c r="AU257" s="1214"/>
      <c r="AV257" s="1214"/>
      <c r="AW257" s="1214"/>
      <c r="AX257" s="1214"/>
      <c r="AY257" s="1214"/>
      <c r="AZ257" s="1214"/>
      <c r="BA257" s="1214"/>
      <c r="BB257" s="1214"/>
      <c r="BC257" s="1214"/>
      <c r="BD257" s="1214"/>
      <c r="BE257" s="1214"/>
      <c r="BF257" s="1214"/>
      <c r="BG257" s="1214"/>
      <c r="BH257" s="1214"/>
      <c r="BI257" s="1214"/>
      <c r="BJ257" s="1214"/>
      <c r="BK257" s="1214"/>
      <c r="BL257" s="1214"/>
      <c r="BM257" s="1214"/>
      <c r="BN257" s="1214"/>
      <c r="BO257" s="1214"/>
      <c r="BP257" s="1214"/>
      <c r="BQ257" s="1214"/>
      <c r="BR257" s="1214"/>
      <c r="BS257" s="1214"/>
      <c r="BT257" s="1214"/>
      <c r="BU257" s="1214"/>
      <c r="BV257" s="1214"/>
      <c r="BW257" s="1214"/>
      <c r="BX257" s="1214"/>
      <c r="BY257" s="1214"/>
      <c r="BZ257" s="1214"/>
      <c r="CA257" s="1214"/>
      <c r="CB257" s="1214"/>
      <c r="CC257" s="1214"/>
      <c r="CD257" s="1214"/>
      <c r="CE257" s="1214"/>
      <c r="CF257" s="1214"/>
      <c r="CG257" s="1214"/>
      <c r="CH257" s="1214"/>
      <c r="CI257" s="1214"/>
      <c r="CJ257" s="1214"/>
      <c r="CK257" s="1214"/>
      <c r="CL257" s="1214"/>
      <c r="CM257" s="1214"/>
      <c r="CN257" s="1214"/>
      <c r="CO257" s="1214"/>
      <c r="CP257" s="1214"/>
      <c r="CQ257" s="1214"/>
      <c r="CR257" s="1214"/>
      <c r="CS257" s="1214"/>
      <c r="CT257" s="1214"/>
      <c r="CU257" s="1214"/>
      <c r="CV257" s="1214"/>
      <c r="CW257" s="1214"/>
      <c r="CX257" s="1214"/>
      <c r="CY257" s="1214"/>
      <c r="CZ257" s="1214"/>
      <c r="DA257" s="1214"/>
      <c r="DB257" s="1214"/>
      <c r="DC257" s="1214"/>
      <c r="DD257" s="1214"/>
      <c r="DE257" s="1214"/>
      <c r="DF257" s="1214"/>
      <c r="DG257" s="1214"/>
      <c r="DH257" s="1214"/>
      <c r="DI257" s="1214"/>
      <c r="DJ257" s="1214"/>
      <c r="DK257" s="1214"/>
      <c r="DL257" s="1214"/>
      <c r="DM257" s="1214"/>
      <c r="DN257" s="1214"/>
      <c r="DO257" s="1214"/>
      <c r="DP257" s="1214"/>
      <c r="DQ257" s="1214"/>
      <c r="DR257" s="1214"/>
      <c r="DS257" s="1214"/>
      <c r="DT257" s="1214"/>
      <c r="DU257" s="1214"/>
      <c r="DV257" s="1214"/>
      <c r="DW257" s="1214"/>
      <c r="DX257" s="1214"/>
      <c r="DY257" s="1214"/>
      <c r="DZ257" s="1214"/>
      <c r="EA257" s="1214"/>
      <c r="EB257" s="1214"/>
      <c r="EC257" s="1214"/>
      <c r="ED257" s="1214"/>
      <c r="EE257" s="1214"/>
      <c r="EF257" s="1214"/>
      <c r="EG257" s="1214"/>
      <c r="EH257" s="1214"/>
      <c r="EI257" s="1214"/>
      <c r="EJ257" s="1214"/>
      <c r="EK257" s="1214"/>
      <c r="EL257" s="1214"/>
      <c r="EM257" s="1214"/>
      <c r="EN257" s="1214"/>
      <c r="EO257" s="1214"/>
      <c r="EP257" s="1214"/>
      <c r="EQ257" s="1214"/>
      <c r="ER257" s="1214"/>
      <c r="ES257" s="1214"/>
      <c r="ET257" s="1214"/>
      <c r="EU257" s="1214"/>
      <c r="EV257" s="1214"/>
      <c r="EW257" s="1214"/>
      <c r="EX257" s="1214"/>
      <c r="EY257" s="1214"/>
      <c r="EZ257" s="1214"/>
      <c r="FA257" s="1214"/>
      <c r="FB257" s="1214"/>
      <c r="FC257" s="1214"/>
      <c r="FD257" s="1214"/>
      <c r="FE257" s="1214"/>
      <c r="FF257" s="1214"/>
      <c r="FG257" s="1214"/>
      <c r="FH257" s="1214"/>
      <c r="FI257" s="1214"/>
      <c r="FJ257" s="1214"/>
      <c r="FK257" s="1214"/>
      <c r="FL257" s="1214"/>
      <c r="FM257" s="1214"/>
      <c r="FN257" s="1214"/>
      <c r="FO257" s="1214"/>
      <c r="FP257" s="1213"/>
      <c r="FQ257" s="1213"/>
      <c r="FR257" s="1213"/>
      <c r="FS257" s="1213"/>
      <c r="FT257" s="1213"/>
      <c r="FU257" s="1213"/>
      <c r="FV257" s="1213"/>
      <c r="FW257" s="1213"/>
      <c r="FX257" s="1213"/>
      <c r="FY257" s="1213"/>
    </row>
    <row r="258" spans="1:181" s="1211" customFormat="1">
      <c r="A258" s="1212"/>
      <c r="B258" s="1212"/>
      <c r="I258" s="1215"/>
      <c r="L258" s="3"/>
      <c r="M258" s="3"/>
      <c r="N258" s="1214"/>
      <c r="O258" s="1214"/>
      <c r="P258" s="1214"/>
      <c r="Q258" s="1214"/>
      <c r="R258" s="1214"/>
      <c r="S258" s="1214"/>
      <c r="T258" s="1214"/>
      <c r="U258" s="1214"/>
      <c r="V258" s="1214"/>
      <c r="W258" s="1214"/>
      <c r="X258" s="1214"/>
      <c r="Y258" s="1214"/>
      <c r="Z258" s="1214"/>
      <c r="AA258" s="1214"/>
      <c r="AB258" s="1214"/>
      <c r="AC258" s="1214"/>
      <c r="AD258" s="1214"/>
      <c r="AE258" s="1214"/>
      <c r="AF258" s="1214"/>
      <c r="AG258" s="1214"/>
      <c r="AH258" s="1214"/>
      <c r="AI258" s="1214"/>
      <c r="AJ258" s="1214"/>
      <c r="AK258" s="1214"/>
      <c r="AL258" s="1214"/>
      <c r="AM258" s="1214"/>
      <c r="AN258" s="1214"/>
      <c r="AO258" s="1214"/>
      <c r="AP258" s="1214"/>
      <c r="AQ258" s="1214"/>
      <c r="AR258" s="1214"/>
      <c r="AS258" s="1214"/>
      <c r="AT258" s="1214"/>
      <c r="AU258" s="1214"/>
      <c r="AV258" s="1214"/>
      <c r="AW258" s="1214"/>
      <c r="AX258" s="1214"/>
      <c r="AY258" s="1214"/>
      <c r="AZ258" s="1214"/>
      <c r="BA258" s="1214"/>
      <c r="BB258" s="1214"/>
      <c r="BC258" s="1214"/>
      <c r="BD258" s="1214"/>
      <c r="BE258" s="1214"/>
      <c r="BF258" s="1214"/>
      <c r="BG258" s="1214"/>
      <c r="BH258" s="1214"/>
      <c r="BI258" s="1214"/>
      <c r="BJ258" s="1214"/>
      <c r="BK258" s="1214"/>
      <c r="BL258" s="1214"/>
      <c r="BM258" s="1214"/>
      <c r="BN258" s="1214"/>
      <c r="BO258" s="1214"/>
      <c r="BP258" s="1214"/>
      <c r="BQ258" s="1214"/>
      <c r="BR258" s="1214"/>
      <c r="BS258" s="1214"/>
      <c r="BT258" s="1214"/>
      <c r="BU258" s="1214"/>
      <c r="BV258" s="1214"/>
      <c r="BW258" s="1214"/>
      <c r="BX258" s="1214"/>
      <c r="BY258" s="1214"/>
      <c r="BZ258" s="1214"/>
      <c r="CA258" s="1214"/>
      <c r="CB258" s="1214"/>
      <c r="CC258" s="1214"/>
      <c r="CD258" s="1214"/>
      <c r="CE258" s="1214"/>
      <c r="CF258" s="1214"/>
      <c r="CG258" s="1214"/>
      <c r="CH258" s="1214"/>
      <c r="CI258" s="1214"/>
      <c r="CJ258" s="1214"/>
      <c r="CK258" s="1214"/>
      <c r="CL258" s="1214"/>
      <c r="CM258" s="1214"/>
      <c r="CN258" s="1214"/>
      <c r="CO258" s="1214"/>
      <c r="CP258" s="1214"/>
      <c r="CQ258" s="1214"/>
      <c r="CR258" s="1214"/>
      <c r="CS258" s="1214"/>
      <c r="CT258" s="1214"/>
      <c r="CU258" s="1214"/>
      <c r="CV258" s="1214"/>
      <c r="CW258" s="1214"/>
      <c r="CX258" s="1214"/>
      <c r="CY258" s="1214"/>
      <c r="CZ258" s="1214"/>
      <c r="DA258" s="1214"/>
      <c r="DB258" s="1214"/>
      <c r="DC258" s="1214"/>
      <c r="DD258" s="1214"/>
      <c r="DE258" s="1214"/>
      <c r="DF258" s="1214"/>
      <c r="DG258" s="1214"/>
      <c r="DH258" s="1214"/>
      <c r="DI258" s="1214"/>
      <c r="DJ258" s="1214"/>
      <c r="DK258" s="1214"/>
      <c r="DL258" s="1214"/>
      <c r="DM258" s="1214"/>
      <c r="DN258" s="1214"/>
      <c r="DO258" s="1214"/>
      <c r="DP258" s="1214"/>
      <c r="DQ258" s="1214"/>
      <c r="DR258" s="1214"/>
      <c r="DS258" s="1214"/>
      <c r="DT258" s="1214"/>
      <c r="DU258" s="1214"/>
      <c r="DV258" s="1214"/>
      <c r="DW258" s="1214"/>
      <c r="DX258" s="1214"/>
      <c r="DY258" s="1214"/>
      <c r="DZ258" s="1214"/>
      <c r="EA258" s="1214"/>
      <c r="EB258" s="1214"/>
      <c r="EC258" s="1214"/>
      <c r="ED258" s="1214"/>
      <c r="EE258" s="1214"/>
      <c r="EF258" s="1214"/>
      <c r="EG258" s="1214"/>
      <c r="EH258" s="1214"/>
      <c r="EI258" s="1214"/>
      <c r="EJ258" s="1214"/>
      <c r="EK258" s="1214"/>
      <c r="EL258" s="1214"/>
      <c r="EM258" s="1214"/>
      <c r="EN258" s="1214"/>
      <c r="EO258" s="1214"/>
      <c r="EP258" s="1214"/>
      <c r="EQ258" s="1214"/>
      <c r="ER258" s="1214"/>
      <c r="ES258" s="1214"/>
      <c r="ET258" s="1214"/>
      <c r="EU258" s="1214"/>
      <c r="EV258" s="1214"/>
      <c r="EW258" s="1214"/>
      <c r="EX258" s="1214"/>
      <c r="EY258" s="1214"/>
      <c r="EZ258" s="1214"/>
      <c r="FA258" s="1214"/>
      <c r="FB258" s="1214"/>
      <c r="FC258" s="1214"/>
      <c r="FD258" s="1214"/>
      <c r="FE258" s="1214"/>
      <c r="FF258" s="1214"/>
      <c r="FG258" s="1214"/>
      <c r="FH258" s="1214"/>
      <c r="FI258" s="1214"/>
      <c r="FJ258" s="1214"/>
      <c r="FK258" s="1214"/>
      <c r="FL258" s="1214"/>
      <c r="FM258" s="1214"/>
      <c r="FN258" s="1214"/>
      <c r="FO258" s="1214"/>
      <c r="FP258" s="1213"/>
      <c r="FQ258" s="1213"/>
      <c r="FR258" s="1213"/>
      <c r="FS258" s="1213"/>
      <c r="FT258" s="1213"/>
      <c r="FU258" s="1213"/>
      <c r="FV258" s="1213"/>
      <c r="FW258" s="1213"/>
      <c r="FX258" s="1213"/>
      <c r="FY258" s="1213"/>
    </row>
    <row r="259" spans="1:181" s="1211" customFormat="1">
      <c r="A259" s="1212"/>
      <c r="B259" s="1212"/>
      <c r="F259" s="1219"/>
      <c r="I259" s="1221"/>
      <c r="L259" s="3"/>
      <c r="M259" s="3"/>
      <c r="N259" s="1214"/>
      <c r="O259" s="1214"/>
      <c r="P259" s="1214"/>
      <c r="Q259" s="1214"/>
      <c r="R259" s="1214"/>
      <c r="S259" s="1214"/>
      <c r="T259" s="1214"/>
      <c r="U259" s="1214"/>
      <c r="V259" s="1214"/>
      <c r="W259" s="1214"/>
      <c r="X259" s="1214"/>
      <c r="Y259" s="1214"/>
      <c r="Z259" s="1214"/>
      <c r="AA259" s="1214"/>
      <c r="AB259" s="1214"/>
      <c r="AC259" s="1214"/>
      <c r="AD259" s="1214"/>
      <c r="AE259" s="1214"/>
      <c r="AF259" s="1214"/>
      <c r="AG259" s="1214"/>
      <c r="AH259" s="1214"/>
      <c r="AI259" s="1214"/>
      <c r="AJ259" s="1214"/>
      <c r="AK259" s="1214"/>
      <c r="AL259" s="1214"/>
      <c r="AM259" s="1214"/>
      <c r="AN259" s="1214"/>
      <c r="AO259" s="1214"/>
      <c r="AP259" s="1214"/>
      <c r="AQ259" s="1214"/>
      <c r="AR259" s="1214"/>
      <c r="AS259" s="1214"/>
      <c r="AT259" s="1214"/>
      <c r="AU259" s="1214"/>
      <c r="AV259" s="1214"/>
      <c r="AW259" s="1214"/>
      <c r="AX259" s="1214"/>
      <c r="AY259" s="1214"/>
      <c r="AZ259" s="1214"/>
      <c r="BA259" s="1214"/>
      <c r="BB259" s="1214"/>
      <c r="BC259" s="1214"/>
      <c r="BD259" s="1214"/>
      <c r="BE259" s="1214"/>
      <c r="BF259" s="1214"/>
      <c r="BG259" s="1214"/>
      <c r="BH259" s="1214"/>
      <c r="BI259" s="1214"/>
      <c r="BJ259" s="1214"/>
      <c r="BK259" s="1214"/>
      <c r="BL259" s="1214"/>
      <c r="BM259" s="1214"/>
      <c r="BN259" s="1214"/>
      <c r="BO259" s="1214"/>
      <c r="BP259" s="1214"/>
      <c r="BQ259" s="1214"/>
      <c r="BR259" s="1214"/>
      <c r="BS259" s="1214"/>
      <c r="BT259" s="1214"/>
      <c r="BU259" s="1214"/>
      <c r="BV259" s="1214"/>
      <c r="BW259" s="1214"/>
      <c r="BX259" s="1214"/>
      <c r="BY259" s="1214"/>
      <c r="BZ259" s="1214"/>
      <c r="CA259" s="1214"/>
      <c r="CB259" s="1214"/>
      <c r="CC259" s="1214"/>
      <c r="CD259" s="1214"/>
      <c r="CE259" s="1214"/>
      <c r="CF259" s="1214"/>
      <c r="CG259" s="1214"/>
      <c r="CH259" s="1214"/>
      <c r="CI259" s="1214"/>
      <c r="CJ259" s="1214"/>
      <c r="CK259" s="1214"/>
      <c r="CL259" s="1214"/>
      <c r="CM259" s="1214"/>
      <c r="CN259" s="1214"/>
      <c r="CO259" s="1214"/>
      <c r="CP259" s="1214"/>
      <c r="CQ259" s="1214"/>
      <c r="CR259" s="1214"/>
      <c r="CS259" s="1214"/>
      <c r="CT259" s="1214"/>
      <c r="CU259" s="1214"/>
      <c r="CV259" s="1214"/>
      <c r="CW259" s="1214"/>
      <c r="CX259" s="1214"/>
      <c r="CY259" s="1214"/>
      <c r="CZ259" s="1214"/>
      <c r="DA259" s="1214"/>
      <c r="DB259" s="1214"/>
      <c r="DC259" s="1214"/>
      <c r="DD259" s="1214"/>
      <c r="DE259" s="1214"/>
      <c r="DF259" s="1214"/>
      <c r="DG259" s="1214"/>
      <c r="DH259" s="1214"/>
      <c r="DI259" s="1214"/>
      <c r="DJ259" s="1214"/>
      <c r="DK259" s="1214"/>
      <c r="DL259" s="1214"/>
      <c r="DM259" s="1214"/>
      <c r="DN259" s="1214"/>
      <c r="DO259" s="1214"/>
      <c r="DP259" s="1214"/>
      <c r="DQ259" s="1214"/>
      <c r="DR259" s="1214"/>
      <c r="DS259" s="1214"/>
      <c r="DT259" s="1214"/>
      <c r="DU259" s="1214"/>
      <c r="DV259" s="1214"/>
      <c r="DW259" s="1214"/>
      <c r="DX259" s="1214"/>
      <c r="DY259" s="1214"/>
      <c r="DZ259" s="1214"/>
      <c r="EA259" s="1214"/>
      <c r="EB259" s="1214"/>
      <c r="EC259" s="1214"/>
      <c r="ED259" s="1214"/>
      <c r="EE259" s="1214"/>
      <c r="EF259" s="1214"/>
      <c r="EG259" s="1214"/>
      <c r="EH259" s="1214"/>
      <c r="EI259" s="1214"/>
      <c r="EJ259" s="1214"/>
      <c r="EK259" s="1214"/>
      <c r="EL259" s="1214"/>
      <c r="EM259" s="1214"/>
      <c r="EN259" s="1214"/>
      <c r="EO259" s="1214"/>
      <c r="EP259" s="1214"/>
      <c r="EQ259" s="1214"/>
      <c r="ER259" s="1214"/>
      <c r="ES259" s="1214"/>
      <c r="ET259" s="1214"/>
      <c r="EU259" s="1214"/>
      <c r="EV259" s="1214"/>
      <c r="EW259" s="1214"/>
      <c r="EX259" s="1214"/>
      <c r="EY259" s="1214"/>
      <c r="EZ259" s="1214"/>
      <c r="FA259" s="1214"/>
      <c r="FB259" s="1214"/>
      <c r="FC259" s="1214"/>
      <c r="FD259" s="1214"/>
      <c r="FE259" s="1214"/>
      <c r="FF259" s="1214"/>
      <c r="FG259" s="1214"/>
      <c r="FH259" s="1214"/>
      <c r="FI259" s="1214"/>
      <c r="FJ259" s="1214"/>
      <c r="FK259" s="1214"/>
      <c r="FL259" s="1214"/>
      <c r="FM259" s="1214"/>
      <c r="FN259" s="1214"/>
      <c r="FO259" s="1214"/>
      <c r="FP259" s="1213"/>
      <c r="FQ259" s="1213"/>
      <c r="FR259" s="1213"/>
      <c r="FS259" s="1213"/>
      <c r="FT259" s="1213"/>
      <c r="FU259" s="1213"/>
      <c r="FV259" s="1213"/>
      <c r="FW259" s="1213"/>
      <c r="FX259" s="1213"/>
      <c r="FY259" s="1213"/>
    </row>
    <row r="260" spans="1:181" s="1211" customFormat="1">
      <c r="A260" s="1212"/>
      <c r="B260" s="1212"/>
      <c r="F260" s="1220"/>
      <c r="I260" s="1218"/>
      <c r="L260" s="3"/>
      <c r="M260" s="3"/>
      <c r="N260" s="1214"/>
      <c r="O260" s="1214"/>
      <c r="P260" s="1214"/>
      <c r="Q260" s="1214"/>
      <c r="R260" s="1214"/>
      <c r="S260" s="1214"/>
      <c r="T260" s="1214"/>
      <c r="U260" s="1214"/>
      <c r="V260" s="1214"/>
      <c r="W260" s="1214"/>
      <c r="X260" s="1214"/>
      <c r="Y260" s="1214"/>
      <c r="Z260" s="1214"/>
      <c r="AA260" s="1214"/>
      <c r="AB260" s="1214"/>
      <c r="AC260" s="1214"/>
      <c r="AD260" s="1214"/>
      <c r="AE260" s="1214"/>
      <c r="AF260" s="1214"/>
      <c r="AG260" s="1214"/>
      <c r="AH260" s="1214"/>
      <c r="AI260" s="1214"/>
      <c r="AJ260" s="1214"/>
      <c r="AK260" s="1214"/>
      <c r="AL260" s="1214"/>
      <c r="AM260" s="1214"/>
      <c r="AN260" s="1214"/>
      <c r="AO260" s="1214"/>
      <c r="AP260" s="1214"/>
      <c r="AQ260" s="1214"/>
      <c r="AR260" s="1214"/>
      <c r="AS260" s="1214"/>
      <c r="AT260" s="1214"/>
      <c r="AU260" s="1214"/>
      <c r="AV260" s="1214"/>
      <c r="AW260" s="1214"/>
      <c r="AX260" s="1214"/>
      <c r="AY260" s="1214"/>
      <c r="AZ260" s="1214"/>
      <c r="BA260" s="1214"/>
      <c r="BB260" s="1214"/>
      <c r="BC260" s="1214"/>
      <c r="BD260" s="1214"/>
      <c r="BE260" s="1214"/>
      <c r="BF260" s="1214"/>
      <c r="BG260" s="1214"/>
      <c r="BH260" s="1214"/>
      <c r="BI260" s="1214"/>
      <c r="BJ260" s="1214"/>
      <c r="BK260" s="1214"/>
      <c r="BL260" s="1214"/>
      <c r="BM260" s="1214"/>
      <c r="BN260" s="1214"/>
      <c r="BO260" s="1214"/>
      <c r="BP260" s="1214"/>
      <c r="BQ260" s="1214"/>
      <c r="BR260" s="1214"/>
      <c r="BS260" s="1214"/>
      <c r="BT260" s="1214"/>
      <c r="BU260" s="1214"/>
      <c r="BV260" s="1214"/>
      <c r="BW260" s="1214"/>
      <c r="BX260" s="1214"/>
      <c r="BY260" s="1214"/>
      <c r="BZ260" s="1214"/>
      <c r="CA260" s="1214"/>
      <c r="CB260" s="1214"/>
      <c r="CC260" s="1214"/>
      <c r="CD260" s="1214"/>
      <c r="CE260" s="1214"/>
      <c r="CF260" s="1214"/>
      <c r="CG260" s="1214"/>
      <c r="CH260" s="1214"/>
      <c r="CI260" s="1214"/>
      <c r="CJ260" s="1214"/>
      <c r="CK260" s="1214"/>
      <c r="CL260" s="1214"/>
      <c r="CM260" s="1214"/>
      <c r="CN260" s="1214"/>
      <c r="CO260" s="1214"/>
      <c r="CP260" s="1214"/>
      <c r="CQ260" s="1214"/>
      <c r="CR260" s="1214"/>
      <c r="CS260" s="1214"/>
      <c r="CT260" s="1214"/>
      <c r="CU260" s="1214"/>
      <c r="CV260" s="1214"/>
      <c r="CW260" s="1214"/>
      <c r="CX260" s="1214"/>
      <c r="CY260" s="1214"/>
      <c r="CZ260" s="1214"/>
      <c r="DA260" s="1214"/>
      <c r="DB260" s="1214"/>
      <c r="DC260" s="1214"/>
      <c r="DD260" s="1214"/>
      <c r="DE260" s="1214"/>
      <c r="DF260" s="1214"/>
      <c r="DG260" s="1214"/>
      <c r="DH260" s="1214"/>
      <c r="DI260" s="1214"/>
      <c r="DJ260" s="1214"/>
      <c r="DK260" s="1214"/>
      <c r="DL260" s="1214"/>
      <c r="DM260" s="1214"/>
      <c r="DN260" s="1214"/>
      <c r="DO260" s="1214"/>
      <c r="DP260" s="1214"/>
      <c r="DQ260" s="1214"/>
      <c r="DR260" s="1214"/>
      <c r="DS260" s="1214"/>
      <c r="DT260" s="1214"/>
      <c r="DU260" s="1214"/>
      <c r="DV260" s="1214"/>
      <c r="DW260" s="1214"/>
      <c r="DX260" s="1214"/>
      <c r="DY260" s="1214"/>
      <c r="DZ260" s="1214"/>
      <c r="EA260" s="1214"/>
      <c r="EB260" s="1214"/>
      <c r="EC260" s="1214"/>
      <c r="ED260" s="1214"/>
      <c r="EE260" s="1214"/>
      <c r="EF260" s="1214"/>
      <c r="EG260" s="1214"/>
      <c r="EH260" s="1214"/>
      <c r="EI260" s="1214"/>
      <c r="EJ260" s="1214"/>
      <c r="EK260" s="1214"/>
      <c r="EL260" s="1214"/>
      <c r="EM260" s="1214"/>
      <c r="EN260" s="1214"/>
      <c r="EO260" s="1214"/>
      <c r="EP260" s="1214"/>
      <c r="EQ260" s="1214"/>
      <c r="ER260" s="1214"/>
      <c r="ES260" s="1214"/>
      <c r="ET260" s="1214"/>
      <c r="EU260" s="1214"/>
      <c r="EV260" s="1214"/>
      <c r="EW260" s="1214"/>
      <c r="EX260" s="1214"/>
      <c r="EY260" s="1214"/>
      <c r="EZ260" s="1214"/>
      <c r="FA260" s="1214"/>
      <c r="FB260" s="1214"/>
      <c r="FC260" s="1214"/>
      <c r="FD260" s="1214"/>
      <c r="FE260" s="1214"/>
      <c r="FF260" s="1214"/>
      <c r="FG260" s="1214"/>
      <c r="FH260" s="1214"/>
      <c r="FI260" s="1214"/>
      <c r="FJ260" s="1214"/>
      <c r="FK260" s="1214"/>
      <c r="FL260" s="1214"/>
      <c r="FM260" s="1214"/>
      <c r="FN260" s="1214"/>
      <c r="FO260" s="1214"/>
      <c r="FP260" s="1213"/>
      <c r="FQ260" s="1213"/>
      <c r="FR260" s="1213"/>
      <c r="FS260" s="1213"/>
      <c r="FT260" s="1213"/>
      <c r="FU260" s="1213"/>
      <c r="FV260" s="1213"/>
      <c r="FW260" s="1213"/>
      <c r="FX260" s="1213"/>
      <c r="FY260" s="1213"/>
    </row>
    <row r="261" spans="1:181" s="1211" customFormat="1">
      <c r="A261" s="1212"/>
      <c r="B261" s="1212"/>
      <c r="F261" s="1220"/>
      <c r="I261" s="1218"/>
      <c r="L261" s="3"/>
      <c r="M261" s="3"/>
      <c r="N261" s="1214"/>
      <c r="O261" s="1214"/>
      <c r="P261" s="1214"/>
      <c r="Q261" s="1214"/>
      <c r="R261" s="1214"/>
      <c r="S261" s="1214"/>
      <c r="T261" s="1214"/>
      <c r="U261" s="1214"/>
      <c r="V261" s="1214"/>
      <c r="W261" s="1214"/>
      <c r="X261" s="1214"/>
      <c r="Y261" s="1214"/>
      <c r="Z261" s="1214"/>
      <c r="AA261" s="1214"/>
      <c r="AB261" s="1214"/>
      <c r="AC261" s="1214"/>
      <c r="AD261" s="1214"/>
      <c r="AE261" s="1214"/>
      <c r="AF261" s="1214"/>
      <c r="AG261" s="1214"/>
      <c r="AH261" s="1214"/>
      <c r="AI261" s="1214"/>
      <c r="AJ261" s="1214"/>
      <c r="AK261" s="1214"/>
      <c r="AL261" s="1214"/>
      <c r="AM261" s="1214"/>
      <c r="AN261" s="1214"/>
      <c r="AO261" s="1214"/>
      <c r="AP261" s="1214"/>
      <c r="AQ261" s="1214"/>
      <c r="AR261" s="1214"/>
      <c r="AS261" s="1214"/>
      <c r="AT261" s="1214"/>
      <c r="AU261" s="1214"/>
      <c r="AV261" s="1214"/>
      <c r="AW261" s="1214"/>
      <c r="AX261" s="1214"/>
      <c r="AY261" s="1214"/>
      <c r="AZ261" s="1214"/>
      <c r="BA261" s="1214"/>
      <c r="BB261" s="1214"/>
      <c r="BC261" s="1214"/>
      <c r="BD261" s="1214"/>
      <c r="BE261" s="1214"/>
      <c r="BF261" s="1214"/>
      <c r="BG261" s="1214"/>
      <c r="BH261" s="1214"/>
      <c r="BI261" s="1214"/>
      <c r="BJ261" s="1214"/>
      <c r="BK261" s="1214"/>
      <c r="BL261" s="1214"/>
      <c r="BM261" s="1214"/>
      <c r="BN261" s="1214"/>
      <c r="BO261" s="1214"/>
      <c r="BP261" s="1214"/>
      <c r="BQ261" s="1214"/>
      <c r="BR261" s="1214"/>
      <c r="BS261" s="1214"/>
      <c r="BT261" s="1214"/>
      <c r="BU261" s="1214"/>
      <c r="BV261" s="1214"/>
      <c r="BW261" s="1214"/>
      <c r="BX261" s="1214"/>
      <c r="BY261" s="1214"/>
      <c r="BZ261" s="1214"/>
      <c r="CA261" s="1214"/>
      <c r="CB261" s="1214"/>
      <c r="CC261" s="1214"/>
      <c r="CD261" s="1214"/>
      <c r="CE261" s="1214"/>
      <c r="CF261" s="1214"/>
      <c r="CG261" s="1214"/>
      <c r="CH261" s="1214"/>
      <c r="CI261" s="1214"/>
      <c r="CJ261" s="1214"/>
      <c r="CK261" s="1214"/>
      <c r="CL261" s="1214"/>
      <c r="CM261" s="1214"/>
      <c r="CN261" s="1214"/>
      <c r="CO261" s="1214"/>
      <c r="CP261" s="1214"/>
      <c r="CQ261" s="1214"/>
      <c r="CR261" s="1214"/>
      <c r="CS261" s="1214"/>
      <c r="CT261" s="1214"/>
      <c r="CU261" s="1214"/>
      <c r="CV261" s="1214"/>
      <c r="CW261" s="1214"/>
      <c r="CX261" s="1214"/>
      <c r="CY261" s="1214"/>
      <c r="CZ261" s="1214"/>
      <c r="DA261" s="1214"/>
      <c r="DB261" s="1214"/>
      <c r="DC261" s="1214"/>
      <c r="DD261" s="1214"/>
      <c r="DE261" s="1214"/>
      <c r="DF261" s="1214"/>
      <c r="DG261" s="1214"/>
      <c r="DH261" s="1214"/>
      <c r="DI261" s="1214"/>
      <c r="DJ261" s="1214"/>
      <c r="DK261" s="1214"/>
      <c r="DL261" s="1214"/>
      <c r="DM261" s="1214"/>
      <c r="DN261" s="1214"/>
      <c r="DO261" s="1214"/>
      <c r="DP261" s="1214"/>
      <c r="DQ261" s="1214"/>
      <c r="DR261" s="1214"/>
      <c r="DS261" s="1214"/>
      <c r="DT261" s="1214"/>
      <c r="DU261" s="1214"/>
      <c r="DV261" s="1214"/>
      <c r="DW261" s="1214"/>
      <c r="DX261" s="1214"/>
      <c r="DY261" s="1214"/>
      <c r="DZ261" s="1214"/>
      <c r="EA261" s="1214"/>
      <c r="EB261" s="1214"/>
      <c r="EC261" s="1214"/>
      <c r="ED261" s="1214"/>
      <c r="EE261" s="1214"/>
      <c r="EF261" s="1214"/>
      <c r="EG261" s="1214"/>
      <c r="EH261" s="1214"/>
      <c r="EI261" s="1214"/>
      <c r="EJ261" s="1214"/>
      <c r="EK261" s="1214"/>
      <c r="EL261" s="1214"/>
      <c r="EM261" s="1214"/>
      <c r="EN261" s="1214"/>
      <c r="EO261" s="1214"/>
      <c r="EP261" s="1214"/>
      <c r="EQ261" s="1214"/>
      <c r="ER261" s="1214"/>
      <c r="ES261" s="1214"/>
      <c r="ET261" s="1214"/>
      <c r="EU261" s="1214"/>
      <c r="EV261" s="1214"/>
      <c r="EW261" s="1214"/>
      <c r="EX261" s="1214"/>
      <c r="EY261" s="1214"/>
      <c r="EZ261" s="1214"/>
      <c r="FA261" s="1214"/>
      <c r="FB261" s="1214"/>
      <c r="FC261" s="1214"/>
      <c r="FD261" s="1214"/>
      <c r="FE261" s="1214"/>
      <c r="FF261" s="1214"/>
      <c r="FG261" s="1214"/>
      <c r="FH261" s="1214"/>
      <c r="FI261" s="1214"/>
      <c r="FJ261" s="1214"/>
      <c r="FK261" s="1214"/>
      <c r="FL261" s="1214"/>
      <c r="FM261" s="1214"/>
      <c r="FN261" s="1214"/>
      <c r="FO261" s="1214"/>
      <c r="FP261" s="1213"/>
      <c r="FQ261" s="1213"/>
      <c r="FR261" s="1213"/>
      <c r="FS261" s="1213"/>
      <c r="FT261" s="1213"/>
      <c r="FU261" s="1213"/>
      <c r="FV261" s="1213"/>
      <c r="FW261" s="1213"/>
      <c r="FX261" s="1213"/>
      <c r="FY261" s="1213"/>
    </row>
    <row r="262" spans="1:181" s="1211" customFormat="1">
      <c r="A262" s="1212"/>
      <c r="B262" s="1212"/>
      <c r="F262" s="1220"/>
      <c r="I262" s="1218"/>
      <c r="L262" s="3"/>
      <c r="M262" s="3"/>
      <c r="N262" s="1214"/>
      <c r="O262" s="1214"/>
      <c r="P262" s="1214"/>
      <c r="Q262" s="1214"/>
      <c r="R262" s="1214"/>
      <c r="S262" s="1214"/>
      <c r="T262" s="1214"/>
      <c r="U262" s="1214"/>
      <c r="V262" s="1214"/>
      <c r="W262" s="1214"/>
      <c r="X262" s="1214"/>
      <c r="Y262" s="1214"/>
      <c r="Z262" s="1214"/>
      <c r="AA262" s="1214"/>
      <c r="AB262" s="1214"/>
      <c r="AC262" s="1214"/>
      <c r="AD262" s="1214"/>
      <c r="AE262" s="1214"/>
      <c r="AF262" s="1214"/>
      <c r="AG262" s="1214"/>
      <c r="AH262" s="1214"/>
      <c r="AI262" s="1214"/>
      <c r="AJ262" s="1214"/>
      <c r="AK262" s="1214"/>
      <c r="AL262" s="1214"/>
      <c r="AM262" s="1214"/>
      <c r="AN262" s="1214"/>
      <c r="AO262" s="1214"/>
      <c r="AP262" s="1214"/>
      <c r="AQ262" s="1214"/>
      <c r="AR262" s="1214"/>
      <c r="AS262" s="1214"/>
      <c r="AT262" s="1214"/>
      <c r="AU262" s="1214"/>
      <c r="AV262" s="1214"/>
      <c r="AW262" s="1214"/>
      <c r="AX262" s="1214"/>
      <c r="AY262" s="1214"/>
      <c r="AZ262" s="1214"/>
      <c r="BA262" s="1214"/>
      <c r="BB262" s="1214"/>
      <c r="BC262" s="1214"/>
      <c r="BD262" s="1214"/>
      <c r="BE262" s="1214"/>
      <c r="BF262" s="1214"/>
      <c r="BG262" s="1214"/>
      <c r="BH262" s="1214"/>
      <c r="BI262" s="1214"/>
      <c r="BJ262" s="1214"/>
      <c r="BK262" s="1214"/>
      <c r="BL262" s="1214"/>
      <c r="BM262" s="1214"/>
      <c r="BN262" s="1214"/>
      <c r="BO262" s="1214"/>
      <c r="BP262" s="1214"/>
      <c r="BQ262" s="1214"/>
      <c r="BR262" s="1214"/>
      <c r="BS262" s="1214"/>
      <c r="BT262" s="1214"/>
      <c r="BU262" s="1214"/>
      <c r="BV262" s="1214"/>
      <c r="BW262" s="1214"/>
      <c r="BX262" s="1214"/>
      <c r="BY262" s="1214"/>
      <c r="BZ262" s="1214"/>
      <c r="CA262" s="1214"/>
      <c r="CB262" s="1214"/>
      <c r="CC262" s="1214"/>
      <c r="CD262" s="1214"/>
      <c r="CE262" s="1214"/>
      <c r="CF262" s="1214"/>
      <c r="CG262" s="1214"/>
      <c r="CH262" s="1214"/>
      <c r="CI262" s="1214"/>
      <c r="CJ262" s="1214"/>
      <c r="CK262" s="1214"/>
      <c r="CL262" s="1214"/>
      <c r="CM262" s="1214"/>
      <c r="CN262" s="1214"/>
      <c r="CO262" s="1214"/>
      <c r="CP262" s="1214"/>
      <c r="CQ262" s="1214"/>
      <c r="CR262" s="1214"/>
      <c r="CS262" s="1214"/>
      <c r="CT262" s="1214"/>
      <c r="CU262" s="1214"/>
      <c r="CV262" s="1214"/>
      <c r="CW262" s="1214"/>
      <c r="CX262" s="1214"/>
      <c r="CY262" s="1214"/>
      <c r="CZ262" s="1214"/>
      <c r="DA262" s="1214"/>
      <c r="DB262" s="1214"/>
      <c r="DC262" s="1214"/>
      <c r="DD262" s="1214"/>
      <c r="DE262" s="1214"/>
      <c r="DF262" s="1214"/>
      <c r="DG262" s="1214"/>
      <c r="DH262" s="1214"/>
      <c r="DI262" s="1214"/>
      <c r="DJ262" s="1214"/>
      <c r="DK262" s="1214"/>
      <c r="DL262" s="1214"/>
      <c r="DM262" s="1214"/>
      <c r="DN262" s="1214"/>
      <c r="DO262" s="1214"/>
      <c r="DP262" s="1214"/>
      <c r="DQ262" s="1214"/>
      <c r="DR262" s="1214"/>
      <c r="DS262" s="1214"/>
      <c r="DT262" s="1214"/>
      <c r="DU262" s="1214"/>
      <c r="DV262" s="1214"/>
      <c r="DW262" s="1214"/>
      <c r="DX262" s="1214"/>
      <c r="DY262" s="1214"/>
      <c r="DZ262" s="1214"/>
      <c r="EA262" s="1214"/>
      <c r="EB262" s="1214"/>
      <c r="EC262" s="1214"/>
      <c r="ED262" s="1214"/>
      <c r="EE262" s="1214"/>
      <c r="EF262" s="1214"/>
      <c r="EG262" s="1214"/>
      <c r="EH262" s="1214"/>
      <c r="EI262" s="1214"/>
      <c r="EJ262" s="1214"/>
      <c r="EK262" s="1214"/>
      <c r="EL262" s="1214"/>
      <c r="EM262" s="1214"/>
      <c r="EN262" s="1214"/>
      <c r="EO262" s="1214"/>
      <c r="EP262" s="1214"/>
      <c r="EQ262" s="1214"/>
      <c r="ER262" s="1214"/>
      <c r="ES262" s="1214"/>
      <c r="ET262" s="1214"/>
      <c r="EU262" s="1214"/>
      <c r="EV262" s="1214"/>
      <c r="EW262" s="1214"/>
      <c r="EX262" s="1214"/>
      <c r="EY262" s="1214"/>
      <c r="EZ262" s="1214"/>
      <c r="FA262" s="1214"/>
      <c r="FB262" s="1214"/>
      <c r="FC262" s="1214"/>
      <c r="FD262" s="1214"/>
      <c r="FE262" s="1214"/>
      <c r="FF262" s="1214"/>
      <c r="FG262" s="1214"/>
      <c r="FH262" s="1214"/>
      <c r="FI262" s="1214"/>
      <c r="FJ262" s="1214"/>
      <c r="FK262" s="1214"/>
      <c r="FL262" s="1214"/>
      <c r="FM262" s="1214"/>
      <c r="FN262" s="1214"/>
      <c r="FO262" s="1214"/>
      <c r="FP262" s="1213"/>
      <c r="FQ262" s="1213"/>
      <c r="FR262" s="1213"/>
      <c r="FS262" s="1213"/>
      <c r="FT262" s="1213"/>
      <c r="FU262" s="1213"/>
      <c r="FV262" s="1213"/>
      <c r="FW262" s="1213"/>
      <c r="FX262" s="1213"/>
      <c r="FY262" s="1213"/>
    </row>
    <row r="263" spans="1:181" s="1211" customFormat="1">
      <c r="A263" s="1212"/>
      <c r="B263" s="1212"/>
      <c r="F263" s="1219"/>
      <c r="I263" s="1218"/>
      <c r="L263" s="3"/>
      <c r="M263" s="3"/>
      <c r="N263" s="1214"/>
      <c r="O263" s="1214"/>
      <c r="P263" s="1214"/>
      <c r="Q263" s="1214"/>
      <c r="R263" s="1214"/>
      <c r="S263" s="1214"/>
      <c r="T263" s="1214"/>
      <c r="U263" s="1214"/>
      <c r="V263" s="1214"/>
      <c r="W263" s="1214"/>
      <c r="X263" s="1214"/>
      <c r="Y263" s="1214"/>
      <c r="Z263" s="1214"/>
      <c r="AA263" s="1214"/>
      <c r="AB263" s="1214"/>
      <c r="AC263" s="1214"/>
      <c r="AD263" s="1214"/>
      <c r="AE263" s="1214"/>
      <c r="AF263" s="1214"/>
      <c r="AG263" s="1214"/>
      <c r="AH263" s="1214"/>
      <c r="AI263" s="1214"/>
      <c r="AJ263" s="1214"/>
      <c r="AK263" s="1214"/>
      <c r="AL263" s="1214"/>
      <c r="AM263" s="1214"/>
      <c r="AN263" s="1214"/>
      <c r="AO263" s="1214"/>
      <c r="AP263" s="1214"/>
      <c r="AQ263" s="1214"/>
      <c r="AR263" s="1214"/>
      <c r="AS263" s="1214"/>
      <c r="AT263" s="1214"/>
      <c r="AU263" s="1214"/>
      <c r="AV263" s="1214"/>
      <c r="AW263" s="1214"/>
      <c r="AX263" s="1214"/>
      <c r="AY263" s="1214"/>
      <c r="AZ263" s="1214"/>
      <c r="BA263" s="1214"/>
      <c r="BB263" s="1214"/>
      <c r="BC263" s="1214"/>
      <c r="BD263" s="1214"/>
      <c r="BE263" s="1214"/>
      <c r="BF263" s="1214"/>
      <c r="BG263" s="1214"/>
      <c r="BH263" s="1214"/>
      <c r="BI263" s="1214"/>
      <c r="BJ263" s="1214"/>
      <c r="BK263" s="1214"/>
      <c r="BL263" s="1214"/>
      <c r="BM263" s="1214"/>
      <c r="BN263" s="1214"/>
      <c r="BO263" s="1214"/>
      <c r="BP263" s="1214"/>
      <c r="BQ263" s="1214"/>
      <c r="BR263" s="1214"/>
      <c r="BS263" s="1214"/>
      <c r="BT263" s="1214"/>
      <c r="BU263" s="1214"/>
      <c r="BV263" s="1214"/>
      <c r="BW263" s="1214"/>
      <c r="BX263" s="1214"/>
      <c r="BY263" s="1214"/>
      <c r="BZ263" s="1214"/>
      <c r="CA263" s="1214"/>
      <c r="CB263" s="1214"/>
      <c r="CC263" s="1214"/>
      <c r="CD263" s="1214"/>
      <c r="CE263" s="1214"/>
      <c r="CF263" s="1214"/>
      <c r="CG263" s="1214"/>
      <c r="CH263" s="1214"/>
      <c r="CI263" s="1214"/>
      <c r="CJ263" s="1214"/>
      <c r="CK263" s="1214"/>
      <c r="CL263" s="1214"/>
      <c r="CM263" s="1214"/>
      <c r="CN263" s="1214"/>
      <c r="CO263" s="1214"/>
      <c r="CP263" s="1214"/>
      <c r="CQ263" s="1214"/>
      <c r="CR263" s="1214"/>
      <c r="CS263" s="1214"/>
      <c r="CT263" s="1214"/>
      <c r="CU263" s="1214"/>
      <c r="CV263" s="1214"/>
      <c r="CW263" s="1214"/>
      <c r="CX263" s="1214"/>
      <c r="CY263" s="1214"/>
      <c r="CZ263" s="1214"/>
      <c r="DA263" s="1214"/>
      <c r="DB263" s="1214"/>
      <c r="DC263" s="1214"/>
      <c r="DD263" s="1214"/>
      <c r="DE263" s="1214"/>
      <c r="DF263" s="1214"/>
      <c r="DG263" s="1214"/>
      <c r="DH263" s="1214"/>
      <c r="DI263" s="1214"/>
      <c r="DJ263" s="1214"/>
      <c r="DK263" s="1214"/>
      <c r="DL263" s="1214"/>
      <c r="DM263" s="1214"/>
      <c r="DN263" s="1214"/>
      <c r="DO263" s="1214"/>
      <c r="DP263" s="1214"/>
      <c r="DQ263" s="1214"/>
      <c r="DR263" s="1214"/>
      <c r="DS263" s="1214"/>
      <c r="DT263" s="1214"/>
      <c r="DU263" s="1214"/>
      <c r="DV263" s="1214"/>
      <c r="DW263" s="1214"/>
      <c r="DX263" s="1214"/>
      <c r="DY263" s="1214"/>
      <c r="DZ263" s="1214"/>
      <c r="EA263" s="1214"/>
      <c r="EB263" s="1214"/>
      <c r="EC263" s="1214"/>
      <c r="ED263" s="1214"/>
      <c r="EE263" s="1214"/>
      <c r="EF263" s="1214"/>
      <c r="EG263" s="1214"/>
      <c r="EH263" s="1214"/>
      <c r="EI263" s="1214"/>
      <c r="EJ263" s="1214"/>
      <c r="EK263" s="1214"/>
      <c r="EL263" s="1214"/>
      <c r="EM263" s="1214"/>
      <c r="EN263" s="1214"/>
      <c r="EO263" s="1214"/>
      <c r="EP263" s="1214"/>
      <c r="EQ263" s="1214"/>
      <c r="ER263" s="1214"/>
      <c r="ES263" s="1214"/>
      <c r="ET263" s="1214"/>
      <c r="EU263" s="1214"/>
      <c r="EV263" s="1214"/>
      <c r="EW263" s="1214"/>
      <c r="EX263" s="1214"/>
      <c r="EY263" s="1214"/>
      <c r="EZ263" s="1214"/>
      <c r="FA263" s="1214"/>
      <c r="FB263" s="1214"/>
      <c r="FC263" s="1214"/>
      <c r="FD263" s="1214"/>
      <c r="FE263" s="1214"/>
      <c r="FF263" s="1214"/>
      <c r="FG263" s="1214"/>
      <c r="FH263" s="1214"/>
      <c r="FI263" s="1214"/>
      <c r="FJ263" s="1214"/>
      <c r="FK263" s="1214"/>
      <c r="FL263" s="1214"/>
      <c r="FM263" s="1214"/>
      <c r="FN263" s="1214"/>
      <c r="FO263" s="1214"/>
      <c r="FP263" s="1213"/>
      <c r="FQ263" s="1213"/>
      <c r="FR263" s="1213"/>
      <c r="FS263" s="1213"/>
      <c r="FT263" s="1213"/>
      <c r="FU263" s="1213"/>
      <c r="FV263" s="1213"/>
      <c r="FW263" s="1213"/>
      <c r="FX263" s="1213"/>
      <c r="FY263" s="1213"/>
    </row>
    <row r="264" spans="1:181" s="1211" customFormat="1">
      <c r="A264" s="1212"/>
      <c r="B264" s="1212"/>
      <c r="F264" s="1219"/>
      <c r="I264" s="1218"/>
      <c r="L264" s="3"/>
      <c r="M264" s="3"/>
      <c r="N264" s="1214"/>
      <c r="O264" s="1214"/>
      <c r="P264" s="1214"/>
      <c r="Q264" s="1214"/>
      <c r="R264" s="1214"/>
      <c r="S264" s="1214"/>
      <c r="T264" s="1214"/>
      <c r="U264" s="1214"/>
      <c r="V264" s="1214"/>
      <c r="W264" s="1214"/>
      <c r="X264" s="1214"/>
      <c r="Y264" s="1214"/>
      <c r="Z264" s="1214"/>
      <c r="AA264" s="1214"/>
      <c r="AB264" s="1214"/>
      <c r="AC264" s="1214"/>
      <c r="AD264" s="1214"/>
      <c r="AE264" s="1214"/>
      <c r="AF264" s="1214"/>
      <c r="AG264" s="1214"/>
      <c r="AH264" s="1214"/>
      <c r="AI264" s="1214"/>
      <c r="AJ264" s="1214"/>
      <c r="AK264" s="1214"/>
      <c r="AL264" s="1214"/>
      <c r="AM264" s="1214"/>
      <c r="AN264" s="1214"/>
      <c r="AO264" s="1214"/>
      <c r="AP264" s="1214"/>
      <c r="AQ264" s="1214"/>
      <c r="AR264" s="1214"/>
      <c r="AS264" s="1214"/>
      <c r="AT264" s="1214"/>
      <c r="AU264" s="1214"/>
      <c r="AV264" s="1214"/>
      <c r="AW264" s="1214"/>
      <c r="AX264" s="1214"/>
      <c r="AY264" s="1214"/>
      <c r="AZ264" s="1214"/>
      <c r="BA264" s="1214"/>
      <c r="BB264" s="1214"/>
      <c r="BC264" s="1214"/>
      <c r="BD264" s="1214"/>
      <c r="BE264" s="1214"/>
      <c r="BF264" s="1214"/>
      <c r="BG264" s="1214"/>
      <c r="BH264" s="1214"/>
      <c r="BI264" s="1214"/>
      <c r="BJ264" s="1214"/>
      <c r="BK264" s="1214"/>
      <c r="BL264" s="1214"/>
      <c r="BM264" s="1214"/>
      <c r="BN264" s="1214"/>
      <c r="BO264" s="1214"/>
      <c r="BP264" s="1214"/>
      <c r="BQ264" s="1214"/>
      <c r="BR264" s="1214"/>
      <c r="BS264" s="1214"/>
      <c r="BT264" s="1214"/>
      <c r="BU264" s="1214"/>
      <c r="BV264" s="1214"/>
      <c r="BW264" s="1214"/>
      <c r="BX264" s="1214"/>
      <c r="BY264" s="1214"/>
      <c r="BZ264" s="1214"/>
      <c r="CA264" s="1214"/>
      <c r="CB264" s="1214"/>
      <c r="CC264" s="1214"/>
      <c r="CD264" s="1214"/>
      <c r="CE264" s="1214"/>
      <c r="CF264" s="1214"/>
      <c r="CG264" s="1214"/>
      <c r="CH264" s="1214"/>
      <c r="CI264" s="1214"/>
      <c r="CJ264" s="1214"/>
      <c r="CK264" s="1214"/>
      <c r="CL264" s="1214"/>
      <c r="CM264" s="1214"/>
      <c r="CN264" s="1214"/>
      <c r="CO264" s="1214"/>
      <c r="CP264" s="1214"/>
      <c r="CQ264" s="1214"/>
      <c r="CR264" s="1214"/>
      <c r="CS264" s="1214"/>
      <c r="CT264" s="1214"/>
      <c r="CU264" s="1214"/>
      <c r="CV264" s="1214"/>
      <c r="CW264" s="1214"/>
      <c r="CX264" s="1214"/>
      <c r="CY264" s="1214"/>
      <c r="CZ264" s="1214"/>
      <c r="DA264" s="1214"/>
      <c r="DB264" s="1214"/>
      <c r="DC264" s="1214"/>
      <c r="DD264" s="1214"/>
      <c r="DE264" s="1214"/>
      <c r="DF264" s="1214"/>
      <c r="DG264" s="1214"/>
      <c r="DH264" s="1214"/>
      <c r="DI264" s="1214"/>
      <c r="DJ264" s="1214"/>
      <c r="DK264" s="1214"/>
      <c r="DL264" s="1214"/>
      <c r="DM264" s="1214"/>
      <c r="DN264" s="1214"/>
      <c r="DO264" s="1214"/>
      <c r="DP264" s="1214"/>
      <c r="DQ264" s="1214"/>
      <c r="DR264" s="1214"/>
      <c r="DS264" s="1214"/>
      <c r="DT264" s="1214"/>
      <c r="DU264" s="1214"/>
      <c r="DV264" s="1214"/>
      <c r="DW264" s="1214"/>
      <c r="DX264" s="1214"/>
      <c r="DY264" s="1214"/>
      <c r="DZ264" s="1214"/>
      <c r="EA264" s="1214"/>
      <c r="EB264" s="1214"/>
      <c r="EC264" s="1214"/>
      <c r="ED264" s="1214"/>
      <c r="EE264" s="1214"/>
      <c r="EF264" s="1214"/>
      <c r="EG264" s="1214"/>
      <c r="EH264" s="1214"/>
      <c r="EI264" s="1214"/>
      <c r="EJ264" s="1214"/>
      <c r="EK264" s="1214"/>
      <c r="EL264" s="1214"/>
      <c r="EM264" s="1214"/>
      <c r="EN264" s="1214"/>
      <c r="EO264" s="1214"/>
      <c r="EP264" s="1214"/>
      <c r="EQ264" s="1214"/>
      <c r="ER264" s="1214"/>
      <c r="ES264" s="1214"/>
      <c r="ET264" s="1214"/>
      <c r="EU264" s="1214"/>
      <c r="EV264" s="1214"/>
      <c r="EW264" s="1214"/>
      <c r="EX264" s="1214"/>
      <c r="EY264" s="1214"/>
      <c r="EZ264" s="1214"/>
      <c r="FA264" s="1214"/>
      <c r="FB264" s="1214"/>
      <c r="FC264" s="1214"/>
      <c r="FD264" s="1214"/>
      <c r="FE264" s="1214"/>
      <c r="FF264" s="1214"/>
      <c r="FG264" s="1214"/>
      <c r="FH264" s="1214"/>
      <c r="FI264" s="1214"/>
      <c r="FJ264" s="1214"/>
      <c r="FK264" s="1214"/>
      <c r="FL264" s="1214"/>
      <c r="FM264" s="1214"/>
      <c r="FN264" s="1214"/>
      <c r="FO264" s="1214"/>
      <c r="FP264" s="1213"/>
      <c r="FQ264" s="1213"/>
      <c r="FR264" s="1213"/>
      <c r="FS264" s="1213"/>
      <c r="FT264" s="1213"/>
      <c r="FU264" s="1213"/>
      <c r="FV264" s="1213"/>
      <c r="FW264" s="1213"/>
      <c r="FX264" s="1213"/>
      <c r="FY264" s="1213"/>
    </row>
    <row r="265" spans="1:181" s="1211" customFormat="1">
      <c r="A265" s="1212"/>
      <c r="B265" s="1212"/>
      <c r="F265" s="1219"/>
      <c r="I265" s="1218"/>
      <c r="L265" s="3"/>
      <c r="M265" s="3"/>
      <c r="N265" s="1214"/>
      <c r="O265" s="1214"/>
      <c r="P265" s="1214"/>
      <c r="Q265" s="1214"/>
      <c r="R265" s="1214"/>
      <c r="S265" s="1214"/>
      <c r="T265" s="1214"/>
      <c r="U265" s="1214"/>
      <c r="V265" s="1214"/>
      <c r="W265" s="1214"/>
      <c r="X265" s="1214"/>
      <c r="Y265" s="1214"/>
      <c r="Z265" s="1214"/>
      <c r="AA265" s="1214"/>
      <c r="AB265" s="1214"/>
      <c r="AC265" s="1214"/>
      <c r="AD265" s="1214"/>
      <c r="AE265" s="1214"/>
      <c r="AF265" s="1214"/>
      <c r="AG265" s="1214"/>
      <c r="AH265" s="1214"/>
      <c r="AI265" s="1214"/>
      <c r="AJ265" s="1214"/>
      <c r="AK265" s="1214"/>
      <c r="AL265" s="1214"/>
      <c r="AM265" s="1214"/>
      <c r="AN265" s="1214"/>
      <c r="AO265" s="1214"/>
      <c r="AP265" s="1214"/>
      <c r="AQ265" s="1214"/>
      <c r="AR265" s="1214"/>
      <c r="AS265" s="1214"/>
      <c r="AT265" s="1214"/>
      <c r="AU265" s="1214"/>
      <c r="AV265" s="1214"/>
      <c r="AW265" s="1214"/>
      <c r="AX265" s="1214"/>
      <c r="AY265" s="1214"/>
      <c r="AZ265" s="1214"/>
      <c r="BA265" s="1214"/>
      <c r="BB265" s="1214"/>
      <c r="BC265" s="1214"/>
      <c r="BD265" s="1214"/>
      <c r="BE265" s="1214"/>
      <c r="BF265" s="1214"/>
      <c r="BG265" s="1214"/>
      <c r="BH265" s="1214"/>
      <c r="BI265" s="1214"/>
      <c r="BJ265" s="1214"/>
      <c r="BK265" s="1214"/>
      <c r="BL265" s="1214"/>
      <c r="BM265" s="1214"/>
      <c r="BN265" s="1214"/>
      <c r="BO265" s="1214"/>
      <c r="BP265" s="1214"/>
      <c r="BQ265" s="1214"/>
      <c r="BR265" s="1214"/>
      <c r="BS265" s="1214"/>
      <c r="BT265" s="1214"/>
      <c r="BU265" s="1214"/>
      <c r="BV265" s="1214"/>
      <c r="BW265" s="1214"/>
      <c r="BX265" s="1214"/>
      <c r="BY265" s="1214"/>
      <c r="BZ265" s="1214"/>
      <c r="CA265" s="1214"/>
      <c r="CB265" s="1214"/>
      <c r="CC265" s="1214"/>
      <c r="CD265" s="1214"/>
      <c r="CE265" s="1214"/>
      <c r="CF265" s="1214"/>
      <c r="CG265" s="1214"/>
      <c r="CH265" s="1214"/>
      <c r="CI265" s="1214"/>
      <c r="CJ265" s="1214"/>
      <c r="CK265" s="1214"/>
      <c r="CL265" s="1214"/>
      <c r="CM265" s="1214"/>
      <c r="CN265" s="1214"/>
      <c r="CO265" s="1214"/>
      <c r="CP265" s="1214"/>
      <c r="CQ265" s="1214"/>
      <c r="CR265" s="1214"/>
      <c r="CS265" s="1214"/>
      <c r="CT265" s="1214"/>
      <c r="CU265" s="1214"/>
      <c r="CV265" s="1214"/>
      <c r="CW265" s="1214"/>
      <c r="CX265" s="1214"/>
      <c r="CY265" s="1214"/>
      <c r="CZ265" s="1214"/>
      <c r="DA265" s="1214"/>
      <c r="DB265" s="1214"/>
      <c r="DC265" s="1214"/>
      <c r="DD265" s="1214"/>
      <c r="DE265" s="1214"/>
      <c r="DF265" s="1214"/>
      <c r="DG265" s="1214"/>
      <c r="DH265" s="1214"/>
      <c r="DI265" s="1214"/>
      <c r="DJ265" s="1214"/>
      <c r="DK265" s="1214"/>
      <c r="DL265" s="1214"/>
      <c r="DM265" s="1214"/>
      <c r="DN265" s="1214"/>
      <c r="DO265" s="1214"/>
      <c r="DP265" s="1214"/>
      <c r="DQ265" s="1214"/>
      <c r="DR265" s="1214"/>
      <c r="DS265" s="1214"/>
      <c r="DT265" s="1214"/>
      <c r="DU265" s="1214"/>
      <c r="DV265" s="1214"/>
      <c r="DW265" s="1214"/>
      <c r="DX265" s="1214"/>
      <c r="DY265" s="1214"/>
      <c r="DZ265" s="1214"/>
      <c r="EA265" s="1214"/>
      <c r="EB265" s="1214"/>
      <c r="EC265" s="1214"/>
      <c r="ED265" s="1214"/>
      <c r="EE265" s="1214"/>
      <c r="EF265" s="1214"/>
      <c r="EG265" s="1214"/>
      <c r="EH265" s="1214"/>
      <c r="EI265" s="1214"/>
      <c r="EJ265" s="1214"/>
      <c r="EK265" s="1214"/>
      <c r="EL265" s="1214"/>
      <c r="EM265" s="1214"/>
      <c r="EN265" s="1214"/>
      <c r="EO265" s="1214"/>
      <c r="EP265" s="1214"/>
      <c r="EQ265" s="1214"/>
      <c r="ER265" s="1214"/>
      <c r="ES265" s="1214"/>
      <c r="ET265" s="1214"/>
      <c r="EU265" s="1214"/>
      <c r="EV265" s="1214"/>
      <c r="EW265" s="1214"/>
      <c r="EX265" s="1214"/>
      <c r="EY265" s="1214"/>
      <c r="EZ265" s="1214"/>
      <c r="FA265" s="1214"/>
      <c r="FB265" s="1214"/>
      <c r="FC265" s="1214"/>
      <c r="FD265" s="1214"/>
      <c r="FE265" s="1214"/>
      <c r="FF265" s="1214"/>
      <c r="FG265" s="1214"/>
      <c r="FH265" s="1214"/>
      <c r="FI265" s="1214"/>
      <c r="FJ265" s="1214"/>
      <c r="FK265" s="1214"/>
      <c r="FL265" s="1214"/>
      <c r="FM265" s="1214"/>
      <c r="FN265" s="1214"/>
      <c r="FO265" s="1214"/>
      <c r="FP265" s="1213"/>
      <c r="FQ265" s="1213"/>
      <c r="FR265" s="1213"/>
      <c r="FS265" s="1213"/>
      <c r="FT265" s="1213"/>
      <c r="FU265" s="1213"/>
      <c r="FV265" s="1213"/>
      <c r="FW265" s="1213"/>
      <c r="FX265" s="1213"/>
      <c r="FY265" s="1213"/>
    </row>
    <row r="266" spans="1:181" s="1211" customFormat="1">
      <c r="A266" s="1212"/>
      <c r="B266" s="1212"/>
      <c r="F266" s="1217"/>
      <c r="I266" s="1218"/>
      <c r="L266" s="3"/>
      <c r="M266" s="3"/>
      <c r="N266" s="1214"/>
      <c r="O266" s="1214"/>
      <c r="P266" s="1214"/>
      <c r="Q266" s="1214"/>
      <c r="R266" s="1214"/>
      <c r="S266" s="1214"/>
      <c r="T266" s="1214"/>
      <c r="U266" s="1214"/>
      <c r="V266" s="1214"/>
      <c r="W266" s="1214"/>
      <c r="X266" s="1214"/>
      <c r="Y266" s="1214"/>
      <c r="Z266" s="1214"/>
      <c r="AA266" s="1214"/>
      <c r="AB266" s="1214"/>
      <c r="AC266" s="1214"/>
      <c r="AD266" s="1214"/>
      <c r="AE266" s="1214"/>
      <c r="AF266" s="1214"/>
      <c r="AG266" s="1214"/>
      <c r="AH266" s="1214"/>
      <c r="AI266" s="1214"/>
      <c r="AJ266" s="1214"/>
      <c r="AK266" s="1214"/>
      <c r="AL266" s="1214"/>
      <c r="AM266" s="1214"/>
      <c r="AN266" s="1214"/>
      <c r="AO266" s="1214"/>
      <c r="AP266" s="1214"/>
      <c r="AQ266" s="1214"/>
      <c r="AR266" s="1214"/>
      <c r="AS266" s="1214"/>
      <c r="AT266" s="1214"/>
      <c r="AU266" s="1214"/>
      <c r="AV266" s="1214"/>
      <c r="AW266" s="1214"/>
      <c r="AX266" s="1214"/>
      <c r="AY266" s="1214"/>
      <c r="AZ266" s="1214"/>
      <c r="BA266" s="1214"/>
      <c r="BB266" s="1214"/>
      <c r="BC266" s="1214"/>
      <c r="BD266" s="1214"/>
      <c r="BE266" s="1214"/>
      <c r="BF266" s="1214"/>
      <c r="BG266" s="1214"/>
      <c r="BH266" s="1214"/>
      <c r="BI266" s="1214"/>
      <c r="BJ266" s="1214"/>
      <c r="BK266" s="1214"/>
      <c r="BL266" s="1214"/>
      <c r="BM266" s="1214"/>
      <c r="BN266" s="1214"/>
      <c r="BO266" s="1214"/>
      <c r="BP266" s="1214"/>
      <c r="BQ266" s="1214"/>
      <c r="BR266" s="1214"/>
      <c r="BS266" s="1214"/>
      <c r="BT266" s="1214"/>
      <c r="BU266" s="1214"/>
      <c r="BV266" s="1214"/>
      <c r="BW266" s="1214"/>
      <c r="BX266" s="1214"/>
      <c r="BY266" s="1214"/>
      <c r="BZ266" s="1214"/>
      <c r="CA266" s="1214"/>
      <c r="CB266" s="1214"/>
      <c r="CC266" s="1214"/>
      <c r="CD266" s="1214"/>
      <c r="CE266" s="1214"/>
      <c r="CF266" s="1214"/>
      <c r="CG266" s="1214"/>
      <c r="CH266" s="1214"/>
      <c r="CI266" s="1214"/>
      <c r="CJ266" s="1214"/>
      <c r="CK266" s="1214"/>
      <c r="CL266" s="1214"/>
      <c r="CM266" s="1214"/>
      <c r="CN266" s="1214"/>
      <c r="CO266" s="1214"/>
      <c r="CP266" s="1214"/>
      <c r="CQ266" s="1214"/>
      <c r="CR266" s="1214"/>
      <c r="CS266" s="1214"/>
      <c r="CT266" s="1214"/>
      <c r="CU266" s="1214"/>
      <c r="CV266" s="1214"/>
      <c r="CW266" s="1214"/>
      <c r="CX266" s="1214"/>
      <c r="CY266" s="1214"/>
      <c r="CZ266" s="1214"/>
      <c r="DA266" s="1214"/>
      <c r="DB266" s="1214"/>
      <c r="DC266" s="1214"/>
      <c r="DD266" s="1214"/>
      <c r="DE266" s="1214"/>
      <c r="DF266" s="1214"/>
      <c r="DG266" s="1214"/>
      <c r="DH266" s="1214"/>
      <c r="DI266" s="1214"/>
      <c r="DJ266" s="1214"/>
      <c r="DK266" s="1214"/>
      <c r="DL266" s="1214"/>
      <c r="DM266" s="1214"/>
      <c r="DN266" s="1214"/>
      <c r="DO266" s="1214"/>
      <c r="DP266" s="1214"/>
      <c r="DQ266" s="1214"/>
      <c r="DR266" s="1214"/>
      <c r="DS266" s="1214"/>
      <c r="DT266" s="1214"/>
      <c r="DU266" s="1214"/>
      <c r="DV266" s="1214"/>
      <c r="DW266" s="1214"/>
      <c r="DX266" s="1214"/>
      <c r="DY266" s="1214"/>
      <c r="DZ266" s="1214"/>
      <c r="EA266" s="1214"/>
      <c r="EB266" s="1214"/>
      <c r="EC266" s="1214"/>
      <c r="ED266" s="1214"/>
      <c r="EE266" s="1214"/>
      <c r="EF266" s="1214"/>
      <c r="EG266" s="1214"/>
      <c r="EH266" s="1214"/>
      <c r="EI266" s="1214"/>
      <c r="EJ266" s="1214"/>
      <c r="EK266" s="1214"/>
      <c r="EL266" s="1214"/>
      <c r="EM266" s="1214"/>
      <c r="EN266" s="1214"/>
      <c r="EO266" s="1214"/>
      <c r="EP266" s="1214"/>
      <c r="EQ266" s="1214"/>
      <c r="ER266" s="1214"/>
      <c r="ES266" s="1214"/>
      <c r="ET266" s="1214"/>
      <c r="EU266" s="1214"/>
      <c r="EV266" s="1214"/>
      <c r="EW266" s="1214"/>
      <c r="EX266" s="1214"/>
      <c r="EY266" s="1214"/>
      <c r="EZ266" s="1214"/>
      <c r="FA266" s="1214"/>
      <c r="FB266" s="1214"/>
      <c r="FC266" s="1214"/>
      <c r="FD266" s="1214"/>
      <c r="FE266" s="1214"/>
      <c r="FF266" s="1214"/>
      <c r="FG266" s="1214"/>
      <c r="FH266" s="1214"/>
      <c r="FI266" s="1214"/>
      <c r="FJ266" s="1214"/>
      <c r="FK266" s="1214"/>
      <c r="FL266" s="1214"/>
      <c r="FM266" s="1214"/>
      <c r="FN266" s="1214"/>
      <c r="FO266" s="1214"/>
      <c r="FP266" s="1213"/>
      <c r="FQ266" s="1213"/>
      <c r="FR266" s="1213"/>
      <c r="FS266" s="1213"/>
      <c r="FT266" s="1213"/>
      <c r="FU266" s="1213"/>
      <c r="FV266" s="1213"/>
      <c r="FW266" s="1213"/>
      <c r="FX266" s="1213"/>
      <c r="FY266" s="1213"/>
    </row>
    <row r="267" spans="1:181" s="1211" customFormat="1">
      <c r="A267" s="1212"/>
      <c r="B267" s="1212"/>
      <c r="F267" s="1217"/>
      <c r="I267" s="1216"/>
      <c r="L267" s="3"/>
      <c r="M267" s="3"/>
      <c r="N267" s="1214"/>
      <c r="O267" s="1214"/>
      <c r="P267" s="1214"/>
      <c r="Q267" s="1214"/>
      <c r="R267" s="1214"/>
      <c r="S267" s="1214"/>
      <c r="T267" s="1214"/>
      <c r="U267" s="1214"/>
      <c r="V267" s="1214"/>
      <c r="W267" s="1214"/>
      <c r="X267" s="1214"/>
      <c r="Y267" s="1214"/>
      <c r="Z267" s="1214"/>
      <c r="AA267" s="1214"/>
      <c r="AB267" s="1214"/>
      <c r="AC267" s="1214"/>
      <c r="AD267" s="1214"/>
      <c r="AE267" s="1214"/>
      <c r="AF267" s="1214"/>
      <c r="AG267" s="1214"/>
      <c r="AH267" s="1214"/>
      <c r="AI267" s="1214"/>
      <c r="AJ267" s="1214"/>
      <c r="AK267" s="1214"/>
      <c r="AL267" s="1214"/>
      <c r="AM267" s="1214"/>
      <c r="AN267" s="1214"/>
      <c r="AO267" s="1214"/>
      <c r="AP267" s="1214"/>
      <c r="AQ267" s="1214"/>
      <c r="AR267" s="1214"/>
      <c r="AS267" s="1214"/>
      <c r="AT267" s="1214"/>
      <c r="AU267" s="1214"/>
      <c r="AV267" s="1214"/>
      <c r="AW267" s="1214"/>
      <c r="AX267" s="1214"/>
      <c r="AY267" s="1214"/>
      <c r="AZ267" s="1214"/>
      <c r="BA267" s="1214"/>
      <c r="BB267" s="1214"/>
      <c r="BC267" s="1214"/>
      <c r="BD267" s="1214"/>
      <c r="BE267" s="1214"/>
      <c r="BF267" s="1214"/>
      <c r="BG267" s="1214"/>
      <c r="BH267" s="1214"/>
      <c r="BI267" s="1214"/>
      <c r="BJ267" s="1214"/>
      <c r="BK267" s="1214"/>
      <c r="BL267" s="1214"/>
      <c r="BM267" s="1214"/>
      <c r="BN267" s="1214"/>
      <c r="BO267" s="1214"/>
      <c r="BP267" s="1214"/>
      <c r="BQ267" s="1214"/>
      <c r="BR267" s="1214"/>
      <c r="BS267" s="1214"/>
      <c r="BT267" s="1214"/>
      <c r="BU267" s="1214"/>
      <c r="BV267" s="1214"/>
      <c r="BW267" s="1214"/>
      <c r="BX267" s="1214"/>
      <c r="BY267" s="1214"/>
      <c r="BZ267" s="1214"/>
      <c r="CA267" s="1214"/>
      <c r="CB267" s="1214"/>
      <c r="CC267" s="1214"/>
      <c r="CD267" s="1214"/>
      <c r="CE267" s="1214"/>
      <c r="CF267" s="1214"/>
      <c r="CG267" s="1214"/>
      <c r="CH267" s="1214"/>
      <c r="CI267" s="1214"/>
      <c r="CJ267" s="1214"/>
      <c r="CK267" s="1214"/>
      <c r="CL267" s="1214"/>
      <c r="CM267" s="1214"/>
      <c r="CN267" s="1214"/>
      <c r="CO267" s="1214"/>
      <c r="CP267" s="1214"/>
      <c r="CQ267" s="1214"/>
      <c r="CR267" s="1214"/>
      <c r="CS267" s="1214"/>
      <c r="CT267" s="1214"/>
      <c r="CU267" s="1214"/>
      <c r="CV267" s="1214"/>
      <c r="CW267" s="1214"/>
      <c r="CX267" s="1214"/>
      <c r="CY267" s="1214"/>
      <c r="CZ267" s="1214"/>
      <c r="DA267" s="1214"/>
      <c r="DB267" s="1214"/>
      <c r="DC267" s="1214"/>
      <c r="DD267" s="1214"/>
      <c r="DE267" s="1214"/>
      <c r="DF267" s="1214"/>
      <c r="DG267" s="1214"/>
      <c r="DH267" s="1214"/>
      <c r="DI267" s="1214"/>
      <c r="DJ267" s="1214"/>
      <c r="DK267" s="1214"/>
      <c r="DL267" s="1214"/>
      <c r="DM267" s="1214"/>
      <c r="DN267" s="1214"/>
      <c r="DO267" s="1214"/>
      <c r="DP267" s="1214"/>
      <c r="DQ267" s="1214"/>
      <c r="DR267" s="1214"/>
      <c r="DS267" s="1214"/>
      <c r="DT267" s="1214"/>
      <c r="DU267" s="1214"/>
      <c r="DV267" s="1214"/>
      <c r="DW267" s="1214"/>
      <c r="DX267" s="1214"/>
      <c r="DY267" s="1214"/>
      <c r="DZ267" s="1214"/>
      <c r="EA267" s="1214"/>
      <c r="EB267" s="1214"/>
      <c r="EC267" s="1214"/>
      <c r="ED267" s="1214"/>
      <c r="EE267" s="1214"/>
      <c r="EF267" s="1214"/>
      <c r="EG267" s="1214"/>
      <c r="EH267" s="1214"/>
      <c r="EI267" s="1214"/>
      <c r="EJ267" s="1214"/>
      <c r="EK267" s="1214"/>
      <c r="EL267" s="1214"/>
      <c r="EM267" s="1214"/>
      <c r="EN267" s="1214"/>
      <c r="EO267" s="1214"/>
      <c r="EP267" s="1214"/>
      <c r="EQ267" s="1214"/>
      <c r="ER267" s="1214"/>
      <c r="ES267" s="1214"/>
      <c r="ET267" s="1214"/>
      <c r="EU267" s="1214"/>
      <c r="EV267" s="1214"/>
      <c r="EW267" s="1214"/>
      <c r="EX267" s="1214"/>
      <c r="EY267" s="1214"/>
      <c r="EZ267" s="1214"/>
      <c r="FA267" s="1214"/>
      <c r="FB267" s="1214"/>
      <c r="FC267" s="1214"/>
      <c r="FD267" s="1214"/>
      <c r="FE267" s="1214"/>
      <c r="FF267" s="1214"/>
      <c r="FG267" s="1214"/>
      <c r="FH267" s="1214"/>
      <c r="FI267" s="1214"/>
      <c r="FJ267" s="1214"/>
      <c r="FK267" s="1214"/>
      <c r="FL267" s="1214"/>
      <c r="FM267" s="1214"/>
      <c r="FN267" s="1214"/>
      <c r="FO267" s="1214"/>
      <c r="FP267" s="1213"/>
      <c r="FQ267" s="1213"/>
      <c r="FR267" s="1213"/>
      <c r="FS267" s="1213"/>
      <c r="FT267" s="1213"/>
      <c r="FU267" s="1213"/>
      <c r="FV267" s="1213"/>
      <c r="FW267" s="1213"/>
      <c r="FX267" s="1213"/>
      <c r="FY267" s="1213"/>
    </row>
    <row r="268" spans="1:181" s="1211" customFormat="1">
      <c r="A268" s="1212"/>
      <c r="B268" s="1212"/>
      <c r="I268" s="1215"/>
      <c r="L268" s="3"/>
      <c r="M268" s="3"/>
      <c r="N268" s="1214"/>
      <c r="O268" s="1214"/>
      <c r="P268" s="1214"/>
      <c r="Q268" s="1214"/>
      <c r="R268" s="1214"/>
      <c r="S268" s="1214"/>
      <c r="T268" s="1214"/>
      <c r="U268" s="1214"/>
      <c r="V268" s="1214"/>
      <c r="W268" s="1214"/>
      <c r="X268" s="1214"/>
      <c r="Y268" s="1214"/>
      <c r="Z268" s="1214"/>
      <c r="AA268" s="1214"/>
      <c r="AB268" s="1214"/>
      <c r="AC268" s="1214"/>
      <c r="AD268" s="1214"/>
      <c r="AE268" s="1214"/>
      <c r="AF268" s="1214"/>
      <c r="AG268" s="1214"/>
      <c r="AH268" s="1214"/>
      <c r="AI268" s="1214"/>
      <c r="AJ268" s="1214"/>
      <c r="AK268" s="1214"/>
      <c r="AL268" s="1214"/>
      <c r="AM268" s="1214"/>
      <c r="AN268" s="1214"/>
      <c r="AO268" s="1214"/>
      <c r="AP268" s="1214"/>
      <c r="AQ268" s="1214"/>
      <c r="AR268" s="1214"/>
      <c r="AS268" s="1214"/>
      <c r="AT268" s="1214"/>
      <c r="AU268" s="1214"/>
      <c r="AV268" s="1214"/>
      <c r="AW268" s="1214"/>
      <c r="AX268" s="1214"/>
      <c r="AY268" s="1214"/>
      <c r="AZ268" s="1214"/>
      <c r="BA268" s="1214"/>
      <c r="BB268" s="1214"/>
      <c r="BC268" s="1214"/>
      <c r="BD268" s="1214"/>
      <c r="BE268" s="1214"/>
      <c r="BF268" s="1214"/>
      <c r="BG268" s="1214"/>
      <c r="BH268" s="1214"/>
      <c r="BI268" s="1214"/>
      <c r="BJ268" s="1214"/>
      <c r="BK268" s="1214"/>
      <c r="BL268" s="1214"/>
      <c r="BM268" s="1214"/>
      <c r="BN268" s="1214"/>
      <c r="BO268" s="1214"/>
      <c r="BP268" s="1214"/>
      <c r="BQ268" s="1214"/>
      <c r="BR268" s="1214"/>
      <c r="BS268" s="1214"/>
      <c r="BT268" s="1214"/>
      <c r="BU268" s="1214"/>
      <c r="BV268" s="1214"/>
      <c r="BW268" s="1214"/>
      <c r="BX268" s="1214"/>
      <c r="BY268" s="1214"/>
      <c r="BZ268" s="1214"/>
      <c r="CA268" s="1214"/>
      <c r="CB268" s="1214"/>
      <c r="CC268" s="1214"/>
      <c r="CD268" s="1214"/>
      <c r="CE268" s="1214"/>
      <c r="CF268" s="1214"/>
      <c r="CG268" s="1214"/>
      <c r="CH268" s="1214"/>
      <c r="CI268" s="1214"/>
      <c r="CJ268" s="1214"/>
      <c r="CK268" s="1214"/>
      <c r="CL268" s="1214"/>
      <c r="CM268" s="1214"/>
      <c r="CN268" s="1214"/>
      <c r="CO268" s="1214"/>
      <c r="CP268" s="1214"/>
      <c r="CQ268" s="1214"/>
      <c r="CR268" s="1214"/>
      <c r="CS268" s="1214"/>
      <c r="CT268" s="1214"/>
      <c r="CU268" s="1214"/>
      <c r="CV268" s="1214"/>
      <c r="CW268" s="1214"/>
      <c r="CX268" s="1214"/>
      <c r="CY268" s="1214"/>
      <c r="CZ268" s="1214"/>
      <c r="DA268" s="1214"/>
      <c r="DB268" s="1214"/>
      <c r="DC268" s="1214"/>
      <c r="DD268" s="1214"/>
      <c r="DE268" s="1214"/>
      <c r="DF268" s="1214"/>
      <c r="DG268" s="1214"/>
      <c r="DH268" s="1214"/>
      <c r="DI268" s="1214"/>
      <c r="DJ268" s="1214"/>
      <c r="DK268" s="1214"/>
      <c r="DL268" s="1214"/>
      <c r="DM268" s="1214"/>
      <c r="DN268" s="1214"/>
      <c r="DO268" s="1214"/>
      <c r="DP268" s="1214"/>
      <c r="DQ268" s="1214"/>
      <c r="DR268" s="1214"/>
      <c r="DS268" s="1214"/>
      <c r="DT268" s="1214"/>
      <c r="DU268" s="1214"/>
      <c r="DV268" s="1214"/>
      <c r="DW268" s="1214"/>
      <c r="DX268" s="1214"/>
      <c r="DY268" s="1214"/>
      <c r="DZ268" s="1214"/>
      <c r="EA268" s="1214"/>
      <c r="EB268" s="1214"/>
      <c r="EC268" s="1214"/>
      <c r="ED268" s="1214"/>
      <c r="EE268" s="1214"/>
      <c r="EF268" s="1214"/>
      <c r="EG268" s="1214"/>
      <c r="EH268" s="1214"/>
      <c r="EI268" s="1214"/>
      <c r="EJ268" s="1214"/>
      <c r="EK268" s="1214"/>
      <c r="EL268" s="1214"/>
      <c r="EM268" s="1214"/>
      <c r="EN268" s="1214"/>
      <c r="EO268" s="1214"/>
      <c r="EP268" s="1214"/>
      <c r="EQ268" s="1214"/>
      <c r="ER268" s="1214"/>
      <c r="ES268" s="1214"/>
      <c r="ET268" s="1214"/>
      <c r="EU268" s="1214"/>
      <c r="EV268" s="1214"/>
      <c r="EW268" s="1214"/>
      <c r="EX268" s="1214"/>
      <c r="EY268" s="1214"/>
      <c r="EZ268" s="1214"/>
      <c r="FA268" s="1214"/>
      <c r="FB268" s="1214"/>
      <c r="FC268" s="1214"/>
      <c r="FD268" s="1214"/>
      <c r="FE268" s="1214"/>
      <c r="FF268" s="1214"/>
      <c r="FG268" s="1214"/>
      <c r="FH268" s="1214"/>
      <c r="FI268" s="1214"/>
      <c r="FJ268" s="1214"/>
      <c r="FK268" s="1214"/>
      <c r="FL268" s="1214"/>
      <c r="FM268" s="1214"/>
      <c r="FN268" s="1214"/>
      <c r="FO268" s="1214"/>
      <c r="FP268" s="1213"/>
      <c r="FQ268" s="1213"/>
      <c r="FR268" s="1213"/>
      <c r="FS268" s="1213"/>
      <c r="FT268" s="1213"/>
      <c r="FU268" s="1213"/>
      <c r="FV268" s="1213"/>
      <c r="FW268" s="1213"/>
      <c r="FX268" s="1213"/>
      <c r="FY268" s="1213"/>
    </row>
  </sheetData>
  <mergeCells count="29">
    <mergeCell ref="D205:I206"/>
    <mergeCell ref="E155:G155"/>
    <mergeCell ref="E149:G149"/>
    <mergeCell ref="E156:G156"/>
    <mergeCell ref="D162:I163"/>
    <mergeCell ref="D183:I184"/>
    <mergeCell ref="D191:I192"/>
    <mergeCell ref="D118:I119"/>
    <mergeCell ref="D138:I138"/>
    <mergeCell ref="E143:G143"/>
    <mergeCell ref="E144:G144"/>
    <mergeCell ref="E145:G145"/>
    <mergeCell ref="C36:C37"/>
    <mergeCell ref="D36:D37"/>
    <mergeCell ref="E36:E37"/>
    <mergeCell ref="F36:F37"/>
    <mergeCell ref="G36:G37"/>
    <mergeCell ref="E150:G150"/>
    <mergeCell ref="E151:G151"/>
    <mergeCell ref="E152:G152"/>
    <mergeCell ref="E153:G153"/>
    <mergeCell ref="E154:G154"/>
    <mergeCell ref="H36:H37"/>
    <mergeCell ref="F22:G22"/>
    <mergeCell ref="F23:G23"/>
    <mergeCell ref="F24:G24"/>
    <mergeCell ref="F31:G31"/>
    <mergeCell ref="F32:G32"/>
    <mergeCell ref="F33:G33"/>
  </mergeCells>
  <pageMargins left="0.7" right="0.7" top="0.75" bottom="0.75" header="0.3" footer="0.3"/>
  <pageSetup orientation="portrait" horizontalDpi="200" verticalDpi="2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46676-9B00-4DB6-AED1-7D7ED9D1ECBA}">
  <sheetPr>
    <tabColor theme="2"/>
  </sheetPr>
  <dimension ref="A1:K310"/>
  <sheetViews>
    <sheetView zoomScaleNormal="100" workbookViewId="0"/>
  </sheetViews>
  <sheetFormatPr defaultColWidth="8.6640625" defaultRowHeight="15.6"/>
  <cols>
    <col min="1" max="1" width="10.109375" style="166" customWidth="1"/>
    <col min="2" max="2" width="15.109375" style="166" customWidth="1"/>
    <col min="3" max="3" width="22.109375" style="166" customWidth="1"/>
    <col min="4" max="4" width="34.44140625" style="166" customWidth="1"/>
    <col min="5" max="6" width="17.109375" style="166" customWidth="1"/>
    <col min="7" max="7" width="19.6640625" style="166" customWidth="1"/>
    <col min="8" max="8" width="19.5546875" style="166" customWidth="1"/>
    <col min="9" max="10" width="17.109375" style="166" customWidth="1"/>
    <col min="11" max="16384" width="8.6640625" style="164"/>
  </cols>
  <sheetData>
    <row r="1" spans="1:11">
      <c r="A1" s="1" t="s">
        <v>329</v>
      </c>
      <c r="K1" s="164" t="s">
        <v>329</v>
      </c>
    </row>
    <row r="2" spans="1:11">
      <c r="A2" s="1" t="s">
        <v>880</v>
      </c>
      <c r="K2" s="164" t="s">
        <v>880</v>
      </c>
    </row>
    <row r="3" spans="1:11">
      <c r="A3" s="1"/>
    </row>
    <row r="4" spans="1:11" s="3" customFormat="1" ht="53.1" customHeight="1">
      <c r="A4" s="182" t="s">
        <v>1905</v>
      </c>
      <c r="B4" s="1684" t="s">
        <v>1904</v>
      </c>
      <c r="C4" s="1684"/>
      <c r="D4" s="1684"/>
      <c r="E4" s="1684"/>
      <c r="F4" s="1684"/>
      <c r="G4" s="129"/>
      <c r="H4" s="129"/>
      <c r="I4" s="129"/>
      <c r="J4" s="172"/>
      <c r="K4" s="3" t="s">
        <v>1903</v>
      </c>
    </row>
    <row r="5" spans="1:11">
      <c r="K5" s="164" t="s">
        <v>1902</v>
      </c>
    </row>
    <row r="6" spans="1:11">
      <c r="B6" s="32" t="s">
        <v>1901</v>
      </c>
      <c r="C6" s="2"/>
      <c r="D6" s="2"/>
      <c r="E6" s="2"/>
      <c r="F6" s="2"/>
    </row>
    <row r="7" spans="1:11">
      <c r="B7" s="208" t="s">
        <v>521</v>
      </c>
      <c r="C7" s="151"/>
      <c r="D7" s="212" t="s">
        <v>1900</v>
      </c>
      <c r="E7" s="149"/>
      <c r="F7" s="148"/>
    </row>
    <row r="8" spans="1:11">
      <c r="B8" s="208" t="s">
        <v>519</v>
      </c>
      <c r="C8" s="151"/>
      <c r="D8" s="212" t="s">
        <v>1899</v>
      </c>
      <c r="E8" s="149"/>
      <c r="F8" s="148"/>
    </row>
    <row r="9" spans="1:11">
      <c r="B9" s="208" t="s">
        <v>517</v>
      </c>
      <c r="C9" s="151"/>
      <c r="D9" s="212" t="s">
        <v>127</v>
      </c>
      <c r="E9" s="149"/>
      <c r="F9" s="148"/>
    </row>
    <row r="10" spans="1:11">
      <c r="B10" s="208" t="s">
        <v>263</v>
      </c>
      <c r="C10" s="151"/>
      <c r="D10" s="212" t="s">
        <v>135</v>
      </c>
      <c r="E10" s="149"/>
      <c r="F10" s="148"/>
    </row>
    <row r="11" spans="1:11">
      <c r="B11" s="1421" t="s">
        <v>516</v>
      </c>
      <c r="C11" s="1420"/>
      <c r="D11" s="291" t="s">
        <v>1898</v>
      </c>
      <c r="E11" s="149"/>
      <c r="F11" s="148"/>
    </row>
    <row r="12" spans="1:11">
      <c r="B12" s="296" t="s">
        <v>260</v>
      </c>
      <c r="C12" s="57"/>
      <c r="D12" s="212" t="s">
        <v>1897</v>
      </c>
      <c r="E12" s="149"/>
      <c r="F12" s="148"/>
    </row>
    <row r="13" spans="1:11">
      <c r="B13" s="1416"/>
      <c r="C13" s="1100"/>
      <c r="D13" s="295" t="s">
        <v>1896</v>
      </c>
      <c r="E13" s="59"/>
      <c r="F13" s="60"/>
    </row>
    <row r="14" spans="1:11">
      <c r="B14" s="296" t="s">
        <v>512</v>
      </c>
      <c r="C14" s="57"/>
      <c r="D14" s="212" t="s">
        <v>511</v>
      </c>
      <c r="E14" s="149"/>
      <c r="F14" s="148"/>
    </row>
    <row r="15" spans="1:11">
      <c r="B15" s="295"/>
      <c r="C15" s="60"/>
      <c r="D15" s="295" t="s">
        <v>510</v>
      </c>
      <c r="E15" s="59"/>
      <c r="F15" s="60"/>
    </row>
    <row r="16" spans="1:11">
      <c r="B16" s="295" t="s">
        <v>1895</v>
      </c>
      <c r="C16" s="60"/>
      <c r="D16" s="295" t="s">
        <v>1894</v>
      </c>
      <c r="E16" s="59"/>
      <c r="F16" s="60"/>
    </row>
    <row r="17" spans="2:6">
      <c r="B17" s="1419" t="s">
        <v>1893</v>
      </c>
      <c r="C17" s="153"/>
      <c r="D17" s="291" t="s">
        <v>498</v>
      </c>
      <c r="E17" s="149"/>
      <c r="F17" s="148"/>
    </row>
    <row r="18" spans="2:6">
      <c r="B18" s="147" t="s">
        <v>1892</v>
      </c>
      <c r="C18" s="151"/>
      <c r="D18" s="295" t="s">
        <v>1047</v>
      </c>
      <c r="E18" s="59"/>
      <c r="F18" s="60"/>
    </row>
    <row r="19" spans="2:6">
      <c r="B19" s="2"/>
      <c r="C19" s="2"/>
      <c r="D19" s="2"/>
      <c r="E19" s="2"/>
      <c r="F19" s="2"/>
    </row>
    <row r="21" spans="2:6">
      <c r="B21" s="1" t="s">
        <v>1891</v>
      </c>
      <c r="C21" s="2"/>
      <c r="D21" s="2"/>
      <c r="E21" s="2"/>
    </row>
    <row r="22" spans="2:6">
      <c r="B22" s="32" t="s">
        <v>504</v>
      </c>
      <c r="C22" s="1"/>
      <c r="D22" s="2"/>
      <c r="E22" s="2"/>
    </row>
    <row r="23" spans="2:6">
      <c r="B23" s="1" t="s">
        <v>503</v>
      </c>
      <c r="C23" s="2"/>
      <c r="D23" s="2"/>
      <c r="E23" s="2"/>
    </row>
    <row r="24" spans="2:6">
      <c r="B24" s="150" t="s">
        <v>373</v>
      </c>
      <c r="C24" s="148"/>
      <c r="D24" s="305">
        <v>4.9000000000000002E-2</v>
      </c>
      <c r="E24" s="148" t="s">
        <v>370</v>
      </c>
    </row>
    <row r="25" spans="2:6">
      <c r="B25" s="150" t="s">
        <v>502</v>
      </c>
      <c r="C25" s="148"/>
      <c r="D25" s="305">
        <v>0.02</v>
      </c>
      <c r="E25" s="148" t="s">
        <v>370</v>
      </c>
    </row>
    <row r="26" spans="2:6">
      <c r="B26" s="150" t="s">
        <v>501</v>
      </c>
      <c r="C26" s="148"/>
      <c r="D26" s="305">
        <v>0.03</v>
      </c>
      <c r="E26" s="148" t="s">
        <v>370</v>
      </c>
    </row>
    <row r="27" spans="2:6">
      <c r="B27" s="150" t="s">
        <v>1890</v>
      </c>
      <c r="C27" s="148"/>
      <c r="D27" s="304">
        <v>45000</v>
      </c>
      <c r="E27" s="148"/>
    </row>
    <row r="28" spans="2:6">
      <c r="B28" s="150" t="s">
        <v>499</v>
      </c>
      <c r="C28" s="148"/>
      <c r="D28" s="303" t="s">
        <v>498</v>
      </c>
      <c r="E28" s="148"/>
    </row>
    <row r="29" spans="2:6">
      <c r="B29" s="150" t="s">
        <v>497</v>
      </c>
      <c r="C29" s="148"/>
      <c r="D29" s="302" t="s">
        <v>533</v>
      </c>
      <c r="E29" s="148"/>
    </row>
    <row r="30" spans="2:6">
      <c r="B30" s="1721" t="s">
        <v>495</v>
      </c>
      <c r="C30" s="1722"/>
      <c r="D30" s="1418" t="s">
        <v>252</v>
      </c>
      <c r="E30" s="1417" t="s">
        <v>491</v>
      </c>
    </row>
    <row r="31" spans="2:6">
      <c r="B31" s="1723"/>
      <c r="C31" s="1724"/>
      <c r="D31" s="299" t="s">
        <v>1889</v>
      </c>
      <c r="E31" s="297">
        <v>0.5</v>
      </c>
    </row>
    <row r="32" spans="2:6">
      <c r="B32" s="1743"/>
      <c r="C32" s="1744"/>
      <c r="D32" s="298">
        <v>65</v>
      </c>
      <c r="E32" s="297">
        <v>1</v>
      </c>
    </row>
    <row r="33" spans="2:6">
      <c r="B33" s="1745" t="s">
        <v>494</v>
      </c>
      <c r="C33" s="1746"/>
      <c r="D33" s="212" t="s">
        <v>1888</v>
      </c>
      <c r="E33" s="297"/>
    </row>
    <row r="34" spans="2:6">
      <c r="B34" s="1721" t="s">
        <v>492</v>
      </c>
      <c r="C34" s="1722"/>
      <c r="D34" s="1418" t="s">
        <v>252</v>
      </c>
      <c r="E34" s="1417" t="s">
        <v>491</v>
      </c>
    </row>
    <row r="35" spans="2:6">
      <c r="B35" s="1723"/>
      <c r="C35" s="1724"/>
      <c r="D35" s="299" t="s">
        <v>644</v>
      </c>
      <c r="E35" s="297">
        <v>0.03</v>
      </c>
    </row>
    <row r="36" spans="2:6">
      <c r="B36" s="1723"/>
      <c r="C36" s="1724"/>
      <c r="D36" s="298" t="s">
        <v>489</v>
      </c>
      <c r="E36" s="297">
        <v>0</v>
      </c>
    </row>
    <row r="37" spans="2:6">
      <c r="B37" s="1725" t="s">
        <v>488</v>
      </c>
      <c r="C37" s="1726"/>
      <c r="D37" s="2073" t="s">
        <v>1887</v>
      </c>
      <c r="E37" s="1730"/>
    </row>
    <row r="38" spans="2:6">
      <c r="B38" s="295"/>
      <c r="C38" s="294"/>
      <c r="D38" s="2076"/>
      <c r="E38" s="1732"/>
    </row>
    <row r="39" spans="2:6">
      <c r="B39" s="2249" t="s">
        <v>1886</v>
      </c>
      <c r="C39" s="2250"/>
      <c r="D39" s="1729" t="s">
        <v>1034</v>
      </c>
      <c r="E39" s="1730"/>
    </row>
    <row r="40" spans="2:6">
      <c r="B40" s="295"/>
      <c r="C40" s="294"/>
      <c r="D40" s="1731"/>
      <c r="E40" s="1732"/>
    </row>
    <row r="41" spans="2:6">
      <c r="B41" s="1721" t="s">
        <v>484</v>
      </c>
      <c r="C41" s="1722"/>
      <c r="D41" s="2251" t="s">
        <v>1885</v>
      </c>
      <c r="E41" s="2252"/>
    </row>
    <row r="42" spans="2:6">
      <c r="B42" s="1723"/>
      <c r="C42" s="1724"/>
      <c r="D42" s="2253"/>
      <c r="E42" s="2254"/>
    </row>
    <row r="43" spans="2:6">
      <c r="B43" s="1743"/>
      <c r="C43" s="1744"/>
      <c r="D43" s="2255"/>
      <c r="E43" s="2256"/>
    </row>
    <row r="44" spans="2:6">
      <c r="E44" s="1415"/>
      <c r="F44" s="292"/>
    </row>
    <row r="45" spans="2:6">
      <c r="E45" s="293"/>
      <c r="F45" s="292"/>
    </row>
    <row r="46" spans="2:6">
      <c r="B46" s="137" t="s">
        <v>482</v>
      </c>
      <c r="C46" s="2"/>
      <c r="D46" s="2"/>
      <c r="E46" s="2"/>
      <c r="F46" s="292"/>
    </row>
    <row r="47" spans="2:6">
      <c r="B47" s="291" t="s">
        <v>481</v>
      </c>
      <c r="C47" s="148"/>
      <c r="D47" s="1414">
        <v>0.05</v>
      </c>
      <c r="E47" s="2"/>
    </row>
    <row r="48" spans="2:6" ht="33.6" customHeight="1">
      <c r="B48" s="2257" t="s">
        <v>1884</v>
      </c>
      <c r="C48" s="2258"/>
      <c r="D48" s="1413">
        <v>7.0000000000000007E-2</v>
      </c>
      <c r="E48" s="2"/>
    </row>
    <row r="49" spans="2:7">
      <c r="B49" s="289" t="s">
        <v>371</v>
      </c>
      <c r="C49" s="148"/>
      <c r="D49" s="892">
        <v>4.9000000000000002E-2</v>
      </c>
      <c r="E49" s="2"/>
      <c r="F49" s="292"/>
    </row>
    <row r="50" spans="2:7">
      <c r="B50" s="2"/>
      <c r="C50" s="21"/>
      <c r="D50" s="2"/>
      <c r="E50" s="286"/>
      <c r="F50" s="292"/>
    </row>
    <row r="51" spans="2:7">
      <c r="B51" s="32" t="s">
        <v>550</v>
      </c>
      <c r="C51" s="2"/>
      <c r="D51" s="286"/>
      <c r="E51" s="1412"/>
    </row>
    <row r="52" spans="2:7">
      <c r="B52" s="1685" t="s">
        <v>478</v>
      </c>
      <c r="C52" s="1685"/>
      <c r="D52" s="1411" t="s">
        <v>1883</v>
      </c>
      <c r="E52" s="1399"/>
    </row>
    <row r="53" spans="2:7">
      <c r="B53" s="2260" t="s">
        <v>476</v>
      </c>
      <c r="C53" s="2260"/>
      <c r="D53" s="2260"/>
      <c r="E53" s="2260"/>
    </row>
    <row r="54" spans="2:7">
      <c r="B54" s="2259" t="s">
        <v>475</v>
      </c>
      <c r="C54" s="2259"/>
      <c r="D54" s="1718" t="s">
        <v>474</v>
      </c>
      <c r="E54" s="1718"/>
    </row>
    <row r="55" spans="2:7">
      <c r="B55" s="2260" t="s">
        <v>471</v>
      </c>
      <c r="C55" s="2260"/>
      <c r="D55" s="2260"/>
      <c r="E55" s="2260"/>
    </row>
    <row r="56" spans="2:7">
      <c r="B56" s="2261" t="s">
        <v>1882</v>
      </c>
      <c r="C56" s="2261"/>
      <c r="D56" s="2062" t="s">
        <v>1881</v>
      </c>
      <c r="E56" s="2062"/>
    </row>
    <row r="57" spans="2:7">
      <c r="B57" s="2259" t="s">
        <v>468</v>
      </c>
      <c r="C57" s="2259"/>
      <c r="D57" s="2062" t="s">
        <v>1880</v>
      </c>
      <c r="E57" s="2062"/>
    </row>
    <row r="58" spans="2:7">
      <c r="B58" s="2260" t="s">
        <v>466</v>
      </c>
      <c r="C58" s="2260"/>
      <c r="D58" s="2260"/>
      <c r="E58" s="2260"/>
    </row>
    <row r="59" spans="2:7">
      <c r="B59" s="2259" t="s">
        <v>465</v>
      </c>
      <c r="C59" s="2259"/>
      <c r="D59" s="1718">
        <v>2.5000000000000001E-2</v>
      </c>
      <c r="E59" s="1718"/>
    </row>
    <row r="60" spans="2:7">
      <c r="B60" s="2259" t="s">
        <v>464</v>
      </c>
      <c r="C60" s="2259"/>
      <c r="D60" s="1718">
        <f>ROUND((1+D59)/(1-0.78%)-1,3)</f>
        <v>3.3000000000000002E-2</v>
      </c>
      <c r="E60" s="1718"/>
    </row>
    <row r="61" spans="2:7">
      <c r="B61" s="1716" t="s">
        <v>463</v>
      </c>
      <c r="C61" s="1716"/>
      <c r="D61" s="2262">
        <v>150000</v>
      </c>
      <c r="E61" s="2262"/>
    </row>
    <row r="62" spans="2:7">
      <c r="B62" s="1716" t="s">
        <v>462</v>
      </c>
      <c r="C62" s="1716"/>
      <c r="D62" s="2263" t="s">
        <v>1879</v>
      </c>
      <c r="E62" s="2263"/>
    </row>
    <row r="64" spans="2:7">
      <c r="B64" s="32" t="s">
        <v>460</v>
      </c>
      <c r="C64" s="42"/>
      <c r="D64" s="2"/>
      <c r="E64" s="2"/>
      <c r="F64" s="2"/>
      <c r="G64" s="2"/>
    </row>
    <row r="65" spans="2:7">
      <c r="B65" s="2"/>
      <c r="C65" s="151" t="s">
        <v>459</v>
      </c>
      <c r="D65" s="151" t="s">
        <v>458</v>
      </c>
      <c r="E65" s="151" t="s">
        <v>457</v>
      </c>
      <c r="F65" s="151" t="s">
        <v>456</v>
      </c>
      <c r="G65" s="151" t="s">
        <v>455</v>
      </c>
    </row>
    <row r="66" spans="2:7">
      <c r="B66" s="2"/>
      <c r="C66" s="147" t="s">
        <v>454</v>
      </c>
      <c r="D66" s="1406">
        <v>4000</v>
      </c>
      <c r="E66" s="1410">
        <v>43830</v>
      </c>
      <c r="F66" s="628">
        <v>43831</v>
      </c>
      <c r="G66" s="1410">
        <v>44196</v>
      </c>
    </row>
    <row r="67" spans="2:7">
      <c r="B67" s="2"/>
      <c r="C67" s="147" t="s">
        <v>453</v>
      </c>
      <c r="D67" s="1406">
        <v>1500</v>
      </c>
      <c r="E67" s="1410">
        <v>43830</v>
      </c>
      <c r="F67" s="628">
        <v>44197</v>
      </c>
      <c r="G67" s="1410">
        <v>47848</v>
      </c>
    </row>
    <row r="68" spans="2:7">
      <c r="B68" s="2"/>
      <c r="C68" s="147" t="s">
        <v>452</v>
      </c>
      <c r="D68" s="1406">
        <v>1200</v>
      </c>
      <c r="E68" s="1410">
        <v>42735</v>
      </c>
      <c r="F68" s="628">
        <v>42736</v>
      </c>
      <c r="G68" s="1410">
        <v>44561</v>
      </c>
    </row>
    <row r="69" spans="2:7">
      <c r="B69" s="2"/>
      <c r="C69" s="147" t="s">
        <v>451</v>
      </c>
      <c r="D69" s="1406">
        <v>2400</v>
      </c>
      <c r="E69" s="1410">
        <v>43830</v>
      </c>
      <c r="F69" s="628">
        <v>44197</v>
      </c>
      <c r="G69" s="1410">
        <v>46022</v>
      </c>
    </row>
    <row r="71" spans="2:7">
      <c r="B71" s="32" t="s">
        <v>450</v>
      </c>
      <c r="C71" s="2"/>
      <c r="D71" s="2"/>
      <c r="E71" s="2"/>
      <c r="F71" s="2"/>
    </row>
    <row r="72" spans="2:7">
      <c r="B72" s="2"/>
      <c r="C72" s="2"/>
      <c r="D72" s="138" t="s">
        <v>449</v>
      </c>
      <c r="E72" s="275" t="s">
        <v>388</v>
      </c>
      <c r="F72" s="275" t="s">
        <v>377</v>
      </c>
    </row>
    <row r="73" spans="2:7">
      <c r="B73" s="2"/>
      <c r="C73" s="2"/>
      <c r="D73" s="192" t="s">
        <v>437</v>
      </c>
      <c r="E73" s="131">
        <v>49</v>
      </c>
      <c r="F73" s="131">
        <v>54</v>
      </c>
    </row>
    <row r="74" spans="2:7">
      <c r="B74" s="2"/>
      <c r="C74" s="2"/>
      <c r="D74" s="192" t="s">
        <v>655</v>
      </c>
      <c r="E74" s="1406">
        <v>55000</v>
      </c>
      <c r="F74" s="1406">
        <v>68000</v>
      </c>
    </row>
    <row r="75" spans="2:7">
      <c r="B75" s="2"/>
      <c r="C75" s="2"/>
      <c r="D75" s="192" t="s">
        <v>448</v>
      </c>
      <c r="E75" s="1406">
        <v>58000</v>
      </c>
      <c r="F75" s="1406">
        <v>72000</v>
      </c>
    </row>
    <row r="76" spans="2:7">
      <c r="B76" s="2"/>
      <c r="C76" s="2"/>
      <c r="D76" s="192" t="s">
        <v>447</v>
      </c>
      <c r="E76" s="1406">
        <v>61000</v>
      </c>
      <c r="F76" s="1406">
        <v>74000</v>
      </c>
      <c r="G76" s="1409"/>
    </row>
    <row r="77" spans="2:7">
      <c r="B77" s="2"/>
      <c r="C77" s="2"/>
      <c r="D77" s="192" t="s">
        <v>445</v>
      </c>
      <c r="E77" s="135">
        <v>4</v>
      </c>
      <c r="F77" s="135">
        <v>12</v>
      </c>
    </row>
    <row r="78" spans="2:7">
      <c r="B78" s="2"/>
      <c r="C78" s="2"/>
      <c r="D78" s="192" t="s">
        <v>444</v>
      </c>
      <c r="E78" s="135" t="s">
        <v>443</v>
      </c>
      <c r="F78" s="135" t="s">
        <v>443</v>
      </c>
    </row>
    <row r="79" spans="2:7">
      <c r="B79" s="2"/>
      <c r="C79" s="2"/>
      <c r="D79" s="2"/>
      <c r="E79" s="1408"/>
      <c r="F79" s="1408"/>
    </row>
    <row r="80" spans="2:7">
      <c r="B80" s="2"/>
      <c r="C80" s="2"/>
      <c r="D80" s="138" t="s">
        <v>442</v>
      </c>
      <c r="E80" s="275" t="s">
        <v>385</v>
      </c>
      <c r="F80" s="275" t="s">
        <v>384</v>
      </c>
    </row>
    <row r="81" spans="2:8">
      <c r="B81" s="2"/>
      <c r="C81" s="2"/>
      <c r="D81" s="21" t="s">
        <v>1878</v>
      </c>
      <c r="E81" s="133" t="s">
        <v>1877</v>
      </c>
      <c r="F81" s="133" t="s">
        <v>1877</v>
      </c>
    </row>
    <row r="82" spans="2:8">
      <c r="B82" s="2"/>
      <c r="C82" s="2"/>
      <c r="D82" s="192" t="s">
        <v>437</v>
      </c>
      <c r="E82" s="131">
        <v>39</v>
      </c>
      <c r="F82" s="131">
        <v>60</v>
      </c>
    </row>
    <row r="83" spans="2:8">
      <c r="B83" s="2"/>
      <c r="C83" s="2"/>
      <c r="D83" s="192" t="s">
        <v>1876</v>
      </c>
      <c r="E83" s="131">
        <v>35</v>
      </c>
      <c r="F83" s="131">
        <v>50</v>
      </c>
    </row>
    <row r="84" spans="2:8">
      <c r="B84" s="2"/>
      <c r="C84" s="2"/>
      <c r="D84" s="192" t="s">
        <v>1875</v>
      </c>
      <c r="E84" s="135">
        <v>5</v>
      </c>
      <c r="F84" s="135">
        <v>20.5</v>
      </c>
    </row>
    <row r="85" spans="2:8">
      <c r="B85" s="2"/>
      <c r="C85" s="2"/>
      <c r="D85" s="192" t="s">
        <v>439</v>
      </c>
      <c r="E85" s="1406">
        <v>8600</v>
      </c>
      <c r="F85" s="1406">
        <v>12000</v>
      </c>
    </row>
    <row r="86" spans="2:8">
      <c r="B86" s="2"/>
      <c r="C86" s="2"/>
      <c r="D86" s="2"/>
      <c r="E86" s="1408"/>
      <c r="F86" s="1408"/>
    </row>
    <row r="87" spans="2:8">
      <c r="B87" s="2"/>
      <c r="C87" s="2"/>
      <c r="D87" s="138" t="s">
        <v>438</v>
      </c>
      <c r="E87" s="275" t="s">
        <v>382</v>
      </c>
      <c r="F87" s="275" t="s">
        <v>380</v>
      </c>
    </row>
    <row r="88" spans="2:8">
      <c r="B88" s="2"/>
      <c r="C88" s="2"/>
      <c r="D88" s="192" t="s">
        <v>437</v>
      </c>
      <c r="E88" s="131">
        <v>63</v>
      </c>
      <c r="F88" s="131">
        <v>68</v>
      </c>
    </row>
    <row r="89" spans="2:8">
      <c r="B89" s="2"/>
      <c r="C89" s="2"/>
      <c r="D89" s="192" t="s">
        <v>436</v>
      </c>
      <c r="E89" s="131" t="s">
        <v>435</v>
      </c>
      <c r="F89" s="131">
        <v>64</v>
      </c>
    </row>
    <row r="90" spans="2:8">
      <c r="B90" s="2"/>
      <c r="C90" s="2"/>
      <c r="D90" s="192" t="s">
        <v>1874</v>
      </c>
      <c r="E90" s="1407">
        <v>41821</v>
      </c>
      <c r="F90" s="1407">
        <v>37622</v>
      </c>
    </row>
    <row r="91" spans="2:8">
      <c r="B91" s="2"/>
      <c r="C91" s="2"/>
      <c r="D91" s="192" t="s">
        <v>1873</v>
      </c>
      <c r="E91" s="1406">
        <v>12100</v>
      </c>
      <c r="F91" s="1406">
        <v>9900</v>
      </c>
    </row>
    <row r="92" spans="2:8">
      <c r="B92" s="2"/>
      <c r="C92" s="2"/>
      <c r="D92" s="192" t="s">
        <v>432</v>
      </c>
      <c r="E92" s="272" t="s">
        <v>555</v>
      </c>
      <c r="F92" s="272" t="s">
        <v>431</v>
      </c>
    </row>
    <row r="94" spans="2:8">
      <c r="B94" s="32" t="s">
        <v>429</v>
      </c>
      <c r="C94" s="2"/>
      <c r="D94" s="2"/>
      <c r="E94" s="2"/>
      <c r="F94" s="2"/>
      <c r="G94" s="2"/>
      <c r="H94" s="2"/>
    </row>
    <row r="95" spans="2:8">
      <c r="B95" s="32"/>
      <c r="C95" s="2"/>
      <c r="D95" s="2"/>
      <c r="E95" s="2"/>
      <c r="F95" s="2"/>
      <c r="G95" s="2"/>
      <c r="H95" s="2"/>
    </row>
    <row r="96" spans="2:8">
      <c r="B96" s="2"/>
      <c r="C96" s="2264"/>
      <c r="D96" s="2264"/>
      <c r="E96" s="275">
        <v>2018</v>
      </c>
      <c r="F96" s="275">
        <v>2019</v>
      </c>
      <c r="G96" s="275">
        <v>2020</v>
      </c>
      <c r="H96" s="2"/>
    </row>
    <row r="97" spans="1:10">
      <c r="B97" s="2"/>
      <c r="C97" s="1720" t="s">
        <v>1872</v>
      </c>
      <c r="D97" s="1720"/>
      <c r="E97" s="1405">
        <v>895000</v>
      </c>
      <c r="F97" s="1405">
        <f>E105</f>
        <v>1064440</v>
      </c>
      <c r="G97" s="1405">
        <f>F105</f>
        <v>1027320</v>
      </c>
      <c r="H97" s="2"/>
    </row>
    <row r="98" spans="1:10">
      <c r="B98" s="2"/>
      <c r="C98" s="1720" t="s">
        <v>367</v>
      </c>
      <c r="D98" s="1720"/>
      <c r="E98" s="1405">
        <v>105000</v>
      </c>
      <c r="F98" s="1405">
        <v>107000</v>
      </c>
      <c r="G98" s="1405">
        <v>109000</v>
      </c>
      <c r="H98" s="2"/>
    </row>
    <row r="99" spans="1:10">
      <c r="B99" s="2"/>
      <c r="C99" s="2265" t="s">
        <v>366</v>
      </c>
      <c r="D99" s="2265"/>
      <c r="E99" s="1405">
        <v>0</v>
      </c>
      <c r="F99" s="1405">
        <v>60000</v>
      </c>
      <c r="G99" s="1405">
        <v>108000</v>
      </c>
      <c r="H99" s="2"/>
    </row>
    <row r="100" spans="1:10">
      <c r="B100" s="2"/>
      <c r="C100" s="1720" t="s">
        <v>364</v>
      </c>
      <c r="D100" s="1720"/>
      <c r="E100" s="1405">
        <f>ROUND(F100/1.02,-1)</f>
        <v>-20740</v>
      </c>
      <c r="F100" s="1405">
        <f>ROUND(G100/1.02,-1)</f>
        <v>-21150</v>
      </c>
      <c r="G100" s="1405">
        <f>ROUND(-SUM('FRC-Spring22-Q4'!E91:F91)/1.02,-1)</f>
        <v>-21570</v>
      </c>
      <c r="H100" s="2"/>
    </row>
    <row r="101" spans="1:10">
      <c r="B101" s="2"/>
      <c r="C101" s="1720" t="s">
        <v>363</v>
      </c>
      <c r="D101" s="1720"/>
      <c r="E101" s="1405">
        <v>0</v>
      </c>
      <c r="F101" s="1405">
        <v>0</v>
      </c>
      <c r="G101" s="1405">
        <v>0</v>
      </c>
      <c r="H101" s="2"/>
    </row>
    <row r="102" spans="1:10">
      <c r="B102" s="2"/>
      <c r="C102" s="1720" t="s">
        <v>1841</v>
      </c>
      <c r="D102" s="1720"/>
      <c r="E102" s="1405">
        <v>-65120</v>
      </c>
      <c r="F102" s="1405">
        <v>-66470</v>
      </c>
      <c r="G102" s="1405">
        <v>-69430</v>
      </c>
      <c r="H102" s="2"/>
    </row>
    <row r="103" spans="1:10">
      <c r="B103" s="2"/>
      <c r="C103" s="1720" t="s">
        <v>360</v>
      </c>
      <c r="D103" s="1720"/>
      <c r="E103" s="1405">
        <v>50000</v>
      </c>
      <c r="F103" s="1405">
        <v>-16500</v>
      </c>
      <c r="G103" s="1405">
        <v>-65400</v>
      </c>
      <c r="H103" s="2"/>
    </row>
    <row r="104" spans="1:10">
      <c r="B104" s="2"/>
      <c r="C104" s="1720" t="s">
        <v>1840</v>
      </c>
      <c r="D104" s="1720"/>
      <c r="E104" s="1405">
        <v>100300</v>
      </c>
      <c r="F104" s="1405">
        <v>-100000</v>
      </c>
      <c r="G104" s="1405">
        <v>28900</v>
      </c>
      <c r="H104" s="2"/>
    </row>
    <row r="105" spans="1:10">
      <c r="B105" s="2"/>
      <c r="C105" s="1720" t="s">
        <v>1871</v>
      </c>
      <c r="D105" s="1720"/>
      <c r="E105" s="1405">
        <f>SUM(E97:E104)</f>
        <v>1064440</v>
      </c>
      <c r="F105" s="1405">
        <f>SUM(F97:F104)</f>
        <v>1027320</v>
      </c>
      <c r="G105" s="1405">
        <f>SUM(G97:G104)</f>
        <v>1116820</v>
      </c>
      <c r="H105" s="2"/>
    </row>
    <row r="106" spans="1:10">
      <c r="B106" s="2"/>
      <c r="C106" s="2"/>
      <c r="D106" s="2"/>
      <c r="E106" s="2"/>
      <c r="F106" s="2"/>
      <c r="G106" s="2"/>
      <c r="H106" s="2"/>
    </row>
    <row r="107" spans="1:10">
      <c r="B107" s="2"/>
      <c r="C107" s="1404" t="s">
        <v>1870</v>
      </c>
      <c r="D107" s="2"/>
      <c r="E107" s="2"/>
      <c r="F107" s="2"/>
      <c r="G107" s="2"/>
      <c r="H107" s="2"/>
    </row>
    <row r="108" spans="1:10">
      <c r="B108" s="2"/>
      <c r="C108" s="2"/>
      <c r="D108" s="2"/>
      <c r="E108" s="2"/>
      <c r="F108" s="2"/>
      <c r="G108" s="2"/>
      <c r="H108" s="2"/>
    </row>
    <row r="109" spans="1:10" s="61" customFormat="1">
      <c r="A109" s="68"/>
      <c r="B109" s="2"/>
      <c r="C109" s="1403" t="s">
        <v>1869</v>
      </c>
      <c r="D109" s="2266"/>
      <c r="E109" s="2266"/>
      <c r="F109" s="2266"/>
      <c r="G109" s="2"/>
      <c r="H109" s="2"/>
      <c r="I109" s="166"/>
      <c r="J109" s="68"/>
    </row>
    <row r="110" spans="1:10" s="61" customFormat="1">
      <c r="A110" s="68"/>
      <c r="B110" s="2"/>
      <c r="C110" s="1402" t="s">
        <v>1868</v>
      </c>
      <c r="D110" s="149"/>
      <c r="E110" s="1401">
        <v>0.4</v>
      </c>
      <c r="F110" s="1400"/>
      <c r="G110" s="2"/>
      <c r="H110" s="2"/>
      <c r="I110" s="166"/>
      <c r="J110" s="68"/>
    </row>
    <row r="111" spans="1:10" s="61" customFormat="1">
      <c r="A111" s="68"/>
      <c r="B111" s="2"/>
      <c r="C111" s="1402" t="s">
        <v>1867</v>
      </c>
      <c r="D111" s="149"/>
      <c r="E111" s="1401">
        <v>0</v>
      </c>
      <c r="F111" s="1400"/>
      <c r="G111" s="2"/>
      <c r="H111" s="2"/>
      <c r="I111" s="166"/>
      <c r="J111" s="68"/>
    </row>
    <row r="112" spans="1:10" s="61" customFormat="1">
      <c r="A112" s="68"/>
      <c r="B112" s="2"/>
      <c r="C112" s="1402" t="s">
        <v>1866</v>
      </c>
      <c r="D112" s="149"/>
      <c r="E112" s="1401">
        <f>1-E110-E111</f>
        <v>0.6</v>
      </c>
      <c r="F112" s="1400"/>
      <c r="G112" s="2"/>
      <c r="H112" s="2"/>
      <c r="I112" s="166"/>
      <c r="J112" s="68"/>
    </row>
    <row r="113" spans="2:10">
      <c r="B113" s="2"/>
      <c r="C113" s="2"/>
      <c r="D113" s="2"/>
      <c r="E113" s="2"/>
      <c r="F113" s="2"/>
      <c r="G113" s="2"/>
      <c r="H113" s="2"/>
    </row>
    <row r="114" spans="2:10">
      <c r="B114" s="32" t="s">
        <v>1865</v>
      </c>
    </row>
    <row r="116" spans="2:10">
      <c r="B116" s="32" t="s">
        <v>1864</v>
      </c>
      <c r="C116" s="2"/>
      <c r="D116" s="2"/>
      <c r="E116" s="1395"/>
      <c r="F116" s="1395"/>
      <c r="G116" s="2"/>
      <c r="H116" s="2"/>
      <c r="I116" s="2"/>
      <c r="J116" s="2"/>
    </row>
    <row r="117" spans="2:10">
      <c r="B117" s="1701" t="s">
        <v>421</v>
      </c>
      <c r="C117" s="2267"/>
      <c r="D117" s="2267"/>
      <c r="E117" s="2268"/>
      <c r="F117" s="2268"/>
      <c r="G117" s="2267"/>
      <c r="H117" s="2267"/>
      <c r="I117" s="2267"/>
      <c r="J117" s="2267"/>
    </row>
    <row r="118" spans="2:10">
      <c r="B118" s="1702"/>
      <c r="C118" s="2267"/>
      <c r="D118" s="2267"/>
      <c r="E118" s="2268"/>
      <c r="F118" s="2268"/>
      <c r="G118" s="2267"/>
      <c r="H118" s="2267"/>
      <c r="I118" s="2267"/>
      <c r="J118" s="2267"/>
    </row>
    <row r="119" spans="2:10">
      <c r="B119" s="73">
        <f>'FRC-Spring22-Q4'!D24</f>
        <v>4.9000000000000002E-2</v>
      </c>
      <c r="C119" s="1388">
        <v>18.2</v>
      </c>
      <c r="D119" s="1388">
        <v>17.8</v>
      </c>
      <c r="E119" s="1388">
        <v>17.3</v>
      </c>
      <c r="F119" s="1388">
        <v>16.899999999999999</v>
      </c>
      <c r="G119" s="1388">
        <v>16.399999999999999</v>
      </c>
      <c r="H119" s="1388">
        <v>16</v>
      </c>
      <c r="I119" s="1388">
        <v>17.3</v>
      </c>
      <c r="J119" s="1388">
        <v>16.899999999999999</v>
      </c>
    </row>
    <row r="120" spans="2:10">
      <c r="B120" s="73">
        <f>'FRC-Spring22-Q4'!E220</f>
        <v>3.5999999999999997E-2</v>
      </c>
      <c r="C120" s="1388">
        <v>21.4</v>
      </c>
      <c r="D120" s="1388">
        <v>20.8</v>
      </c>
      <c r="E120" s="1388">
        <v>20.2</v>
      </c>
      <c r="F120" s="1388">
        <v>19.600000000000001</v>
      </c>
      <c r="G120" s="1388">
        <v>19</v>
      </c>
      <c r="H120" s="1388">
        <v>18.399999999999999</v>
      </c>
      <c r="I120" s="1388">
        <v>20.100000000000001</v>
      </c>
      <c r="J120" s="1388">
        <v>19.5</v>
      </c>
    </row>
    <row r="121" spans="2:10">
      <c r="B121" s="1398"/>
      <c r="C121" s="172"/>
      <c r="D121" s="172"/>
      <c r="E121" s="172"/>
      <c r="F121" s="172"/>
      <c r="G121" s="172"/>
      <c r="H121" s="172"/>
      <c r="I121" s="172"/>
      <c r="J121" s="172"/>
    </row>
    <row r="122" spans="2:10">
      <c r="B122" s="1397"/>
      <c r="C122" s="172"/>
      <c r="D122" s="172"/>
      <c r="E122" s="172"/>
      <c r="F122" s="172"/>
      <c r="G122" s="172"/>
      <c r="H122" s="172"/>
      <c r="I122" s="172"/>
      <c r="J122" s="172"/>
    </row>
    <row r="123" spans="2:10">
      <c r="B123" s="32" t="s">
        <v>1863</v>
      </c>
      <c r="C123" s="2"/>
      <c r="D123" s="172"/>
      <c r="E123" s="1396"/>
      <c r="F123" s="1396"/>
      <c r="G123" s="172"/>
      <c r="H123" s="172"/>
      <c r="I123" s="172"/>
      <c r="J123" s="172"/>
    </row>
    <row r="124" spans="2:10">
      <c r="B124" s="2269" t="s">
        <v>421</v>
      </c>
      <c r="C124" s="2269"/>
      <c r="D124" s="2269"/>
      <c r="E124" s="2270"/>
      <c r="F124" s="2270"/>
      <c r="G124" s="2269"/>
      <c r="H124" s="2269"/>
      <c r="I124" s="2269"/>
      <c r="J124" s="1701"/>
    </row>
    <row r="125" spans="2:10">
      <c r="B125" s="2269"/>
      <c r="C125" s="2269"/>
      <c r="D125" s="2269"/>
      <c r="E125" s="2270"/>
      <c r="F125" s="2270"/>
      <c r="G125" s="2269"/>
      <c r="H125" s="2269"/>
      <c r="I125" s="2269"/>
      <c r="J125" s="1702"/>
    </row>
    <row r="126" spans="2:10">
      <c r="B126" s="73">
        <f>B119</f>
        <v>4.9000000000000002E-2</v>
      </c>
      <c r="C126" s="1388">
        <v>14.3</v>
      </c>
      <c r="D126" s="1388">
        <v>14</v>
      </c>
      <c r="E126" s="1388">
        <v>13.8</v>
      </c>
      <c r="F126" s="1388">
        <v>13.5</v>
      </c>
      <c r="G126" s="1388">
        <v>13.2</v>
      </c>
      <c r="H126" s="1388">
        <v>12.9</v>
      </c>
      <c r="I126" s="1388">
        <v>13.8</v>
      </c>
      <c r="J126" s="136">
        <v>13.4</v>
      </c>
    </row>
    <row r="127" spans="2:10">
      <c r="B127" s="73">
        <f>B120</f>
        <v>3.5999999999999997E-2</v>
      </c>
      <c r="C127" s="1388">
        <v>16.5</v>
      </c>
      <c r="D127" s="1388">
        <v>16.100000000000001</v>
      </c>
      <c r="E127" s="1388">
        <v>15.8</v>
      </c>
      <c r="F127" s="1388">
        <v>15.4</v>
      </c>
      <c r="G127" s="1388">
        <v>15</v>
      </c>
      <c r="H127" s="1388">
        <v>14.6</v>
      </c>
      <c r="I127" s="1388">
        <v>15.8</v>
      </c>
      <c r="J127" s="1367">
        <v>15.2</v>
      </c>
    </row>
    <row r="128" spans="2:10">
      <c r="B128" s="172"/>
      <c r="C128" s="172"/>
      <c r="D128" s="172"/>
      <c r="E128" s="172"/>
      <c r="F128" s="172"/>
      <c r="G128" s="172"/>
      <c r="H128" s="172"/>
      <c r="I128" s="172"/>
      <c r="J128" s="172"/>
    </row>
    <row r="129" spans="1:10">
      <c r="B129" s="172"/>
      <c r="C129" s="172"/>
      <c r="D129" s="172"/>
      <c r="E129" s="172"/>
      <c r="F129" s="172"/>
      <c r="G129" s="172"/>
      <c r="H129" s="172"/>
      <c r="I129" s="172"/>
      <c r="J129" s="172"/>
    </row>
    <row r="130" spans="1:10" s="6" customFormat="1">
      <c r="A130" s="2"/>
      <c r="B130" s="32" t="s">
        <v>1780</v>
      </c>
      <c r="C130" s="32"/>
      <c r="D130" s="2"/>
      <c r="E130" s="1395"/>
      <c r="F130" s="1395"/>
      <c r="G130" s="2"/>
      <c r="H130" s="2"/>
      <c r="I130" s="2"/>
      <c r="J130" s="2"/>
    </row>
    <row r="131" spans="1:10" s="6" customFormat="1">
      <c r="A131" s="2"/>
      <c r="B131" s="2"/>
      <c r="C131" s="2"/>
      <c r="D131" s="2"/>
      <c r="E131" s="1395"/>
      <c r="F131" s="1395"/>
      <c r="G131" s="2"/>
      <c r="H131" s="2"/>
      <c r="I131" s="2"/>
      <c r="J131" s="2"/>
    </row>
    <row r="132" spans="1:10" s="6" customFormat="1">
      <c r="A132" s="2"/>
      <c r="B132" s="2"/>
      <c r="C132" s="32" t="s">
        <v>413</v>
      </c>
      <c r="D132" s="2"/>
      <c r="E132" s="1395"/>
      <c r="F132" s="1395"/>
      <c r="G132" s="2"/>
      <c r="H132" s="2"/>
      <c r="I132" s="2"/>
      <c r="J132" s="2"/>
    </row>
    <row r="133" spans="1:10" s="6" customFormat="1">
      <c r="A133" s="2"/>
      <c r="B133" s="2"/>
      <c r="C133" s="1393" t="s">
        <v>415</v>
      </c>
      <c r="D133" s="1392" t="s">
        <v>1862</v>
      </c>
      <c r="E133" s="1393" t="s">
        <v>415</v>
      </c>
      <c r="F133" s="1394" t="s">
        <v>1160</v>
      </c>
      <c r="G133" s="1393" t="s">
        <v>415</v>
      </c>
      <c r="H133" s="1394" t="s">
        <v>1861</v>
      </c>
      <c r="I133" s="1393" t="s">
        <v>415</v>
      </c>
      <c r="J133" s="1392" t="s">
        <v>1860</v>
      </c>
    </row>
    <row r="134" spans="1:10" s="6" customFormat="1">
      <c r="A134" s="2"/>
      <c r="B134" s="2"/>
      <c r="C134" s="1390">
        <v>6</v>
      </c>
      <c r="D134" s="1389">
        <v>26.4</v>
      </c>
      <c r="E134" s="1390">
        <v>5</v>
      </c>
      <c r="F134" s="1391">
        <v>26.6</v>
      </c>
      <c r="G134" s="1390">
        <v>1</v>
      </c>
      <c r="H134" s="1391">
        <v>27.4</v>
      </c>
      <c r="I134" s="1390">
        <v>0</v>
      </c>
      <c r="J134" s="1389">
        <v>27.6</v>
      </c>
    </row>
    <row r="135" spans="1:10" s="6" customFormat="1">
      <c r="A135" s="2"/>
      <c r="B135" s="2"/>
      <c r="C135" s="1390">
        <v>7</v>
      </c>
      <c r="D135" s="1389">
        <v>25.5</v>
      </c>
      <c r="E135" s="1390">
        <v>6</v>
      </c>
      <c r="F135" s="1391">
        <v>25.7</v>
      </c>
      <c r="G135" s="1390">
        <v>2</v>
      </c>
      <c r="H135" s="1391">
        <v>26.5</v>
      </c>
      <c r="I135" s="1390">
        <v>1</v>
      </c>
      <c r="J135" s="1389">
        <v>26.7</v>
      </c>
    </row>
    <row r="136" spans="1:10" s="6" customFormat="1">
      <c r="A136" s="2"/>
      <c r="B136" s="2"/>
      <c r="C136" s="1390">
        <v>8</v>
      </c>
      <c r="D136" s="1389">
        <v>24.7</v>
      </c>
      <c r="E136" s="1390">
        <v>7</v>
      </c>
      <c r="F136" s="1391">
        <v>24.9</v>
      </c>
      <c r="G136" s="1390">
        <v>3</v>
      </c>
      <c r="H136" s="1391">
        <v>25.6</v>
      </c>
      <c r="I136" s="1390">
        <v>2</v>
      </c>
      <c r="J136" s="1389">
        <v>25.8</v>
      </c>
    </row>
    <row r="137" spans="1:10" s="6" customFormat="1">
      <c r="A137" s="2"/>
      <c r="B137" s="2"/>
      <c r="C137" s="1390">
        <v>9</v>
      </c>
      <c r="D137" s="1389">
        <v>23.8</v>
      </c>
      <c r="E137" s="1390">
        <v>8</v>
      </c>
      <c r="F137" s="1391">
        <v>24</v>
      </c>
      <c r="G137" s="1390">
        <v>4</v>
      </c>
      <c r="H137" s="1391">
        <v>24.8</v>
      </c>
      <c r="I137" s="1390">
        <v>3</v>
      </c>
      <c r="J137" s="1389">
        <v>24.9</v>
      </c>
    </row>
    <row r="138" spans="1:10" s="6" customFormat="1">
      <c r="A138" s="2"/>
      <c r="B138" s="2"/>
      <c r="C138" s="1390">
        <v>10</v>
      </c>
      <c r="D138" s="1389">
        <v>23</v>
      </c>
      <c r="E138" s="1390">
        <v>9</v>
      </c>
      <c r="F138" s="1391">
        <v>23.2</v>
      </c>
      <c r="G138" s="1390">
        <v>5</v>
      </c>
      <c r="H138" s="1391">
        <v>23.9</v>
      </c>
      <c r="I138" s="1390">
        <v>4</v>
      </c>
      <c r="J138" s="1389">
        <v>24.1</v>
      </c>
    </row>
    <row r="139" spans="1:10" s="6" customFormat="1">
      <c r="A139" s="2"/>
      <c r="B139" s="2"/>
      <c r="C139" s="1390">
        <v>11</v>
      </c>
      <c r="D139" s="1389">
        <v>22.2</v>
      </c>
      <c r="E139" s="1390">
        <v>10</v>
      </c>
      <c r="F139" s="1391">
        <v>22.4</v>
      </c>
      <c r="G139" s="1390">
        <v>6</v>
      </c>
      <c r="H139" s="1391">
        <v>23.1</v>
      </c>
      <c r="I139" s="1390">
        <v>5</v>
      </c>
      <c r="J139" s="1389">
        <v>23.2</v>
      </c>
    </row>
    <row r="140" spans="1:10" s="6" customFormat="1">
      <c r="A140" s="2"/>
      <c r="B140" s="2"/>
      <c r="C140" s="1390">
        <v>12</v>
      </c>
      <c r="D140" s="1389">
        <v>21.4</v>
      </c>
      <c r="E140" s="1390">
        <v>11</v>
      </c>
      <c r="F140" s="1391">
        <v>21.5</v>
      </c>
      <c r="G140" s="1390">
        <v>7</v>
      </c>
      <c r="H140" s="1391">
        <v>22.2</v>
      </c>
      <c r="I140" s="1390">
        <v>6</v>
      </c>
      <c r="J140" s="1389">
        <v>22.4</v>
      </c>
    </row>
    <row r="141" spans="1:10" s="6" customFormat="1">
      <c r="A141" s="2"/>
      <c r="B141" s="2"/>
      <c r="C141" s="1390">
        <v>13</v>
      </c>
      <c r="D141" s="1389">
        <v>20.6</v>
      </c>
      <c r="E141" s="1390">
        <v>12</v>
      </c>
      <c r="F141" s="1391">
        <v>20.7</v>
      </c>
      <c r="G141" s="1390">
        <v>8</v>
      </c>
      <c r="H141" s="1391">
        <v>21.4</v>
      </c>
      <c r="I141" s="1390">
        <v>7</v>
      </c>
      <c r="J141" s="1389">
        <v>21.5</v>
      </c>
    </row>
    <row r="142" spans="1:10" s="6" customFormat="1">
      <c r="A142" s="2"/>
      <c r="B142" s="2"/>
      <c r="C142" s="1390">
        <v>14</v>
      </c>
      <c r="D142" s="1389">
        <v>19.8</v>
      </c>
      <c r="E142" s="1390">
        <v>13</v>
      </c>
      <c r="F142" s="1391">
        <v>19.899999999999999</v>
      </c>
      <c r="G142" s="1390">
        <v>9</v>
      </c>
      <c r="H142" s="1391">
        <v>20.6</v>
      </c>
      <c r="I142" s="1390">
        <v>8</v>
      </c>
      <c r="J142" s="1389">
        <v>20.7</v>
      </c>
    </row>
    <row r="143" spans="1:10" s="6" customFormat="1">
      <c r="A143" s="2"/>
      <c r="B143" s="2"/>
      <c r="C143" s="1390">
        <v>15</v>
      </c>
      <c r="D143" s="1389">
        <v>19</v>
      </c>
      <c r="E143" s="1390">
        <v>14</v>
      </c>
      <c r="F143" s="1391">
        <v>19.100000000000001</v>
      </c>
      <c r="G143" s="1390">
        <v>10</v>
      </c>
      <c r="H143" s="1391">
        <v>19.7</v>
      </c>
      <c r="I143" s="1390">
        <v>9</v>
      </c>
      <c r="J143" s="1389">
        <v>19.899999999999999</v>
      </c>
    </row>
    <row r="144" spans="1:10" s="6" customFormat="1">
      <c r="A144" s="2"/>
      <c r="B144" s="2"/>
      <c r="C144" s="1390">
        <v>16</v>
      </c>
      <c r="D144" s="1389">
        <v>18.2</v>
      </c>
      <c r="E144" s="1390">
        <v>15</v>
      </c>
      <c r="F144" s="1391">
        <v>18.3</v>
      </c>
      <c r="G144" s="1390">
        <v>11</v>
      </c>
      <c r="H144" s="1391">
        <v>18.899999999999999</v>
      </c>
      <c r="I144" s="1390">
        <v>10</v>
      </c>
      <c r="J144" s="1389">
        <v>19.100000000000001</v>
      </c>
    </row>
    <row r="145" spans="1:10" s="6" customFormat="1">
      <c r="A145" s="2"/>
      <c r="B145" s="2"/>
      <c r="C145" s="1376"/>
      <c r="D145" s="2"/>
      <c r="E145" s="2"/>
      <c r="F145" s="2"/>
      <c r="G145" s="2"/>
      <c r="H145" s="2"/>
      <c r="I145" s="2"/>
      <c r="J145" s="2"/>
    </row>
    <row r="146" spans="1:10" s="6" customFormat="1">
      <c r="A146" s="2"/>
      <c r="B146" s="2"/>
      <c r="C146" s="32" t="s">
        <v>413</v>
      </c>
      <c r="D146" s="2"/>
      <c r="E146" s="2"/>
      <c r="F146" s="2"/>
      <c r="G146" s="32" t="s">
        <v>412</v>
      </c>
      <c r="H146" s="2"/>
      <c r="I146" s="2"/>
      <c r="J146" s="2"/>
    </row>
    <row r="147" spans="1:10" s="6" customFormat="1">
      <c r="A147" s="2"/>
      <c r="B147" s="2"/>
      <c r="C147" s="2269"/>
      <c r="D147" s="1686">
        <v>11.7</v>
      </c>
      <c r="E147" s="2"/>
      <c r="F147" s="2"/>
      <c r="G147" s="1701"/>
      <c r="H147" s="2271">
        <v>26.9</v>
      </c>
      <c r="I147" s="2"/>
      <c r="J147" s="2"/>
    </row>
    <row r="148" spans="1:10" s="6" customFormat="1">
      <c r="A148" s="2"/>
      <c r="B148" s="2"/>
      <c r="C148" s="2269"/>
      <c r="D148" s="1686"/>
      <c r="E148" s="2"/>
      <c r="F148" s="2"/>
      <c r="G148" s="1702"/>
      <c r="H148" s="2271"/>
      <c r="I148" s="2"/>
      <c r="J148" s="2"/>
    </row>
    <row r="149" spans="1:10" s="6" customFormat="1">
      <c r="A149" s="2"/>
      <c r="B149" s="2"/>
      <c r="C149" s="2269"/>
      <c r="D149" s="1686">
        <v>11.3</v>
      </c>
      <c r="E149" s="2"/>
      <c r="F149" s="2"/>
      <c r="G149" s="1701"/>
      <c r="H149" s="2274">
        <v>25.8</v>
      </c>
      <c r="I149" s="2"/>
      <c r="J149" s="2"/>
    </row>
    <row r="150" spans="1:10" s="6" customFormat="1">
      <c r="A150" s="2"/>
      <c r="B150" s="2"/>
      <c r="C150" s="2269"/>
      <c r="D150" s="1686"/>
      <c r="E150" s="2"/>
      <c r="F150" s="2"/>
      <c r="G150" s="1702"/>
      <c r="H150" s="2274"/>
      <c r="I150" s="2"/>
      <c r="J150" s="2"/>
    </row>
    <row r="151" spans="1:10" s="6" customFormat="1">
      <c r="A151" s="2"/>
      <c r="B151" s="2"/>
      <c r="C151" s="2269"/>
      <c r="D151" s="2271">
        <v>24.1</v>
      </c>
      <c r="E151" s="2"/>
      <c r="F151" s="2"/>
      <c r="G151" s="1701"/>
      <c r="H151" s="2274">
        <v>24.7</v>
      </c>
      <c r="I151" s="2"/>
      <c r="J151" s="2"/>
    </row>
    <row r="152" spans="1:10" s="6" customFormat="1">
      <c r="A152" s="2"/>
      <c r="B152" s="2"/>
      <c r="C152" s="2269"/>
      <c r="D152" s="2271"/>
      <c r="E152" s="2"/>
      <c r="F152" s="2"/>
      <c r="G152" s="1702"/>
      <c r="H152" s="2274"/>
      <c r="I152" s="2"/>
      <c r="J152" s="2"/>
    </row>
    <row r="153" spans="1:10" s="6" customFormat="1">
      <c r="A153" s="2"/>
      <c r="B153" s="2"/>
      <c r="C153" s="2269"/>
      <c r="D153" s="2271">
        <v>23.4</v>
      </c>
      <c r="E153" s="2"/>
      <c r="F153" s="2"/>
      <c r="G153" s="2272"/>
      <c r="H153" s="2274">
        <v>27.4</v>
      </c>
      <c r="I153" s="2"/>
      <c r="J153" s="2"/>
    </row>
    <row r="154" spans="1:10" s="6" customFormat="1">
      <c r="A154" s="2"/>
      <c r="B154" s="2"/>
      <c r="C154" s="2269"/>
      <c r="D154" s="2271"/>
      <c r="E154" s="2"/>
      <c r="F154" s="2"/>
      <c r="G154" s="2273"/>
      <c r="H154" s="2274"/>
      <c r="I154" s="2"/>
      <c r="J154" s="2"/>
    </row>
    <row r="155" spans="1:10" s="6" customFormat="1">
      <c r="A155" s="2"/>
      <c r="B155" s="2"/>
      <c r="C155" s="2"/>
      <c r="D155" s="2"/>
      <c r="E155" s="2"/>
      <c r="F155" s="2"/>
      <c r="G155" s="2"/>
      <c r="H155" s="2"/>
      <c r="I155" s="2"/>
      <c r="J155" s="2"/>
    </row>
    <row r="156" spans="1:10" s="6" customFormat="1">
      <c r="A156" s="2"/>
      <c r="B156" s="2"/>
      <c r="C156" s="2"/>
      <c r="D156" s="2"/>
      <c r="E156" s="2"/>
      <c r="F156" s="2"/>
      <c r="G156" s="2"/>
      <c r="H156" s="2"/>
      <c r="I156" s="2"/>
      <c r="J156" s="2"/>
    </row>
    <row r="157" spans="1:10" s="6" customFormat="1">
      <c r="A157" s="2"/>
      <c r="B157" s="1387" t="s">
        <v>26</v>
      </c>
      <c r="C157" s="5" t="s">
        <v>1701</v>
      </c>
      <c r="D157" s="1" t="s">
        <v>1859</v>
      </c>
      <c r="E157" s="2"/>
      <c r="F157" s="2"/>
      <c r="G157" s="2"/>
      <c r="H157" s="2"/>
      <c r="I157" s="2"/>
      <c r="J157" s="2"/>
    </row>
    <row r="158" spans="1:10" s="6" customFormat="1">
      <c r="A158" s="2"/>
      <c r="B158" s="2"/>
      <c r="C158" s="2"/>
      <c r="D158" s="2"/>
      <c r="E158" s="2"/>
      <c r="F158" s="2"/>
      <c r="G158" s="2"/>
      <c r="H158" s="2"/>
      <c r="I158" s="2"/>
      <c r="J158" s="2"/>
    </row>
    <row r="159" spans="1:10" s="6" customFormat="1">
      <c r="A159" s="2"/>
      <c r="B159" s="2"/>
      <c r="C159" s="1" t="s">
        <v>1830</v>
      </c>
      <c r="D159" s="1" t="s">
        <v>356</v>
      </c>
      <c r="E159" s="2"/>
      <c r="F159" s="2"/>
      <c r="G159" s="2"/>
      <c r="H159" s="2"/>
      <c r="I159" s="2"/>
      <c r="J159" s="2"/>
    </row>
    <row r="160" spans="1:10" s="6" customFormat="1">
      <c r="A160" s="2"/>
      <c r="B160" s="2"/>
      <c r="C160" s="2"/>
      <c r="D160" s="2"/>
      <c r="E160" s="2"/>
      <c r="F160" s="2"/>
      <c r="G160" s="2"/>
      <c r="H160" s="2"/>
      <c r="I160" s="2"/>
      <c r="J160" s="2"/>
    </row>
    <row r="161" spans="1:10" s="6" customFormat="1">
      <c r="A161" s="2"/>
      <c r="B161" s="2"/>
      <c r="C161" s="2"/>
      <c r="D161" s="2275" t="s">
        <v>343</v>
      </c>
      <c r="E161" s="2276"/>
      <c r="F161" s="2276"/>
      <c r="G161" s="2276"/>
      <c r="H161" s="2276"/>
      <c r="I161" s="2276"/>
      <c r="J161" s="2277"/>
    </row>
    <row r="162" spans="1:10" s="6" customFormat="1">
      <c r="A162" s="2"/>
      <c r="B162" s="2"/>
      <c r="C162" s="2"/>
      <c r="D162" s="2"/>
      <c r="E162" s="2"/>
      <c r="F162" s="2"/>
      <c r="G162" s="2"/>
      <c r="H162" s="2"/>
      <c r="I162" s="2"/>
      <c r="J162" s="2"/>
    </row>
    <row r="163" spans="1:10" s="6" customFormat="1">
      <c r="A163" s="2"/>
      <c r="B163" s="2"/>
      <c r="C163" s="1"/>
      <c r="D163" s="1" t="s">
        <v>947</v>
      </c>
      <c r="E163" s="2"/>
      <c r="F163" s="1380"/>
      <c r="G163" s="2"/>
      <c r="H163" s="2"/>
      <c r="I163" s="2"/>
      <c r="J163" s="2"/>
    </row>
    <row r="164" spans="1:10" s="6" customFormat="1">
      <c r="A164" s="2"/>
      <c r="B164" s="2"/>
      <c r="C164" s="2"/>
      <c r="D164" s="2"/>
      <c r="E164" s="2"/>
      <c r="F164" s="2"/>
      <c r="G164" s="2"/>
      <c r="H164" s="2"/>
      <c r="I164" s="2"/>
      <c r="J164" s="2"/>
    </row>
    <row r="165" spans="1:10" s="6" customFormat="1">
      <c r="A165" s="2"/>
      <c r="B165" s="2"/>
      <c r="C165" s="2"/>
      <c r="D165" s="1" t="s">
        <v>354</v>
      </c>
      <c r="E165" s="2"/>
      <c r="F165" s="2"/>
      <c r="G165" s="2"/>
      <c r="H165" s="2"/>
      <c r="I165" s="2"/>
      <c r="J165" s="2"/>
    </row>
    <row r="166" spans="1:10" s="6" customFormat="1">
      <c r="A166" s="2"/>
      <c r="B166" s="2"/>
      <c r="C166" s="2"/>
      <c r="D166" s="2" t="s">
        <v>353</v>
      </c>
      <c r="E166" s="2"/>
      <c r="F166" s="2"/>
      <c r="G166" s="2"/>
      <c r="H166" s="2"/>
      <c r="I166" s="2"/>
      <c r="J166" s="2"/>
    </row>
    <row r="167" spans="1:10" s="6" customFormat="1">
      <c r="A167" s="2"/>
      <c r="B167" s="2"/>
      <c r="C167" s="2"/>
      <c r="D167" s="189" t="s">
        <v>352</v>
      </c>
      <c r="E167" s="2"/>
      <c r="F167" s="1379"/>
      <c r="G167" s="2"/>
      <c r="H167" s="2"/>
      <c r="I167" s="2"/>
      <c r="J167" s="2"/>
    </row>
    <row r="168" spans="1:10" s="6" customFormat="1">
      <c r="A168" s="2"/>
      <c r="B168" s="2"/>
      <c r="C168" s="2"/>
      <c r="D168" s="189" t="s">
        <v>351</v>
      </c>
      <c r="E168" s="2"/>
      <c r="F168" s="1379"/>
      <c r="G168" s="2"/>
      <c r="H168" s="2"/>
      <c r="I168" s="2"/>
      <c r="J168" s="2"/>
    </row>
    <row r="169" spans="1:10" s="6" customFormat="1">
      <c r="A169" s="2"/>
      <c r="B169" s="2"/>
      <c r="C169" s="2"/>
      <c r="D169" s="189" t="s">
        <v>350</v>
      </c>
      <c r="E169" s="2"/>
      <c r="F169" s="1379"/>
      <c r="G169" s="2"/>
      <c r="H169" s="2"/>
      <c r="I169" s="2"/>
      <c r="J169" s="2"/>
    </row>
    <row r="170" spans="1:10" s="6" customFormat="1">
      <c r="A170" s="2"/>
      <c r="B170" s="2"/>
      <c r="C170" s="2"/>
      <c r="D170" s="2" t="s">
        <v>349</v>
      </c>
      <c r="E170" s="2"/>
      <c r="F170" s="1378">
        <f>SUM(F167:F169)</f>
        <v>0</v>
      </c>
      <c r="G170" s="222"/>
      <c r="H170" s="2"/>
      <c r="I170" s="2"/>
      <c r="J170" s="2"/>
    </row>
    <row r="171" spans="1:10" s="6" customFormat="1">
      <c r="A171" s="2"/>
      <c r="B171" s="2"/>
      <c r="C171" s="2"/>
      <c r="D171" s="2" t="s">
        <v>348</v>
      </c>
      <c r="E171" s="2"/>
      <c r="F171" s="1379"/>
      <c r="G171" s="2"/>
      <c r="H171" s="2"/>
      <c r="I171" s="2"/>
      <c r="J171" s="2"/>
    </row>
    <row r="172" spans="1:10" s="6" customFormat="1">
      <c r="A172" s="2"/>
      <c r="B172" s="2"/>
      <c r="C172" s="2"/>
      <c r="D172" s="1" t="s">
        <v>347</v>
      </c>
      <c r="E172" s="2"/>
      <c r="F172" s="1377">
        <f>SUM(F170:F171)</f>
        <v>0</v>
      </c>
      <c r="G172" s="2"/>
      <c r="H172" s="2"/>
      <c r="I172" s="2"/>
      <c r="J172" s="2"/>
    </row>
    <row r="173" spans="1:10" s="6" customFormat="1">
      <c r="A173" s="2"/>
      <c r="B173" s="2"/>
      <c r="C173" s="2"/>
      <c r="D173" s="2"/>
      <c r="E173" s="2"/>
      <c r="F173" s="2"/>
      <c r="G173" s="2"/>
      <c r="H173" s="2"/>
      <c r="I173" s="2"/>
      <c r="J173" s="2"/>
    </row>
    <row r="174" spans="1:10" s="6" customFormat="1">
      <c r="A174" s="2"/>
      <c r="B174" s="2"/>
      <c r="C174" s="2"/>
      <c r="D174" s="1" t="s">
        <v>346</v>
      </c>
      <c r="E174" s="2"/>
      <c r="F174" s="1377">
        <f>F163-F172</f>
        <v>0</v>
      </c>
      <c r="G174" s="2"/>
      <c r="H174" s="2"/>
      <c r="I174" s="2"/>
      <c r="J174" s="2"/>
    </row>
    <row r="175" spans="1:10" s="6" customFormat="1">
      <c r="A175" s="2"/>
      <c r="B175" s="2"/>
      <c r="C175" s="2"/>
      <c r="D175" s="2"/>
      <c r="E175" s="2"/>
      <c r="F175" s="2"/>
      <c r="G175" s="2"/>
      <c r="H175" s="2"/>
      <c r="I175" s="2"/>
      <c r="J175" s="2"/>
    </row>
    <row r="176" spans="1:10" s="6" customFormat="1">
      <c r="A176" s="2"/>
      <c r="B176" s="2"/>
      <c r="C176" s="1" t="s">
        <v>1827</v>
      </c>
      <c r="D176" s="1" t="s">
        <v>1858</v>
      </c>
      <c r="E176" s="2"/>
      <c r="F176" s="2"/>
      <c r="G176" s="2"/>
      <c r="H176" s="2"/>
      <c r="I176" s="2"/>
      <c r="J176" s="2"/>
    </row>
    <row r="177" spans="1:10" s="6" customFormat="1">
      <c r="A177" s="2"/>
      <c r="B177" s="2"/>
      <c r="C177" s="1"/>
      <c r="D177" s="1"/>
      <c r="E177" s="2"/>
      <c r="F177" s="2"/>
      <c r="G177" s="2"/>
      <c r="H177" s="2"/>
      <c r="I177" s="2"/>
      <c r="J177" s="2"/>
    </row>
    <row r="178" spans="1:10" s="6" customFormat="1">
      <c r="A178" s="2"/>
      <c r="B178" s="2"/>
      <c r="C178" s="1"/>
      <c r="D178" s="2275" t="s">
        <v>343</v>
      </c>
      <c r="E178" s="2276"/>
      <c r="F178" s="2276"/>
      <c r="G178" s="2276"/>
      <c r="H178" s="2276"/>
      <c r="I178" s="2276"/>
      <c r="J178" s="2277"/>
    </row>
    <row r="179" spans="1:10" s="6" customFormat="1">
      <c r="A179" s="2"/>
      <c r="B179" s="2"/>
      <c r="C179" s="2"/>
      <c r="D179" s="2"/>
      <c r="E179" s="2"/>
      <c r="F179" s="2"/>
      <c r="G179" s="2"/>
      <c r="H179" s="2"/>
      <c r="I179" s="2"/>
      <c r="J179" s="2"/>
    </row>
    <row r="180" spans="1:10" s="6" customFormat="1">
      <c r="A180" s="2"/>
      <c r="B180" s="2"/>
      <c r="C180" s="1"/>
      <c r="D180" s="1" t="s">
        <v>409</v>
      </c>
      <c r="E180" s="2"/>
      <c r="F180" s="1380"/>
      <c r="G180" s="2"/>
      <c r="H180" s="2"/>
      <c r="I180" s="2"/>
      <c r="J180" s="2"/>
    </row>
    <row r="181" spans="1:10" s="6" customFormat="1">
      <c r="A181" s="2"/>
      <c r="B181" s="2"/>
      <c r="C181" s="2"/>
      <c r="D181" s="2"/>
      <c r="E181" s="2"/>
      <c r="F181" s="2"/>
      <c r="G181" s="2"/>
      <c r="H181" s="2"/>
      <c r="I181" s="2"/>
      <c r="J181" s="2"/>
    </row>
    <row r="182" spans="1:10" s="6" customFormat="1">
      <c r="A182" s="2"/>
      <c r="B182" s="2"/>
      <c r="C182" s="2"/>
      <c r="D182" s="2" t="s">
        <v>1857</v>
      </c>
      <c r="E182" s="2"/>
      <c r="F182" s="2"/>
      <c r="G182" s="2"/>
      <c r="H182" s="2"/>
      <c r="I182" s="2"/>
      <c r="J182" s="2"/>
    </row>
    <row r="183" spans="1:10" s="6" customFormat="1">
      <c r="A183" s="2"/>
      <c r="B183" s="2"/>
      <c r="C183" s="2"/>
      <c r="D183" s="189" t="s">
        <v>352</v>
      </c>
      <c r="E183" s="2"/>
      <c r="F183" s="1379"/>
      <c r="G183" s="2"/>
      <c r="H183" s="2"/>
      <c r="I183" s="2"/>
      <c r="J183" s="2"/>
    </row>
    <row r="184" spans="1:10" s="6" customFormat="1">
      <c r="A184" s="2"/>
      <c r="B184" s="2"/>
      <c r="C184" s="2"/>
      <c r="D184" s="189" t="s">
        <v>351</v>
      </c>
      <c r="E184" s="2"/>
      <c r="F184" s="1379"/>
      <c r="G184" s="2"/>
      <c r="H184" s="2"/>
      <c r="I184" s="2"/>
      <c r="J184" s="2"/>
    </row>
    <row r="185" spans="1:10" s="6" customFormat="1">
      <c r="A185" s="2"/>
      <c r="B185" s="2"/>
      <c r="C185" s="2"/>
      <c r="D185" s="189" t="s">
        <v>350</v>
      </c>
      <c r="E185" s="2"/>
      <c r="F185" s="1379"/>
      <c r="G185" s="2"/>
      <c r="H185" s="2"/>
      <c r="I185" s="2"/>
      <c r="J185" s="2"/>
    </row>
    <row r="186" spans="1:10" s="6" customFormat="1">
      <c r="A186" s="2"/>
      <c r="B186" s="2"/>
      <c r="C186" s="2"/>
      <c r="D186" s="1" t="s">
        <v>408</v>
      </c>
      <c r="E186" s="1"/>
      <c r="F186" s="1377">
        <f>SUM(F183:F185)</f>
        <v>0</v>
      </c>
      <c r="G186" s="2"/>
      <c r="H186" s="2"/>
      <c r="I186" s="2"/>
      <c r="J186" s="2"/>
    </row>
    <row r="187" spans="1:10" s="6" customFormat="1">
      <c r="A187" s="2"/>
      <c r="B187" s="2"/>
      <c r="C187" s="2"/>
      <c r="D187" s="2"/>
      <c r="E187" s="2"/>
      <c r="F187" s="2"/>
      <c r="G187" s="2"/>
      <c r="H187" s="2"/>
      <c r="I187" s="2"/>
      <c r="J187" s="2"/>
    </row>
    <row r="188" spans="1:10" s="6" customFormat="1">
      <c r="A188" s="2"/>
      <c r="B188" s="2"/>
      <c r="C188" s="2"/>
      <c r="D188" s="1" t="s">
        <v>407</v>
      </c>
      <c r="E188" s="2"/>
      <c r="F188" s="1377">
        <f>F180-F186</f>
        <v>0</v>
      </c>
      <c r="G188" s="2"/>
      <c r="H188" s="2"/>
      <c r="I188" s="2"/>
      <c r="J188" s="2"/>
    </row>
    <row r="189" spans="1:10" s="6" customFormat="1">
      <c r="A189" s="2"/>
      <c r="B189" s="2"/>
      <c r="C189" s="2"/>
      <c r="D189" s="2"/>
      <c r="E189" s="2"/>
      <c r="F189" s="2"/>
      <c r="G189" s="2"/>
      <c r="H189" s="2"/>
      <c r="I189" s="2"/>
      <c r="J189" s="2"/>
    </row>
    <row r="190" spans="1:10" s="6" customFormat="1">
      <c r="A190" s="2"/>
      <c r="B190" s="2"/>
      <c r="C190" s="1" t="s">
        <v>1856</v>
      </c>
      <c r="D190" s="1" t="s">
        <v>1855</v>
      </c>
      <c r="E190" s="2"/>
      <c r="F190" s="2"/>
      <c r="G190" s="2"/>
      <c r="H190" s="2"/>
      <c r="I190" s="2"/>
      <c r="J190" s="2"/>
    </row>
    <row r="191" spans="1:10" s="6" customFormat="1">
      <c r="A191" s="2"/>
      <c r="B191" s="2"/>
      <c r="C191" s="2"/>
      <c r="D191" s="2"/>
      <c r="E191" s="2"/>
      <c r="F191" s="2"/>
      <c r="G191" s="2"/>
      <c r="H191" s="2"/>
      <c r="I191" s="2"/>
      <c r="J191" s="2"/>
    </row>
    <row r="192" spans="1:10" s="6" customFormat="1">
      <c r="A192" s="2"/>
      <c r="B192" s="2"/>
      <c r="C192" s="2"/>
      <c r="D192" s="2275" t="s">
        <v>343</v>
      </c>
      <c r="E192" s="2276"/>
      <c r="F192" s="2276"/>
      <c r="G192" s="2276"/>
      <c r="H192" s="2276"/>
      <c r="I192" s="2276"/>
      <c r="J192" s="2277"/>
    </row>
    <row r="193" spans="1:10" s="6" customFormat="1">
      <c r="A193" s="2"/>
      <c r="B193" s="2"/>
      <c r="C193" s="2"/>
      <c r="D193" s="2"/>
      <c r="E193" s="2"/>
      <c r="F193" s="2"/>
      <c r="G193" s="2"/>
      <c r="H193" s="2"/>
      <c r="I193" s="2"/>
      <c r="J193" s="2"/>
    </row>
    <row r="194" spans="1:10" s="6" customFormat="1">
      <c r="A194" s="2"/>
      <c r="B194" s="2"/>
      <c r="C194" s="2"/>
      <c r="D194" s="1386" t="s">
        <v>1854</v>
      </c>
      <c r="E194" s="2"/>
      <c r="F194" s="2"/>
      <c r="G194" s="2"/>
      <c r="H194" s="2"/>
      <c r="I194" s="2"/>
      <c r="J194" s="2"/>
    </row>
    <row r="195" spans="1:10" s="6" customFormat="1">
      <c r="A195" s="2"/>
      <c r="B195" s="2"/>
      <c r="C195" s="2"/>
      <c r="D195" s="2" t="s">
        <v>394</v>
      </c>
      <c r="E195" s="2"/>
      <c r="F195" s="2"/>
      <c r="G195" s="2"/>
      <c r="H195" s="1363"/>
      <c r="I195" s="2"/>
      <c r="J195" s="2"/>
    </row>
    <row r="196" spans="1:10" s="6" customFormat="1">
      <c r="A196" s="2"/>
      <c r="B196" s="2"/>
      <c r="C196" s="2"/>
      <c r="D196" s="2" t="s">
        <v>393</v>
      </c>
      <c r="E196" s="2"/>
      <c r="F196" s="2"/>
      <c r="G196" s="2"/>
      <c r="H196" s="1363"/>
      <c r="I196" s="2"/>
      <c r="J196" s="2"/>
    </row>
    <row r="197" spans="1:10" s="6" customFormat="1">
      <c r="A197" s="2"/>
      <c r="B197" s="2"/>
      <c r="C197" s="2"/>
      <c r="D197" s="1" t="s">
        <v>1760</v>
      </c>
      <c r="E197" s="2"/>
      <c r="F197" s="2"/>
      <c r="G197" s="2"/>
      <c r="H197" s="1377">
        <f>H195+H196</f>
        <v>0</v>
      </c>
      <c r="I197" s="2"/>
      <c r="J197" s="2"/>
    </row>
    <row r="198" spans="1:10" s="6" customFormat="1">
      <c r="A198" s="2"/>
      <c r="B198" s="2"/>
      <c r="C198" s="2"/>
      <c r="D198" s="1"/>
      <c r="E198" s="2"/>
      <c r="F198" s="2"/>
      <c r="G198" s="2"/>
      <c r="H198" s="1377"/>
      <c r="I198" s="2"/>
      <c r="J198" s="2"/>
    </row>
    <row r="199" spans="1:10" s="6" customFormat="1">
      <c r="A199" s="2"/>
      <c r="B199" s="2"/>
      <c r="C199" s="2"/>
      <c r="D199" s="1386" t="s">
        <v>398</v>
      </c>
      <c r="E199" s="2"/>
      <c r="F199" s="2"/>
      <c r="G199" s="2"/>
      <c r="H199" s="2"/>
      <c r="I199" s="2"/>
      <c r="J199" s="2"/>
    </row>
    <row r="200" spans="1:10" s="6" customFormat="1">
      <c r="A200" s="2"/>
      <c r="B200" s="2"/>
      <c r="C200" s="2"/>
      <c r="D200" s="2" t="s">
        <v>1853</v>
      </c>
      <c r="E200" s="2"/>
      <c r="F200" s="2"/>
      <c r="G200" s="2"/>
      <c r="H200" s="1363"/>
      <c r="I200" s="2"/>
      <c r="J200" s="2"/>
    </row>
    <row r="201" spans="1:10" s="6" customFormat="1">
      <c r="A201" s="2"/>
      <c r="B201" s="2"/>
      <c r="C201" s="2"/>
      <c r="D201" s="2" t="s">
        <v>393</v>
      </c>
      <c r="E201" s="2"/>
      <c r="F201" s="2"/>
      <c r="G201" s="2"/>
      <c r="H201" s="1363"/>
      <c r="I201" s="2"/>
      <c r="J201" s="2"/>
    </row>
    <row r="202" spans="1:10" s="6" customFormat="1">
      <c r="A202" s="2"/>
      <c r="B202" s="2"/>
      <c r="C202" s="2"/>
      <c r="D202" s="1" t="s">
        <v>1852</v>
      </c>
      <c r="E202" s="2"/>
      <c r="F202" s="2"/>
      <c r="G202" s="2"/>
      <c r="H202" s="1377">
        <f>H200+H201</f>
        <v>0</v>
      </c>
      <c r="I202" s="2"/>
      <c r="J202" s="2"/>
    </row>
    <row r="203" spans="1:10" s="6" customFormat="1">
      <c r="A203" s="2"/>
      <c r="B203" s="2"/>
      <c r="C203" s="2"/>
      <c r="D203" s="2"/>
      <c r="E203" s="2"/>
      <c r="F203" s="2"/>
      <c r="G203" s="2"/>
      <c r="H203" s="2"/>
      <c r="I203" s="2"/>
      <c r="J203" s="2"/>
    </row>
    <row r="204" spans="1:10" s="6" customFormat="1">
      <c r="A204" s="2"/>
      <c r="B204" s="1385" t="s">
        <v>34</v>
      </c>
      <c r="C204" s="5" t="s">
        <v>1851</v>
      </c>
      <c r="D204" s="181" t="s">
        <v>1850</v>
      </c>
      <c r="E204" s="2"/>
      <c r="F204" s="2"/>
      <c r="G204" s="2"/>
      <c r="H204" s="2"/>
      <c r="I204" s="2"/>
      <c r="J204" s="2"/>
    </row>
    <row r="205" spans="1:10" s="6" customFormat="1">
      <c r="A205" s="2"/>
      <c r="B205" s="193"/>
      <c r="C205" s="5"/>
      <c r="D205" s="181" t="s">
        <v>1849</v>
      </c>
      <c r="E205" s="2"/>
      <c r="F205" s="2"/>
      <c r="G205" s="2"/>
      <c r="H205" s="2"/>
      <c r="I205" s="2"/>
      <c r="J205" s="2"/>
    </row>
    <row r="206" spans="1:10" s="6" customFormat="1">
      <c r="A206" s="2"/>
      <c r="B206" s="193"/>
      <c r="C206" s="5"/>
      <c r="D206" s="182"/>
      <c r="E206" s="2"/>
      <c r="F206" s="2"/>
      <c r="G206" s="2"/>
      <c r="H206" s="2"/>
      <c r="I206" s="2"/>
      <c r="J206" s="2"/>
    </row>
    <row r="207" spans="1:10" s="6" customFormat="1">
      <c r="A207" s="2"/>
      <c r="B207" s="193"/>
      <c r="C207" s="5"/>
      <c r="D207" s="217" t="s">
        <v>390</v>
      </c>
      <c r="E207" s="2278" t="s">
        <v>1848</v>
      </c>
      <c r="F207" s="2278"/>
      <c r="G207" s="2278"/>
      <c r="H207" s="2278"/>
      <c r="I207" s="2278"/>
      <c r="J207" s="2"/>
    </row>
    <row r="208" spans="1:10" s="6" customFormat="1">
      <c r="A208" s="2"/>
      <c r="B208" s="193"/>
      <c r="C208" s="5"/>
      <c r="D208" s="213" t="s">
        <v>388</v>
      </c>
      <c r="E208" s="1685" t="s">
        <v>386</v>
      </c>
      <c r="F208" s="1685"/>
      <c r="G208" s="1685"/>
      <c r="H208" s="1685"/>
      <c r="I208" s="1685"/>
      <c r="J208" s="2"/>
    </row>
    <row r="209" spans="1:10" s="6" customFormat="1">
      <c r="A209" s="2"/>
      <c r="B209" s="193"/>
      <c r="C209" s="5"/>
      <c r="D209" s="213" t="s">
        <v>377</v>
      </c>
      <c r="E209" s="1685" t="s">
        <v>386</v>
      </c>
      <c r="F209" s="1685"/>
      <c r="G209" s="1685"/>
      <c r="H209" s="1685"/>
      <c r="I209" s="1685"/>
      <c r="J209" s="2"/>
    </row>
    <row r="210" spans="1:10" s="6" customFormat="1">
      <c r="A210" s="2"/>
      <c r="B210" s="193"/>
      <c r="C210" s="5"/>
      <c r="D210" s="213" t="s">
        <v>385</v>
      </c>
      <c r="E210" s="1685" t="s">
        <v>1847</v>
      </c>
      <c r="F210" s="1685"/>
      <c r="G210" s="1685"/>
      <c r="H210" s="1685"/>
      <c r="I210" s="1685"/>
      <c r="J210" s="2"/>
    </row>
    <row r="211" spans="1:10" s="6" customFormat="1">
      <c r="A211" s="2"/>
      <c r="B211" s="193"/>
      <c r="C211" s="5"/>
      <c r="D211" s="213" t="s">
        <v>384</v>
      </c>
      <c r="E211" s="1685" t="s">
        <v>383</v>
      </c>
      <c r="F211" s="1685"/>
      <c r="G211" s="1685"/>
      <c r="H211" s="1685"/>
      <c r="I211" s="1685"/>
      <c r="J211" s="2"/>
    </row>
    <row r="212" spans="1:10" s="6" customFormat="1">
      <c r="A212" s="2"/>
      <c r="B212" s="193"/>
      <c r="C212" s="5"/>
      <c r="D212" s="213" t="s">
        <v>382</v>
      </c>
      <c r="E212" s="1685" t="s">
        <v>1846</v>
      </c>
      <c r="F212" s="1685"/>
      <c r="G212" s="1685"/>
      <c r="H212" s="1685"/>
      <c r="I212" s="1685"/>
      <c r="J212" s="2"/>
    </row>
    <row r="213" spans="1:10" s="6" customFormat="1">
      <c r="A213" s="2"/>
      <c r="B213" s="193"/>
      <c r="C213" s="5"/>
      <c r="D213" s="213" t="s">
        <v>380</v>
      </c>
      <c r="E213" s="1685" t="s">
        <v>1845</v>
      </c>
      <c r="F213" s="1685"/>
      <c r="G213" s="1685"/>
      <c r="H213" s="1685"/>
      <c r="I213" s="1685"/>
      <c r="J213" s="2"/>
    </row>
    <row r="214" spans="1:10" s="6" customFormat="1">
      <c r="A214" s="2"/>
      <c r="B214" s="193"/>
      <c r="C214" s="5"/>
      <c r="D214" s="182"/>
      <c r="E214" s="2"/>
      <c r="F214" s="2"/>
      <c r="G214" s="2"/>
      <c r="H214" s="2"/>
      <c r="I214" s="2"/>
      <c r="J214" s="2"/>
    </row>
    <row r="215" spans="1:10" s="6" customFormat="1">
      <c r="A215" s="2"/>
      <c r="B215" s="193"/>
      <c r="C215" s="5"/>
      <c r="D215" s="202" t="s">
        <v>378</v>
      </c>
      <c r="E215" s="21"/>
      <c r="F215" s="192"/>
      <c r="G215" s="2"/>
      <c r="H215" s="2"/>
      <c r="I215" s="2"/>
      <c r="J215" s="2"/>
    </row>
    <row r="216" spans="1:10" s="6" customFormat="1">
      <c r="A216" s="2"/>
      <c r="B216" s="193"/>
      <c r="C216" s="5"/>
      <c r="D216" s="208"/>
      <c r="E216" s="133" t="s">
        <v>388</v>
      </c>
      <c r="F216" s="133" t="s">
        <v>377</v>
      </c>
      <c r="G216" s="2"/>
      <c r="H216" s="2"/>
      <c r="I216" s="2"/>
      <c r="J216" s="2"/>
    </row>
    <row r="217" spans="1:10" s="6" customFormat="1">
      <c r="A217" s="2"/>
      <c r="B217" s="193"/>
      <c r="C217" s="5"/>
      <c r="D217" s="208" t="s">
        <v>446</v>
      </c>
      <c r="E217" s="1384">
        <v>70000</v>
      </c>
      <c r="F217" s="1384">
        <v>76220</v>
      </c>
      <c r="G217" s="2"/>
      <c r="H217" s="2"/>
      <c r="I217" s="2"/>
      <c r="J217" s="2"/>
    </row>
    <row r="218" spans="1:10" s="6" customFormat="1">
      <c r="A218" s="2"/>
      <c r="B218" s="193"/>
      <c r="C218" s="194"/>
      <c r="D218" s="194"/>
      <c r="E218" s="194"/>
      <c r="F218" s="192"/>
      <c r="G218" s="2"/>
      <c r="H218" s="2"/>
      <c r="I218" s="2"/>
      <c r="J218" s="2"/>
    </row>
    <row r="219" spans="1:10" s="6" customFormat="1">
      <c r="A219" s="2"/>
      <c r="B219" s="193"/>
      <c r="C219" s="194"/>
      <c r="D219" s="202" t="s">
        <v>1844</v>
      </c>
      <c r="E219" s="21"/>
      <c r="F219" s="192"/>
      <c r="G219" s="2"/>
      <c r="H219" s="2"/>
      <c r="I219" s="2"/>
      <c r="J219" s="2"/>
    </row>
    <row r="220" spans="1:10" s="6" customFormat="1">
      <c r="A220" s="2"/>
      <c r="B220" s="193"/>
      <c r="C220" s="194"/>
      <c r="D220" s="151" t="s">
        <v>373</v>
      </c>
      <c r="E220" s="1383">
        <v>3.5999999999999997E-2</v>
      </c>
      <c r="F220" s="148" t="s">
        <v>370</v>
      </c>
      <c r="G220" s="2"/>
      <c r="H220" s="2"/>
      <c r="I220" s="2"/>
      <c r="J220" s="2"/>
    </row>
    <row r="221" spans="1:10" s="6" customFormat="1">
      <c r="A221" s="2"/>
      <c r="B221" s="2"/>
      <c r="C221" s="194"/>
      <c r="D221" s="289" t="s">
        <v>371</v>
      </c>
      <c r="E221" s="1383">
        <v>4.4999999999999998E-2</v>
      </c>
      <c r="F221" s="148" t="s">
        <v>370</v>
      </c>
      <c r="G221" s="2"/>
      <c r="H221" s="2"/>
      <c r="I221" s="2"/>
      <c r="J221" s="2"/>
    </row>
    <row r="222" spans="1:10" s="6" customFormat="1">
      <c r="A222" s="2"/>
      <c r="B222" s="2"/>
      <c r="C222" s="194"/>
      <c r="D222" s="182"/>
      <c r="E222" s="1382"/>
      <c r="F222" s="2"/>
      <c r="G222" s="2"/>
      <c r="H222" s="2"/>
      <c r="I222" s="2"/>
      <c r="J222" s="2"/>
    </row>
    <row r="223" spans="1:10" s="6" customFormat="1">
      <c r="A223" s="2"/>
      <c r="B223" s="2"/>
      <c r="C223" s="194"/>
      <c r="D223" s="182" t="s">
        <v>1843</v>
      </c>
      <c r="E223" s="1382"/>
      <c r="F223" s="2"/>
      <c r="G223" s="2"/>
      <c r="H223" s="2"/>
      <c r="I223" s="2"/>
      <c r="J223" s="2"/>
    </row>
    <row r="224" spans="1:10" s="6" customFormat="1">
      <c r="A224" s="2"/>
      <c r="B224" s="193"/>
      <c r="C224" s="194"/>
      <c r="D224" s="2"/>
      <c r="E224" s="2"/>
      <c r="F224" s="191"/>
      <c r="G224" s="2"/>
      <c r="H224" s="2"/>
      <c r="I224" s="2"/>
      <c r="J224" s="2"/>
    </row>
    <row r="225" spans="1:10" s="6" customFormat="1">
      <c r="A225" s="2"/>
      <c r="B225" s="193"/>
      <c r="C225" s="194"/>
      <c r="D225" s="202" t="s">
        <v>369</v>
      </c>
      <c r="E225" s="2"/>
      <c r="F225" s="191"/>
      <c r="G225" s="2"/>
      <c r="H225" s="2"/>
      <c r="I225" s="2"/>
      <c r="J225" s="2"/>
    </row>
    <row r="226" spans="1:10" s="6" customFormat="1">
      <c r="A226" s="2"/>
      <c r="B226" s="193"/>
      <c r="C226" s="194"/>
      <c r="D226" s="1720" t="s">
        <v>1842</v>
      </c>
      <c r="E226" s="1720"/>
      <c r="F226" s="1720"/>
      <c r="G226" s="1720"/>
      <c r="H226" s="1381">
        <f>'FRC-Spring22-Q4'!G105</f>
        <v>1116820</v>
      </c>
      <c r="I226" s="2"/>
      <c r="J226" s="2"/>
    </row>
    <row r="227" spans="1:10" s="6" customFormat="1">
      <c r="A227" s="2"/>
      <c r="B227" s="193"/>
      <c r="C227" s="194"/>
      <c r="D227" s="1720" t="s">
        <v>367</v>
      </c>
      <c r="E227" s="1720"/>
      <c r="F227" s="1720"/>
      <c r="G227" s="1720"/>
      <c r="H227" s="1381">
        <v>85000</v>
      </c>
      <c r="I227" s="2"/>
      <c r="J227" s="2"/>
    </row>
    <row r="228" spans="1:10" s="6" customFormat="1">
      <c r="A228" s="2"/>
      <c r="B228" s="193"/>
      <c r="C228" s="194"/>
      <c r="D228" s="2265" t="s">
        <v>366</v>
      </c>
      <c r="E228" s="2265"/>
      <c r="F228" s="2265"/>
      <c r="G228" s="2265"/>
      <c r="H228" s="1381">
        <v>50000</v>
      </c>
      <c r="I228" s="2"/>
      <c r="J228" s="2"/>
    </row>
    <row r="229" spans="1:10" s="6" customFormat="1">
      <c r="A229" s="2"/>
      <c r="B229" s="193"/>
      <c r="C229" s="194"/>
      <c r="D229" s="1720" t="s">
        <v>364</v>
      </c>
      <c r="E229" s="1720"/>
      <c r="F229" s="1720"/>
      <c r="G229" s="1720"/>
      <c r="H229" s="1381">
        <f>-('FRC-Spring22-Q4'!E91+'FRC-Spring22-Q4'!F91/12*(8+4*0.6))</f>
        <v>-20680</v>
      </c>
      <c r="I229" s="2"/>
      <c r="J229" s="2"/>
    </row>
    <row r="230" spans="1:10" s="6" customFormat="1">
      <c r="A230" s="2"/>
      <c r="B230" s="193"/>
      <c r="C230" s="194"/>
      <c r="D230" s="1720" t="s">
        <v>363</v>
      </c>
      <c r="E230" s="1720"/>
      <c r="F230" s="1720"/>
      <c r="G230" s="1720"/>
      <c r="H230" s="1381">
        <v>-122500</v>
      </c>
      <c r="I230" s="2"/>
      <c r="J230" s="2"/>
    </row>
    <row r="231" spans="1:10" s="6" customFormat="1">
      <c r="A231" s="2"/>
      <c r="B231" s="193"/>
      <c r="C231" s="194"/>
      <c r="D231" s="1720" t="s">
        <v>1841</v>
      </c>
      <c r="E231" s="1720"/>
      <c r="F231" s="1720"/>
      <c r="G231" s="1720"/>
      <c r="H231" s="1381">
        <v>-45300</v>
      </c>
      <c r="I231" s="2"/>
      <c r="J231" s="2"/>
    </row>
    <row r="232" spans="1:10" s="6" customFormat="1">
      <c r="A232" s="2"/>
      <c r="B232" s="193"/>
      <c r="C232" s="194"/>
      <c r="D232" s="1720" t="s">
        <v>360</v>
      </c>
      <c r="E232" s="1720"/>
      <c r="F232" s="1720"/>
      <c r="G232" s="1720"/>
      <c r="H232" s="1381">
        <v>1560</v>
      </c>
      <c r="I232" s="2"/>
      <c r="J232" s="2"/>
    </row>
    <row r="233" spans="1:10" s="6" customFormat="1">
      <c r="A233" s="2"/>
      <c r="B233" s="193"/>
      <c r="C233" s="194"/>
      <c r="D233" s="1720" t="s">
        <v>1840</v>
      </c>
      <c r="E233" s="1720"/>
      <c r="F233" s="1720"/>
      <c r="G233" s="1720"/>
      <c r="H233" s="1381">
        <v>260000</v>
      </c>
      <c r="I233" s="2"/>
      <c r="J233" s="2"/>
    </row>
    <row r="234" spans="1:10" s="6" customFormat="1">
      <c r="A234" s="2"/>
      <c r="B234" s="193"/>
      <c r="C234" s="194"/>
      <c r="D234" s="1720" t="s">
        <v>368</v>
      </c>
      <c r="E234" s="1720"/>
      <c r="F234" s="1720"/>
      <c r="G234" s="1720"/>
      <c r="H234" s="1381">
        <f>SUM(H226:H233)</f>
        <v>1324900</v>
      </c>
      <c r="I234" s="2"/>
      <c r="J234" s="2"/>
    </row>
    <row r="235" spans="1:10" s="6" customFormat="1">
      <c r="A235" s="2"/>
      <c r="B235" s="193"/>
      <c r="C235" s="194"/>
      <c r="D235" s="2"/>
      <c r="E235" s="2"/>
      <c r="F235" s="2"/>
      <c r="G235" s="2"/>
      <c r="H235" s="2"/>
      <c r="I235" s="2"/>
      <c r="J235" s="2"/>
    </row>
    <row r="236" spans="1:10" s="6" customFormat="1">
      <c r="A236" s="2"/>
      <c r="B236" s="193"/>
      <c r="C236" s="194"/>
      <c r="D236" s="192"/>
      <c r="E236" s="2"/>
      <c r="F236" s="191"/>
      <c r="G236" s="2"/>
      <c r="H236" s="2"/>
      <c r="I236" s="2"/>
      <c r="J236" s="2"/>
    </row>
    <row r="237" spans="1:10" s="6" customFormat="1">
      <c r="A237" s="2"/>
      <c r="B237" s="182"/>
      <c r="C237" s="1" t="s">
        <v>1830</v>
      </c>
      <c r="D237" s="1" t="s">
        <v>356</v>
      </c>
      <c r="E237" s="2"/>
      <c r="F237" s="2"/>
      <c r="G237" s="2"/>
      <c r="H237" s="2"/>
      <c r="I237" s="2"/>
      <c r="J237" s="2"/>
    </row>
    <row r="238" spans="1:10" s="6" customFormat="1">
      <c r="A238" s="2"/>
      <c r="B238" s="182"/>
      <c r="C238" s="1"/>
      <c r="D238" s="1"/>
      <c r="E238" s="2"/>
      <c r="F238" s="2"/>
      <c r="G238" s="2"/>
      <c r="H238" s="2"/>
      <c r="I238" s="2"/>
      <c r="J238" s="2"/>
    </row>
    <row r="239" spans="1:10" s="6" customFormat="1">
      <c r="A239" s="2"/>
      <c r="B239" s="182"/>
      <c r="C239" s="1"/>
      <c r="D239" s="2275" t="s">
        <v>343</v>
      </c>
      <c r="E239" s="2276"/>
      <c r="F239" s="2276"/>
      <c r="G239" s="2276"/>
      <c r="H239" s="2276"/>
      <c r="I239" s="2276"/>
      <c r="J239" s="2277"/>
    </row>
    <row r="240" spans="1:10" s="6" customFormat="1">
      <c r="A240" s="2"/>
      <c r="B240" s="182"/>
      <c r="C240" s="1"/>
      <c r="D240" s="2"/>
      <c r="E240" s="2"/>
      <c r="F240" s="2"/>
      <c r="G240" s="2"/>
      <c r="H240" s="2"/>
      <c r="I240" s="2"/>
      <c r="J240" s="2"/>
    </row>
    <row r="241" spans="1:10" s="6" customFormat="1">
      <c r="A241" s="2"/>
      <c r="B241" s="182"/>
      <c r="C241" s="1"/>
      <c r="D241" s="1" t="s">
        <v>947</v>
      </c>
      <c r="E241" s="2"/>
      <c r="F241" s="1380"/>
      <c r="G241" s="2"/>
      <c r="H241" s="2"/>
      <c r="I241" s="2"/>
      <c r="J241" s="2"/>
    </row>
    <row r="242" spans="1:10" s="6" customFormat="1">
      <c r="A242" s="2"/>
      <c r="B242" s="182"/>
      <c r="C242" s="1"/>
      <c r="D242" s="2"/>
      <c r="E242" s="2"/>
      <c r="F242" s="2"/>
      <c r="G242" s="2"/>
      <c r="H242" s="2"/>
      <c r="I242" s="2"/>
      <c r="J242" s="2"/>
    </row>
    <row r="243" spans="1:10" s="6" customFormat="1">
      <c r="A243" s="2"/>
      <c r="B243" s="182"/>
      <c r="C243" s="1"/>
      <c r="D243" s="1" t="s">
        <v>354</v>
      </c>
      <c r="E243" s="2"/>
      <c r="F243" s="2"/>
      <c r="G243" s="2"/>
      <c r="H243" s="2"/>
      <c r="I243" s="2"/>
      <c r="J243" s="2"/>
    </row>
    <row r="244" spans="1:10" s="6" customFormat="1">
      <c r="A244" s="2"/>
      <c r="B244" s="182"/>
      <c r="C244" s="1"/>
      <c r="D244" s="2" t="s">
        <v>353</v>
      </c>
      <c r="E244" s="2"/>
      <c r="F244" s="2"/>
      <c r="G244" s="2"/>
      <c r="H244" s="2"/>
      <c r="I244" s="2"/>
      <c r="J244" s="2"/>
    </row>
    <row r="245" spans="1:10" s="6" customFormat="1">
      <c r="A245" s="2"/>
      <c r="B245" s="182"/>
      <c r="C245" s="1"/>
      <c r="D245" s="189" t="s">
        <v>352</v>
      </c>
      <c r="E245" s="2"/>
      <c r="F245" s="1379"/>
      <c r="G245" s="2"/>
      <c r="H245" s="2"/>
      <c r="I245" s="2"/>
      <c r="J245" s="2"/>
    </row>
    <row r="246" spans="1:10" s="6" customFormat="1">
      <c r="A246" s="2"/>
      <c r="B246" s="182"/>
      <c r="C246" s="1"/>
      <c r="D246" s="189" t="s">
        <v>351</v>
      </c>
      <c r="E246" s="2"/>
      <c r="F246" s="1379"/>
      <c r="G246" s="2"/>
      <c r="H246" s="2"/>
      <c r="I246" s="2"/>
      <c r="J246" s="2"/>
    </row>
    <row r="247" spans="1:10" s="6" customFormat="1">
      <c r="A247" s="2"/>
      <c r="B247" s="182"/>
      <c r="C247" s="1"/>
      <c r="D247" s="189" t="s">
        <v>350</v>
      </c>
      <c r="E247" s="2"/>
      <c r="F247" s="1379"/>
      <c r="G247" s="2"/>
      <c r="H247" s="2"/>
      <c r="I247" s="2"/>
      <c r="J247" s="2"/>
    </row>
    <row r="248" spans="1:10" s="6" customFormat="1">
      <c r="A248" s="2"/>
      <c r="B248" s="182"/>
      <c r="C248" s="1"/>
      <c r="D248" s="2" t="s">
        <v>349</v>
      </c>
      <c r="E248" s="2"/>
      <c r="F248" s="1378">
        <f>SUM(F245:F247)</f>
        <v>0</v>
      </c>
      <c r="G248" s="2"/>
      <c r="H248" s="2"/>
      <c r="I248" s="2"/>
      <c r="J248" s="2"/>
    </row>
    <row r="249" spans="1:10" s="6" customFormat="1">
      <c r="A249" s="2"/>
      <c r="B249" s="182"/>
      <c r="C249" s="1"/>
      <c r="D249" s="2" t="s">
        <v>348</v>
      </c>
      <c r="E249" s="2"/>
      <c r="F249" s="1363"/>
      <c r="G249" s="2"/>
      <c r="H249" s="2"/>
      <c r="I249" s="2"/>
      <c r="J249" s="2"/>
    </row>
    <row r="250" spans="1:10" s="6" customFormat="1">
      <c r="A250" s="2"/>
      <c r="B250" s="182"/>
      <c r="C250" s="1"/>
      <c r="D250" s="1" t="s">
        <v>347</v>
      </c>
      <c r="E250" s="2"/>
      <c r="F250" s="1377">
        <f>SUM(F248:F249)</f>
        <v>0</v>
      </c>
      <c r="G250" s="2"/>
      <c r="H250" s="2"/>
      <c r="I250" s="2"/>
      <c r="J250" s="2"/>
    </row>
    <row r="251" spans="1:10" s="6" customFormat="1">
      <c r="A251" s="2"/>
      <c r="B251" s="182"/>
      <c r="C251" s="1"/>
      <c r="D251" s="2"/>
      <c r="E251" s="2"/>
      <c r="F251" s="2"/>
      <c r="G251" s="2"/>
      <c r="H251" s="2"/>
      <c r="I251" s="2"/>
      <c r="J251" s="2"/>
    </row>
    <row r="252" spans="1:10" s="6" customFormat="1">
      <c r="A252" s="2"/>
      <c r="B252" s="182"/>
      <c r="C252" s="1"/>
      <c r="D252" s="1" t="s">
        <v>346</v>
      </c>
      <c r="E252" s="2"/>
      <c r="F252" s="1377">
        <f>F241-F250</f>
        <v>0</v>
      </c>
      <c r="G252" s="2"/>
      <c r="H252" s="2"/>
      <c r="I252" s="2"/>
      <c r="J252" s="2"/>
    </row>
    <row r="253" spans="1:10" s="6" customFormat="1">
      <c r="A253" s="2"/>
      <c r="B253" s="182"/>
      <c r="C253" s="1"/>
      <c r="D253" s="1"/>
      <c r="E253" s="2"/>
      <c r="F253" s="2"/>
      <c r="G253" s="2"/>
      <c r="H253" s="2"/>
      <c r="I253" s="2"/>
      <c r="J253" s="2"/>
    </row>
    <row r="254" spans="1:10" s="6" customFormat="1">
      <c r="A254" s="2"/>
      <c r="B254" s="182"/>
      <c r="C254" s="1"/>
      <c r="D254" s="1"/>
      <c r="E254" s="2"/>
      <c r="F254" s="2"/>
      <c r="G254" s="2"/>
      <c r="H254" s="2"/>
      <c r="I254" s="2"/>
      <c r="J254" s="2"/>
    </row>
    <row r="255" spans="1:10" s="6" customFormat="1">
      <c r="A255" s="2"/>
      <c r="B255" s="182"/>
      <c r="C255" s="181" t="s">
        <v>1827</v>
      </c>
      <c r="D255" s="181" t="s">
        <v>1839</v>
      </c>
      <c r="E255" s="2"/>
      <c r="F255" s="2"/>
      <c r="G255" s="2"/>
      <c r="H255" s="2"/>
      <c r="I255" s="2"/>
      <c r="J255" s="2"/>
    </row>
    <row r="256" spans="1:10" s="6" customFormat="1">
      <c r="A256" s="2"/>
      <c r="B256" s="2"/>
      <c r="C256" s="2"/>
      <c r="D256" s="2"/>
      <c r="E256" s="2"/>
      <c r="F256" s="2"/>
      <c r="G256" s="2"/>
      <c r="H256" s="2"/>
      <c r="I256" s="2"/>
      <c r="J256" s="2"/>
    </row>
    <row r="257" spans="1:10" s="6" customFormat="1">
      <c r="A257" s="2"/>
      <c r="B257" s="2"/>
      <c r="C257" s="2"/>
      <c r="D257" s="2275" t="s">
        <v>343</v>
      </c>
      <c r="E257" s="2276"/>
      <c r="F257" s="2276"/>
      <c r="G257" s="2276"/>
      <c r="H257" s="2276"/>
      <c r="I257" s="2276"/>
      <c r="J257" s="2277"/>
    </row>
    <row r="258" spans="1:10" s="6" customFormat="1">
      <c r="A258" s="2"/>
      <c r="B258" s="2"/>
      <c r="C258" s="2"/>
      <c r="D258" s="1376"/>
      <c r="E258" s="170"/>
      <c r="F258" s="1376"/>
      <c r="G258" s="170"/>
      <c r="H258" s="1376"/>
      <c r="I258" s="2"/>
      <c r="J258" s="2"/>
    </row>
    <row r="259" spans="1:10" s="6" customFormat="1">
      <c r="A259" s="2"/>
      <c r="B259" s="2"/>
      <c r="C259" s="2"/>
      <c r="D259" s="1" t="s">
        <v>1838</v>
      </c>
      <c r="E259" s="1"/>
      <c r="F259" s="1"/>
      <c r="G259" s="170"/>
      <c r="H259" s="1370"/>
      <c r="I259" s="2"/>
      <c r="J259" s="2"/>
    </row>
    <row r="260" spans="1:10" s="6" customFormat="1">
      <c r="A260" s="2"/>
      <c r="B260" s="2"/>
      <c r="C260" s="2"/>
      <c r="D260" s="2" t="s">
        <v>1837</v>
      </c>
      <c r="E260" s="2"/>
      <c r="F260" s="1"/>
      <c r="G260" s="170"/>
      <c r="H260" s="1371"/>
      <c r="I260" s="2"/>
      <c r="J260" s="2"/>
    </row>
    <row r="261" spans="1:10" s="6" customFormat="1">
      <c r="A261" s="2"/>
      <c r="B261" s="2"/>
      <c r="C261" s="2"/>
      <c r="D261" s="1" t="s">
        <v>340</v>
      </c>
      <c r="E261" s="2"/>
      <c r="F261" s="1"/>
      <c r="G261" s="170"/>
      <c r="H261" s="1370"/>
      <c r="I261" s="2"/>
      <c r="J261" s="2"/>
    </row>
    <row r="262" spans="1:10" s="6" customFormat="1">
      <c r="A262" s="2"/>
      <c r="B262" s="2"/>
      <c r="C262" s="2"/>
      <c r="D262" s="2" t="s">
        <v>339</v>
      </c>
      <c r="E262" s="2"/>
      <c r="F262" s="1"/>
      <c r="G262" s="170"/>
      <c r="H262" s="1371"/>
      <c r="I262" s="2"/>
      <c r="J262" s="2"/>
    </row>
    <row r="263" spans="1:10" s="6" customFormat="1">
      <c r="A263" s="2"/>
      <c r="B263" s="2"/>
      <c r="C263" s="2"/>
      <c r="D263" s="2" t="s">
        <v>338</v>
      </c>
      <c r="E263" s="2"/>
      <c r="F263" s="1"/>
      <c r="G263" s="170"/>
      <c r="H263" s="1371"/>
      <c r="I263" s="2"/>
      <c r="J263" s="2"/>
    </row>
    <row r="264" spans="1:10" s="6" customFormat="1">
      <c r="A264" s="2"/>
      <c r="B264" s="2"/>
      <c r="C264" s="2"/>
      <c r="D264" s="2" t="s">
        <v>337</v>
      </c>
      <c r="E264" s="2"/>
      <c r="F264" s="1"/>
      <c r="G264" s="170"/>
      <c r="H264" s="1375"/>
      <c r="I264" s="2"/>
      <c r="J264" s="2"/>
    </row>
    <row r="265" spans="1:10" s="6" customFormat="1">
      <c r="A265" s="2"/>
      <c r="B265" s="2"/>
      <c r="C265" s="2"/>
      <c r="D265" s="2" t="s">
        <v>336</v>
      </c>
      <c r="E265" s="2"/>
      <c r="F265" s="1"/>
      <c r="G265" s="170"/>
      <c r="H265" s="1374"/>
      <c r="I265" s="2"/>
      <c r="J265" s="2"/>
    </row>
    <row r="266" spans="1:10" s="6" customFormat="1">
      <c r="A266" s="2"/>
      <c r="B266" s="2"/>
      <c r="C266" s="2"/>
      <c r="D266" s="1373"/>
      <c r="E266" s="2"/>
      <c r="F266" s="1"/>
      <c r="G266" s="170"/>
      <c r="H266" s="1371"/>
      <c r="I266" s="2"/>
      <c r="J266" s="2"/>
    </row>
    <row r="267" spans="1:10" s="6" customFormat="1">
      <c r="A267" s="2"/>
      <c r="B267" s="2"/>
      <c r="C267" s="2"/>
      <c r="D267" s="1373"/>
      <c r="E267" s="2"/>
      <c r="F267" s="1"/>
      <c r="G267" s="170"/>
      <c r="H267" s="1371"/>
      <c r="I267" s="2"/>
      <c r="J267" s="2"/>
    </row>
    <row r="268" spans="1:10" s="6" customFormat="1">
      <c r="A268" s="2"/>
      <c r="B268" s="2"/>
      <c r="C268" s="2"/>
      <c r="D268" s="1373"/>
      <c r="E268" s="2"/>
      <c r="F268" s="1"/>
      <c r="G268" s="170"/>
      <c r="H268" s="1371"/>
      <c r="I268" s="2"/>
      <c r="J268" s="2"/>
    </row>
    <row r="269" spans="1:10" s="6" customFormat="1">
      <c r="A269" s="2"/>
      <c r="B269" s="2"/>
      <c r="C269" s="2"/>
      <c r="D269" s="1373"/>
      <c r="E269" s="2"/>
      <c r="F269" s="1"/>
      <c r="G269" s="170"/>
      <c r="H269" s="1371"/>
      <c r="I269" s="2"/>
      <c r="J269" s="2"/>
    </row>
    <row r="270" spans="1:10" s="6" customFormat="1">
      <c r="A270" s="2"/>
      <c r="B270" s="2"/>
      <c r="C270" s="2"/>
      <c r="D270" s="1373"/>
      <c r="E270" s="2"/>
      <c r="F270" s="1"/>
      <c r="G270" s="170"/>
      <c r="H270" s="1371"/>
      <c r="I270" s="2"/>
      <c r="J270" s="2"/>
    </row>
    <row r="271" spans="1:10" s="6" customFormat="1">
      <c r="A271" s="2"/>
      <c r="B271" s="2"/>
      <c r="C271" s="2"/>
      <c r="D271" s="1373"/>
      <c r="E271" s="2"/>
      <c r="F271" s="1"/>
      <c r="G271" s="170"/>
      <c r="H271" s="1371"/>
      <c r="I271" s="2"/>
      <c r="J271" s="2"/>
    </row>
    <row r="272" spans="1:10" s="6" customFormat="1">
      <c r="A272" s="2"/>
      <c r="B272" s="2"/>
      <c r="C272" s="2"/>
      <c r="D272" s="1373"/>
      <c r="E272" s="2"/>
      <c r="F272" s="1"/>
      <c r="G272" s="170"/>
      <c r="H272" s="1371"/>
      <c r="I272" s="2"/>
      <c r="J272" s="2"/>
    </row>
    <row r="273" spans="1:10" s="6" customFormat="1">
      <c r="A273" s="2"/>
      <c r="B273" s="2"/>
      <c r="C273" s="2"/>
      <c r="D273" s="1373"/>
      <c r="E273" s="2"/>
      <c r="F273" s="1"/>
      <c r="G273" s="170"/>
      <c r="H273" s="1371"/>
      <c r="I273" s="2"/>
      <c r="J273" s="2"/>
    </row>
    <row r="274" spans="1:10" s="6" customFormat="1">
      <c r="A274" s="2"/>
      <c r="B274" s="2"/>
      <c r="C274" s="2"/>
      <c r="D274" s="1373"/>
      <c r="E274" s="2"/>
      <c r="F274" s="1"/>
      <c r="G274" s="170"/>
      <c r="H274" s="1371"/>
      <c r="I274" s="2"/>
      <c r="J274" s="2"/>
    </row>
    <row r="275" spans="1:10" s="6" customFormat="1">
      <c r="A275" s="2"/>
      <c r="B275" s="2"/>
      <c r="C275" s="2"/>
      <c r="D275" s="1373"/>
      <c r="E275" s="2"/>
      <c r="F275" s="1"/>
      <c r="G275" s="170"/>
      <c r="H275" s="1371"/>
      <c r="I275" s="2"/>
      <c r="J275" s="2"/>
    </row>
    <row r="276" spans="1:10" s="6" customFormat="1">
      <c r="A276" s="2"/>
      <c r="B276" s="2"/>
      <c r="C276" s="2"/>
      <c r="D276" s="170" t="s">
        <v>335</v>
      </c>
      <c r="E276" s="2"/>
      <c r="F276" s="1"/>
      <c r="G276" s="170"/>
      <c r="H276" s="1372">
        <f>SUM(H266:H275)</f>
        <v>0</v>
      </c>
      <c r="I276" s="2"/>
      <c r="J276" s="2"/>
    </row>
    <row r="277" spans="1:10" s="6" customFormat="1">
      <c r="A277" s="2"/>
      <c r="B277" s="2"/>
      <c r="C277" s="2"/>
      <c r="D277" s="2" t="s">
        <v>1836</v>
      </c>
      <c r="E277" s="2"/>
      <c r="F277" s="1"/>
      <c r="G277" s="170"/>
      <c r="H277" s="1371"/>
      <c r="I277" s="2"/>
      <c r="J277" s="2"/>
    </row>
    <row r="278" spans="1:10" s="6" customFormat="1">
      <c r="A278" s="2"/>
      <c r="B278" s="2"/>
      <c r="C278" s="2"/>
      <c r="D278" s="1" t="s">
        <v>1835</v>
      </c>
      <c r="E278" s="2"/>
      <c r="F278" s="1"/>
      <c r="G278" s="170"/>
      <c r="H278" s="1370"/>
      <c r="I278" s="2"/>
      <c r="J278" s="2"/>
    </row>
    <row r="279" spans="1:10" s="6" customFormat="1">
      <c r="A279" s="2"/>
      <c r="B279" s="2"/>
      <c r="C279" s="2"/>
      <c r="D279" s="2" t="s">
        <v>341</v>
      </c>
      <c r="E279" s="2"/>
      <c r="F279" s="1"/>
      <c r="G279" s="170"/>
      <c r="H279" s="1371"/>
      <c r="I279" s="2"/>
      <c r="J279" s="2"/>
    </row>
    <row r="280" spans="1:10" s="6" customFormat="1">
      <c r="A280" s="2"/>
      <c r="B280" s="2"/>
      <c r="C280" s="2"/>
      <c r="D280" s="1" t="s">
        <v>342</v>
      </c>
      <c r="E280" s="2"/>
      <c r="F280" s="1"/>
      <c r="G280" s="170"/>
      <c r="H280" s="1370"/>
      <c r="I280" s="2"/>
      <c r="J280" s="2"/>
    </row>
    <row r="281" spans="1:10" s="6" customFormat="1">
      <c r="A281" s="2"/>
      <c r="B281" s="2"/>
      <c r="C281" s="2"/>
      <c r="D281" s="2"/>
      <c r="E281" s="2"/>
      <c r="F281" s="2"/>
      <c r="G281" s="2"/>
      <c r="H281" s="2"/>
      <c r="I281" s="2"/>
      <c r="J281" s="2"/>
    </row>
    <row r="282" spans="1:10" s="6" customFormat="1">
      <c r="A282" s="2"/>
      <c r="B282" s="1369" t="s">
        <v>38</v>
      </c>
      <c r="C282" s="5" t="s">
        <v>27</v>
      </c>
      <c r="D282" s="181" t="s">
        <v>1834</v>
      </c>
      <c r="E282" s="2"/>
      <c r="F282" s="2"/>
      <c r="G282" s="2"/>
      <c r="H282" s="2"/>
      <c r="I282" s="2"/>
      <c r="J282" s="2"/>
    </row>
    <row r="283" spans="1:10" s="6" customFormat="1">
      <c r="A283" s="2"/>
      <c r="B283" s="1366"/>
      <c r="C283" s="194"/>
      <c r="D283" s="181" t="s">
        <v>1833</v>
      </c>
      <c r="E283" s="2"/>
      <c r="F283" s="2"/>
      <c r="G283" s="2"/>
      <c r="H283" s="2"/>
      <c r="I283" s="2"/>
      <c r="J283" s="2"/>
    </row>
    <row r="284" spans="1:10" s="6" customFormat="1">
      <c r="A284" s="2"/>
      <c r="B284" s="1366"/>
      <c r="C284" s="194"/>
      <c r="D284" s="182"/>
      <c r="E284" s="2"/>
      <c r="F284" s="2"/>
      <c r="G284" s="2"/>
      <c r="H284" s="2"/>
      <c r="I284" s="2"/>
      <c r="J284" s="2"/>
    </row>
    <row r="285" spans="1:10" s="6" customFormat="1">
      <c r="A285" s="2"/>
      <c r="B285" s="1366"/>
      <c r="C285" s="194"/>
      <c r="D285" s="2279" t="s">
        <v>1832</v>
      </c>
      <c r="E285" s="2279"/>
      <c r="F285" s="2279"/>
      <c r="G285" s="76" t="s">
        <v>757</v>
      </c>
      <c r="H285" s="1368" t="s">
        <v>1831</v>
      </c>
      <c r="I285" s="2"/>
      <c r="J285" s="2"/>
    </row>
    <row r="286" spans="1:10" s="6" customFormat="1">
      <c r="A286" s="2"/>
      <c r="B286" s="1366"/>
      <c r="C286" s="194"/>
      <c r="D286" s="2279"/>
      <c r="E286" s="2279"/>
      <c r="F286" s="2279"/>
      <c r="G286" s="1367">
        <v>17.5</v>
      </c>
      <c r="H286" s="1367">
        <v>16.100000000000001</v>
      </c>
      <c r="I286" s="2"/>
      <c r="J286" s="2"/>
    </row>
    <row r="287" spans="1:10" s="6" customFormat="1">
      <c r="A287" s="2"/>
      <c r="B287" s="1366"/>
      <c r="C287" s="194"/>
      <c r="D287" s="182"/>
      <c r="E287" s="2"/>
      <c r="F287" s="2"/>
      <c r="G287" s="2"/>
      <c r="H287" s="2"/>
      <c r="I287" s="2"/>
      <c r="J287" s="2"/>
    </row>
    <row r="288" spans="1:10" s="6" customFormat="1">
      <c r="A288" s="2"/>
      <c r="B288" s="182"/>
      <c r="C288" s="181" t="s">
        <v>1830</v>
      </c>
      <c r="D288" s="181" t="s">
        <v>1829</v>
      </c>
      <c r="E288" s="2"/>
      <c r="F288" s="2"/>
      <c r="G288" s="2"/>
      <c r="H288" s="2"/>
      <c r="I288" s="2"/>
      <c r="J288" s="2"/>
    </row>
    <row r="289" spans="1:10" s="6" customFormat="1">
      <c r="A289" s="2"/>
      <c r="B289" s="182"/>
      <c r="C289" s="181"/>
      <c r="D289" s="181"/>
      <c r="E289" s="2"/>
      <c r="F289" s="2"/>
      <c r="G289" s="2"/>
      <c r="H289" s="2"/>
      <c r="I289" s="2"/>
      <c r="J289" s="2"/>
    </row>
    <row r="290" spans="1:10" s="6" customFormat="1">
      <c r="A290" s="2"/>
      <c r="B290" s="182"/>
      <c r="C290" s="181"/>
      <c r="D290" s="2275" t="s">
        <v>343</v>
      </c>
      <c r="E290" s="2276"/>
      <c r="F290" s="2276"/>
      <c r="G290" s="2276"/>
      <c r="H290" s="2276"/>
      <c r="I290" s="2276"/>
      <c r="J290" s="2277"/>
    </row>
    <row r="291" spans="1:10" s="6" customFormat="1">
      <c r="A291" s="2"/>
      <c r="B291" s="182"/>
      <c r="C291" s="181"/>
      <c r="D291" s="5"/>
      <c r="E291" s="2"/>
      <c r="F291" s="2"/>
      <c r="G291" s="2"/>
      <c r="H291" s="2"/>
      <c r="I291" s="2"/>
      <c r="J291" s="2"/>
    </row>
    <row r="292" spans="1:10" s="6" customFormat="1" ht="31.2">
      <c r="A292" s="2"/>
      <c r="B292" s="182"/>
      <c r="C292" s="181"/>
      <c r="D292" s="2"/>
      <c r="E292" s="2"/>
      <c r="F292" s="2"/>
      <c r="G292" s="1362" t="s">
        <v>1750</v>
      </c>
      <c r="H292" s="1365" t="s">
        <v>1749</v>
      </c>
      <c r="I292" s="2"/>
      <c r="J292" s="2"/>
    </row>
    <row r="293" spans="1:10" s="6" customFormat="1">
      <c r="A293" s="2"/>
      <c r="B293" s="182"/>
      <c r="C293" s="181"/>
      <c r="D293" s="2" t="s">
        <v>1828</v>
      </c>
      <c r="E293" s="2"/>
      <c r="F293" s="2"/>
      <c r="G293" s="1361">
        <f>F241</f>
        <v>0</v>
      </c>
      <c r="H293" s="1363"/>
      <c r="I293" s="2"/>
      <c r="J293" s="2"/>
    </row>
    <row r="294" spans="1:10" s="6" customFormat="1">
      <c r="A294" s="2"/>
      <c r="B294" s="182"/>
      <c r="C294" s="181"/>
      <c r="D294" s="2" t="s">
        <v>1746</v>
      </c>
      <c r="E294" s="2"/>
      <c r="F294" s="2"/>
      <c r="G294" s="1361">
        <f>F248</f>
        <v>0</v>
      </c>
      <c r="H294" s="1363"/>
      <c r="I294" s="2"/>
      <c r="J294" s="2"/>
    </row>
    <row r="295" spans="1:10" s="6" customFormat="1">
      <c r="A295" s="2"/>
      <c r="B295" s="182"/>
      <c r="C295" s="181"/>
      <c r="D295" s="2" t="s">
        <v>348</v>
      </c>
      <c r="E295" s="2"/>
      <c r="F295" s="2"/>
      <c r="G295" s="1361">
        <f>F249</f>
        <v>0</v>
      </c>
      <c r="H295" s="1363"/>
      <c r="I295" s="2"/>
      <c r="J295" s="2"/>
    </row>
    <row r="296" spans="1:10" s="6" customFormat="1">
      <c r="A296" s="2"/>
      <c r="B296" s="182"/>
      <c r="C296" s="181"/>
      <c r="D296" s="2" t="s">
        <v>354</v>
      </c>
      <c r="E296" s="2"/>
      <c r="F296" s="2"/>
      <c r="G296" s="1361">
        <f>SUM(G294:G295)</f>
        <v>0</v>
      </c>
      <c r="H296" s="1361">
        <f>SUM(H294:H295)</f>
        <v>0</v>
      </c>
      <c r="I296" s="2"/>
      <c r="J296" s="2"/>
    </row>
    <row r="297" spans="1:10" s="6" customFormat="1">
      <c r="A297" s="2"/>
      <c r="B297" s="182"/>
      <c r="C297" s="181"/>
      <c r="D297" s="2" t="s">
        <v>346</v>
      </c>
      <c r="E297" s="2"/>
      <c r="F297" s="2"/>
      <c r="G297" s="1361">
        <f>G293-G296</f>
        <v>0</v>
      </c>
      <c r="H297" s="1361">
        <f>H293-H296</f>
        <v>0</v>
      </c>
      <c r="I297" s="2"/>
      <c r="J297" s="2"/>
    </row>
    <row r="298" spans="1:10" s="6" customFormat="1">
      <c r="A298" s="2"/>
      <c r="B298" s="182"/>
      <c r="C298" s="181"/>
      <c r="D298" s="2"/>
      <c r="E298" s="2"/>
      <c r="F298" s="222"/>
      <c r="G298" s="222"/>
      <c r="H298" s="222"/>
      <c r="I298" s="2"/>
      <c r="J298" s="2"/>
    </row>
    <row r="299" spans="1:10" s="6" customFormat="1">
      <c r="A299" s="2"/>
      <c r="B299" s="182"/>
      <c r="C299" s="181" t="s">
        <v>1827</v>
      </c>
      <c r="D299" s="181" t="s">
        <v>1826</v>
      </c>
      <c r="E299" s="2"/>
      <c r="F299" s="2"/>
      <c r="G299" s="2"/>
      <c r="H299" s="2"/>
      <c r="I299" s="2"/>
      <c r="J299" s="2"/>
    </row>
    <row r="300" spans="1:10" s="6" customFormat="1">
      <c r="A300" s="2"/>
      <c r="B300" s="182"/>
      <c r="C300" s="182"/>
      <c r="D300" s="1364"/>
      <c r="E300" s="2"/>
      <c r="F300" s="2"/>
      <c r="G300" s="2"/>
      <c r="H300" s="2"/>
      <c r="I300" s="2"/>
      <c r="J300" s="2"/>
    </row>
    <row r="301" spans="1:10" s="6" customFormat="1">
      <c r="A301" s="2"/>
      <c r="B301" s="182"/>
      <c r="C301" s="182"/>
      <c r="D301" s="2275" t="s">
        <v>343</v>
      </c>
      <c r="E301" s="2276"/>
      <c r="F301" s="2276"/>
      <c r="G301" s="2276"/>
      <c r="H301" s="2276"/>
      <c r="I301" s="2276"/>
      <c r="J301" s="2277"/>
    </row>
    <row r="302" spans="1:10" s="6" customFormat="1">
      <c r="A302" s="2"/>
      <c r="B302" s="182"/>
      <c r="C302" s="182"/>
      <c r="D302" s="1360"/>
      <c r="E302" s="2"/>
      <c r="F302" s="2"/>
      <c r="G302" s="2"/>
      <c r="H302" s="2"/>
      <c r="I302" s="2"/>
      <c r="J302" s="2"/>
    </row>
    <row r="303" spans="1:10" s="6" customFormat="1" ht="31.2">
      <c r="A303" s="2"/>
      <c r="B303" s="182"/>
      <c r="C303" s="182"/>
      <c r="D303" s="2"/>
      <c r="E303" s="2"/>
      <c r="F303" s="1362"/>
      <c r="G303" s="1362" t="s">
        <v>1750</v>
      </c>
      <c r="H303" s="1362" t="s">
        <v>1825</v>
      </c>
      <c r="I303" s="2"/>
      <c r="J303" s="2"/>
    </row>
    <row r="304" spans="1:10" s="6" customFormat="1">
      <c r="A304" s="2"/>
      <c r="B304" s="182"/>
      <c r="C304" s="182"/>
      <c r="D304" s="2" t="s">
        <v>642</v>
      </c>
      <c r="E304" s="2"/>
      <c r="F304" s="1362"/>
      <c r="G304" s="1361">
        <f>G293</f>
        <v>0</v>
      </c>
      <c r="H304" s="1363"/>
      <c r="I304" s="2"/>
      <c r="J304" s="2"/>
    </row>
    <row r="305" spans="1:10" s="6" customFormat="1">
      <c r="A305" s="2"/>
      <c r="B305" s="182"/>
      <c r="C305" s="182"/>
      <c r="D305" s="2" t="s">
        <v>1746</v>
      </c>
      <c r="E305" s="2"/>
      <c r="F305" s="1362"/>
      <c r="G305" s="1361">
        <f>G294</f>
        <v>0</v>
      </c>
      <c r="H305" s="1363"/>
      <c r="I305" s="2"/>
      <c r="J305" s="2"/>
    </row>
    <row r="306" spans="1:10" s="6" customFormat="1">
      <c r="A306" s="2"/>
      <c r="B306" s="182"/>
      <c r="C306" s="182"/>
      <c r="D306" s="2" t="s">
        <v>348</v>
      </c>
      <c r="E306" s="2"/>
      <c r="F306" s="1362"/>
      <c r="G306" s="1361">
        <f>G295</f>
        <v>0</v>
      </c>
      <c r="H306" s="1363"/>
      <c r="I306" s="2"/>
      <c r="J306" s="2"/>
    </row>
    <row r="307" spans="1:10" s="6" customFormat="1">
      <c r="A307" s="2"/>
      <c r="B307" s="182"/>
      <c r="C307" s="182"/>
      <c r="D307" s="2" t="s">
        <v>354</v>
      </c>
      <c r="E307" s="2"/>
      <c r="F307" s="1362"/>
      <c r="G307" s="1361">
        <f>G296</f>
        <v>0</v>
      </c>
      <c r="H307" s="1361">
        <f>SUM(H305:H306)</f>
        <v>0</v>
      </c>
      <c r="I307" s="2"/>
      <c r="J307" s="2"/>
    </row>
    <row r="308" spans="1:10" s="6" customFormat="1">
      <c r="A308" s="2"/>
      <c r="B308" s="182"/>
      <c r="C308" s="182"/>
      <c r="D308" s="2" t="s">
        <v>346</v>
      </c>
      <c r="E308" s="2"/>
      <c r="F308" s="1362"/>
      <c r="G308" s="1361">
        <f>G297</f>
        <v>0</v>
      </c>
      <c r="H308" s="1361">
        <f>H304-H307</f>
        <v>0</v>
      </c>
      <c r="I308" s="2"/>
      <c r="J308" s="2"/>
    </row>
    <row r="309" spans="1:10" s="6" customFormat="1">
      <c r="A309" s="2"/>
      <c r="B309" s="182"/>
      <c r="C309" s="182"/>
      <c r="D309" s="1360"/>
      <c r="E309" s="2"/>
      <c r="F309" s="2"/>
      <c r="G309" s="2"/>
      <c r="H309" s="2"/>
      <c r="I309" s="2"/>
      <c r="J309" s="2"/>
    </row>
    <row r="310" spans="1:10" s="6" customFormat="1">
      <c r="A310" s="2"/>
      <c r="B310" s="2"/>
      <c r="C310" s="2"/>
      <c r="D310" s="2"/>
      <c r="E310" s="2"/>
      <c r="F310" s="2"/>
      <c r="G310" s="2"/>
      <c r="H310" s="2"/>
      <c r="I310" s="2"/>
      <c r="J310" s="2"/>
    </row>
  </sheetData>
  <mergeCells count="98">
    <mergeCell ref="D257:J257"/>
    <mergeCell ref="D285:F286"/>
    <mergeCell ref="D290:J290"/>
    <mergeCell ref="D301:J301"/>
    <mergeCell ref="D230:G230"/>
    <mergeCell ref="D231:G231"/>
    <mergeCell ref="D232:G232"/>
    <mergeCell ref="D233:G233"/>
    <mergeCell ref="D234:G234"/>
    <mergeCell ref="D239:J239"/>
    <mergeCell ref="D229:G229"/>
    <mergeCell ref="D192:J192"/>
    <mergeCell ref="E207:I207"/>
    <mergeCell ref="E208:I208"/>
    <mergeCell ref="E209:I209"/>
    <mergeCell ref="E210:I210"/>
    <mergeCell ref="E211:I211"/>
    <mergeCell ref="E212:I212"/>
    <mergeCell ref="E213:I213"/>
    <mergeCell ref="D226:G226"/>
    <mergeCell ref="D227:G227"/>
    <mergeCell ref="D228:G228"/>
    <mergeCell ref="C147:C148"/>
    <mergeCell ref="D147:D148"/>
    <mergeCell ref="G147:G148"/>
    <mergeCell ref="H147:H148"/>
    <mergeCell ref="D178:J178"/>
    <mergeCell ref="C149:C150"/>
    <mergeCell ref="H153:H154"/>
    <mergeCell ref="D161:J161"/>
    <mergeCell ref="C153:C154"/>
    <mergeCell ref="D153:D154"/>
    <mergeCell ref="G153:G154"/>
    <mergeCell ref="G117:G118"/>
    <mergeCell ref="H117:H118"/>
    <mergeCell ref="D149:D150"/>
    <mergeCell ref="G149:G150"/>
    <mergeCell ref="H149:H150"/>
    <mergeCell ref="C151:C152"/>
    <mergeCell ref="D151:D152"/>
    <mergeCell ref="G151:G152"/>
    <mergeCell ref="H151:H152"/>
    <mergeCell ref="J117:J118"/>
    <mergeCell ref="B124:B125"/>
    <mergeCell ref="C124:C125"/>
    <mergeCell ref="D124:D125"/>
    <mergeCell ref="E124:E125"/>
    <mergeCell ref="F124:F125"/>
    <mergeCell ref="G124:G125"/>
    <mergeCell ref="H124:H125"/>
    <mergeCell ref="I124:I125"/>
    <mergeCell ref="J124:J125"/>
    <mergeCell ref="I117:I118"/>
    <mergeCell ref="C104:D104"/>
    <mergeCell ref="C105:D105"/>
    <mergeCell ref="D109:F109"/>
    <mergeCell ref="B117:B118"/>
    <mergeCell ref="C117:C118"/>
    <mergeCell ref="D117:D118"/>
    <mergeCell ref="E117:E118"/>
    <mergeCell ref="F117:F118"/>
    <mergeCell ref="C103:D103"/>
    <mergeCell ref="B61:C61"/>
    <mergeCell ref="D61:E61"/>
    <mergeCell ref="B62:C62"/>
    <mergeCell ref="D62:E62"/>
    <mergeCell ref="C96:D96"/>
    <mergeCell ref="C97:D97"/>
    <mergeCell ref="C98:D98"/>
    <mergeCell ref="C99:D99"/>
    <mergeCell ref="C100:D100"/>
    <mergeCell ref="B52:C52"/>
    <mergeCell ref="C101:D101"/>
    <mergeCell ref="C102:D102"/>
    <mergeCell ref="B60:C60"/>
    <mergeCell ref="D60:E60"/>
    <mergeCell ref="B53:E53"/>
    <mergeCell ref="B54:C54"/>
    <mergeCell ref="D54:E54"/>
    <mergeCell ref="B55:E55"/>
    <mergeCell ref="B56:C56"/>
    <mergeCell ref="D56:E56"/>
    <mergeCell ref="B57:C57"/>
    <mergeCell ref="D57:E57"/>
    <mergeCell ref="B58:E58"/>
    <mergeCell ref="B59:C59"/>
    <mergeCell ref="D59:E59"/>
    <mergeCell ref="B4:F4"/>
    <mergeCell ref="B30:C32"/>
    <mergeCell ref="B33:C33"/>
    <mergeCell ref="B34:C36"/>
    <mergeCell ref="B37:C37"/>
    <mergeCell ref="D37:E38"/>
    <mergeCell ref="B39:C39"/>
    <mergeCell ref="D39:E40"/>
    <mergeCell ref="B41:C43"/>
    <mergeCell ref="D41:E43"/>
    <mergeCell ref="B48:C48"/>
  </mergeCells>
  <pageMargins left="0.7" right="0.7" top="0.75" bottom="0.75" header="0.3" footer="0.3"/>
  <pageSetup orientation="portrait"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3D19-51AE-4A39-B9E1-5B5C22C855DD}">
  <dimension ref="A1:M4"/>
  <sheetViews>
    <sheetView workbookViewId="0"/>
  </sheetViews>
  <sheetFormatPr defaultRowHeight="14.4"/>
  <sheetData>
    <row r="1" spans="1:13" ht="15.6">
      <c r="A1" s="164" t="s">
        <v>329</v>
      </c>
    </row>
    <row r="2" spans="1:13" ht="15.6">
      <c r="A2" s="164" t="s">
        <v>880</v>
      </c>
    </row>
    <row r="3" spans="1:13" ht="15.6">
      <c r="A3" s="164"/>
    </row>
    <row r="4" spans="1:13" ht="15.6">
      <c r="A4" s="3" t="s">
        <v>1907</v>
      </c>
      <c r="M4" s="3" t="s">
        <v>1906</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3519-CC56-4DDE-BD91-9C72C0D9A743}">
  <dimension ref="A1:W46"/>
  <sheetViews>
    <sheetView zoomScale="75" zoomScaleNormal="75" workbookViewId="0"/>
  </sheetViews>
  <sheetFormatPr defaultColWidth="9.109375" defaultRowHeight="15.6"/>
  <cols>
    <col min="1" max="1" width="3.88671875" style="225" customWidth="1"/>
    <col min="2" max="2" width="20.109375" style="225" customWidth="1"/>
    <col min="3" max="5" width="17.109375" style="225" bestFit="1" customWidth="1"/>
    <col min="6" max="6" width="21.44140625" style="225" customWidth="1"/>
    <col min="7" max="7" width="4.44140625" style="225" customWidth="1"/>
    <col min="8" max="8" width="9" style="225" customWidth="1"/>
    <col min="9" max="9" width="1" style="1031" customWidth="1"/>
    <col min="10" max="10" width="4" style="1030" customWidth="1"/>
    <col min="11" max="12" width="9.109375" style="1030"/>
    <col min="13" max="13" width="14.88671875" style="1030" customWidth="1"/>
    <col min="14" max="14" width="11.88671875" style="1030" bestFit="1" customWidth="1"/>
    <col min="15" max="15" width="13.109375" style="1030" bestFit="1" customWidth="1"/>
    <col min="16" max="16" width="18.5546875" style="1030" customWidth="1"/>
    <col min="17" max="17" width="11" style="1030" bestFit="1" customWidth="1"/>
    <col min="18" max="20" width="9.109375" style="1030"/>
    <col min="21" max="21" width="9.88671875" style="1030" bestFit="1" customWidth="1"/>
    <col min="22" max="22" width="1" style="1031" customWidth="1"/>
    <col min="23" max="23" width="9.109375" style="3"/>
  </cols>
  <sheetData>
    <row r="1" spans="1:22">
      <c r="A1" s="256" t="str">
        <f>'[3]Question 8'!A1</f>
        <v>Exam RETDAC:  Fall 2022</v>
      </c>
      <c r="J1" s="256" t="str">
        <f>A1</f>
        <v>Exam RETDAC:  Fall 2022</v>
      </c>
      <c r="K1" s="225"/>
      <c r="L1" s="225"/>
      <c r="M1" s="225"/>
      <c r="N1" s="225"/>
      <c r="O1" s="225"/>
      <c r="P1" s="225"/>
      <c r="Q1" s="225"/>
      <c r="R1" s="225"/>
      <c r="S1" s="225"/>
      <c r="T1" s="225"/>
      <c r="U1" s="225"/>
    </row>
    <row r="2" spans="1:22">
      <c r="A2" s="256" t="s">
        <v>1433</v>
      </c>
      <c r="J2" s="256" t="str">
        <f>A2</f>
        <v>Design and Accounting Exam – Canada</v>
      </c>
      <c r="K2" s="225"/>
      <c r="L2" s="225"/>
      <c r="M2" s="225"/>
      <c r="N2" s="225"/>
      <c r="O2" s="225"/>
      <c r="P2" s="225"/>
      <c r="Q2" s="225"/>
      <c r="R2" s="225"/>
      <c r="S2" s="225"/>
      <c r="T2" s="225"/>
      <c r="U2" s="225"/>
    </row>
    <row r="3" spans="1:22">
      <c r="A3" s="256" t="s">
        <v>569</v>
      </c>
      <c r="J3" s="256" t="str">
        <f>A3</f>
        <v>Question 6</v>
      </c>
      <c r="K3" s="225"/>
      <c r="L3" s="225"/>
      <c r="M3" s="225"/>
      <c r="N3" s="225"/>
      <c r="O3" s="225"/>
      <c r="P3" s="225"/>
      <c r="Q3" s="225"/>
      <c r="R3" s="225"/>
      <c r="S3" s="225"/>
      <c r="T3" s="225"/>
      <c r="U3" s="225"/>
    </row>
    <row r="4" spans="1:22">
      <c r="J4" s="225"/>
      <c r="K4" s="225"/>
      <c r="L4" s="225"/>
      <c r="M4" s="225"/>
      <c r="N4" s="225"/>
      <c r="O4" s="225"/>
      <c r="P4" s="225"/>
      <c r="Q4" s="225"/>
      <c r="R4" s="225"/>
      <c r="S4" s="225"/>
      <c r="T4" s="225"/>
      <c r="U4" s="225"/>
    </row>
    <row r="5" spans="1:22" s="3" customFormat="1" ht="16.2">
      <c r="A5" s="2280" t="s">
        <v>1924</v>
      </c>
      <c r="B5" s="2280"/>
      <c r="C5" s="2280"/>
      <c r="D5" s="2280"/>
      <c r="E5" s="2280"/>
      <c r="F5" s="2280"/>
      <c r="G5" s="1189"/>
      <c r="H5" s="225"/>
      <c r="I5" s="1031"/>
      <c r="J5" s="1074" t="s">
        <v>1431</v>
      </c>
      <c r="K5" s="225"/>
      <c r="L5" s="225"/>
      <c r="M5" s="225"/>
      <c r="N5" s="225"/>
      <c r="O5" s="225"/>
      <c r="P5" s="225"/>
      <c r="Q5" s="225"/>
      <c r="R5" s="225"/>
      <c r="S5" s="225"/>
      <c r="T5" s="225"/>
      <c r="U5" s="225"/>
      <c r="V5" s="1031"/>
    </row>
    <row r="6" spans="1:22" s="3" customFormat="1">
      <c r="A6" s="2280"/>
      <c r="B6" s="2280"/>
      <c r="C6" s="2280"/>
      <c r="D6" s="2280"/>
      <c r="E6" s="2280"/>
      <c r="F6" s="2280"/>
      <c r="G6" s="225"/>
      <c r="H6" s="225"/>
      <c r="I6" s="1031"/>
      <c r="J6" s="225"/>
      <c r="K6" s="225"/>
      <c r="L6" s="225"/>
      <c r="M6" s="225"/>
      <c r="N6" s="225"/>
      <c r="O6" s="225"/>
      <c r="P6" s="225"/>
      <c r="Q6" s="225"/>
      <c r="R6" s="225"/>
      <c r="S6" s="225"/>
      <c r="T6" s="225"/>
      <c r="U6" s="225"/>
      <c r="V6" s="1031"/>
    </row>
    <row r="7" spans="1:22" s="3" customFormat="1">
      <c r="A7" s="1433"/>
      <c r="B7" s="1433"/>
      <c r="C7" s="1433"/>
      <c r="D7" s="1433"/>
      <c r="E7" s="1433"/>
      <c r="F7" s="1433"/>
      <c r="G7" s="225"/>
      <c r="H7" s="225"/>
      <c r="I7" s="1031"/>
      <c r="J7" s="225"/>
      <c r="K7" s="225"/>
      <c r="L7" s="225"/>
      <c r="M7" s="225"/>
      <c r="N7" s="225"/>
      <c r="O7" s="225"/>
      <c r="P7" s="225"/>
      <c r="Q7" s="225"/>
      <c r="R7" s="225"/>
      <c r="S7" s="225"/>
      <c r="T7" s="225"/>
      <c r="U7" s="225"/>
      <c r="V7" s="1031"/>
    </row>
    <row r="8" spans="1:22" s="3" customFormat="1" ht="30.6" customHeight="1">
      <c r="A8" s="225"/>
      <c r="B8" s="2281" t="s">
        <v>1923</v>
      </c>
      <c r="C8" s="2281"/>
      <c r="D8" s="2281"/>
      <c r="E8" s="2281"/>
      <c r="F8" s="1431">
        <v>250000</v>
      </c>
      <c r="G8" s="1060"/>
      <c r="H8" s="225"/>
      <c r="I8" s="1031"/>
      <c r="J8" s="225" t="s">
        <v>34</v>
      </c>
      <c r="K8" s="225" t="s">
        <v>1922</v>
      </c>
      <c r="L8" s="225"/>
      <c r="M8" s="225"/>
      <c r="N8" s="225"/>
      <c r="O8" s="225"/>
      <c r="P8" s="225"/>
      <c r="Q8" s="1432"/>
      <c r="R8" s="1432"/>
      <c r="S8" s="1432"/>
      <c r="T8" s="1432"/>
      <c r="U8" s="1432"/>
      <c r="V8" s="1031"/>
    </row>
    <row r="9" spans="1:22" s="3" customFormat="1">
      <c r="A9" s="225"/>
      <c r="B9" s="2281" t="s">
        <v>1921</v>
      </c>
      <c r="C9" s="2281"/>
      <c r="D9" s="2281"/>
      <c r="E9" s="2281"/>
      <c r="F9" s="1431">
        <v>25000</v>
      </c>
      <c r="G9" s="225"/>
      <c r="H9" s="225"/>
      <c r="I9" s="1031"/>
      <c r="J9" s="225"/>
      <c r="K9" s="225"/>
      <c r="L9" s="225"/>
      <c r="M9" s="225"/>
      <c r="N9" s="225"/>
      <c r="O9" s="225"/>
      <c r="P9" s="225"/>
      <c r="Q9" s="1068"/>
      <c r="R9" s="1068"/>
      <c r="S9" s="1068"/>
      <c r="T9" s="1068"/>
      <c r="U9" s="1068"/>
      <c r="V9" s="1031"/>
    </row>
    <row r="10" spans="1:22" s="3" customFormat="1" ht="18.600000000000001" customHeight="1">
      <c r="A10" s="225"/>
      <c r="B10" s="2281" t="s">
        <v>1920</v>
      </c>
      <c r="C10" s="2281"/>
      <c r="D10" s="2281"/>
      <c r="E10" s="2281"/>
      <c r="F10" s="1431">
        <v>30000</v>
      </c>
      <c r="G10" s="225"/>
      <c r="H10" s="225"/>
      <c r="I10" s="1031"/>
      <c r="J10" s="225"/>
      <c r="K10" s="225" t="str">
        <f>B25</f>
        <v>(i)    RCA</v>
      </c>
      <c r="L10" s="1189"/>
      <c r="M10" s="1189"/>
      <c r="N10" s="1189"/>
      <c r="O10" s="1189"/>
      <c r="P10" s="1189"/>
      <c r="Q10" s="1189"/>
      <c r="R10" s="1189"/>
      <c r="S10" s="1189"/>
      <c r="T10" s="1189"/>
      <c r="U10" s="1189"/>
      <c r="V10" s="1031"/>
    </row>
    <row r="11" spans="1:22" s="3" customFormat="1">
      <c r="A11" s="225"/>
      <c r="B11" s="1429"/>
      <c r="C11" s="1209"/>
      <c r="D11" s="1426"/>
      <c r="E11" s="225"/>
      <c r="F11" s="225"/>
      <c r="G11" s="225"/>
      <c r="H11" s="225"/>
      <c r="I11" s="1031"/>
      <c r="J11" s="225"/>
      <c r="K11" s="1195"/>
      <c r="L11" s="1189"/>
      <c r="M11" s="1189"/>
      <c r="N11" s="1189"/>
      <c r="O11" s="1189"/>
      <c r="P11" s="1189"/>
      <c r="Q11" s="1189"/>
      <c r="R11" s="1189"/>
      <c r="S11" s="1189"/>
      <c r="T11" s="1189"/>
      <c r="U11" s="1189"/>
      <c r="V11" s="1031"/>
    </row>
    <row r="12" spans="1:22" s="3" customFormat="1">
      <c r="A12" s="1430" t="s">
        <v>1919</v>
      </c>
      <c r="B12" s="1429"/>
      <c r="C12" s="1209"/>
      <c r="D12" s="1426"/>
      <c r="E12" s="225"/>
      <c r="F12" s="225"/>
      <c r="G12" s="225"/>
      <c r="H12" s="225"/>
      <c r="I12" s="1031"/>
      <c r="J12" s="225"/>
      <c r="K12" s="225" t="str">
        <f>B27</f>
        <v>(ii)  RTA</v>
      </c>
      <c r="L12" s="225"/>
      <c r="M12" s="225"/>
      <c r="N12" s="225"/>
      <c r="O12" s="225"/>
      <c r="P12" s="255"/>
      <c r="Q12" s="1068"/>
      <c r="R12" s="1068"/>
      <c r="S12" s="1068"/>
      <c r="T12" s="1068"/>
      <c r="U12" s="1068"/>
      <c r="V12" s="1031"/>
    </row>
    <row r="13" spans="1:22" s="3" customFormat="1">
      <c r="A13" s="225"/>
      <c r="B13" s="1429"/>
      <c r="C13" s="1209"/>
      <c r="D13" s="1426"/>
      <c r="E13" s="225"/>
      <c r="F13" s="225"/>
      <c r="G13" s="225"/>
      <c r="H13" s="225"/>
      <c r="I13" s="1031"/>
      <c r="J13" s="225"/>
      <c r="K13" s="1062"/>
      <c r="L13" s="225"/>
      <c r="M13" s="225"/>
      <c r="N13" s="225"/>
      <c r="O13" s="225"/>
      <c r="P13" s="255"/>
      <c r="Q13" s="1068"/>
      <c r="R13" s="1068"/>
      <c r="S13" s="1068"/>
      <c r="T13" s="1068"/>
      <c r="U13" s="1068"/>
      <c r="V13" s="1031"/>
    </row>
    <row r="14" spans="1:22" s="3" customFormat="1">
      <c r="A14" s="225"/>
      <c r="B14" s="1427" t="s">
        <v>1918</v>
      </c>
      <c r="C14" s="1209"/>
      <c r="D14" s="1426"/>
      <c r="E14" s="225"/>
      <c r="F14" s="225"/>
      <c r="G14" s="225"/>
      <c r="H14" s="225"/>
      <c r="I14" s="1031"/>
      <c r="J14" s="225"/>
      <c r="K14" s="225" t="str">
        <f>B29</f>
        <v>Show all work.</v>
      </c>
      <c r="L14" s="225"/>
      <c r="M14" s="225"/>
      <c r="N14" s="225"/>
      <c r="O14" s="225"/>
      <c r="P14" s="255"/>
      <c r="Q14" s="1068"/>
      <c r="R14" s="1068"/>
      <c r="S14" s="1068"/>
      <c r="T14" s="1068"/>
      <c r="U14" s="1068"/>
      <c r="V14" s="1031"/>
    </row>
    <row r="15" spans="1:22" s="3" customFormat="1">
      <c r="A15" s="225"/>
      <c r="B15" s="1427" t="s">
        <v>1917</v>
      </c>
      <c r="C15" s="1209"/>
      <c r="D15" s="1426"/>
      <c r="E15" s="225"/>
      <c r="F15" s="225"/>
      <c r="G15" s="225"/>
      <c r="H15" s="225"/>
      <c r="I15" s="1031"/>
      <c r="J15" s="225"/>
      <c r="K15" s="1062"/>
      <c r="L15" s="225"/>
      <c r="M15" s="225"/>
      <c r="N15" s="225"/>
      <c r="O15" s="225"/>
      <c r="P15" s="225"/>
      <c r="Q15" s="225"/>
      <c r="R15" s="225"/>
      <c r="S15" s="225"/>
      <c r="T15" s="225"/>
      <c r="U15" s="225"/>
      <c r="V15" s="1031"/>
    </row>
    <row r="16" spans="1:22" s="3" customFormat="1">
      <c r="A16" s="225"/>
      <c r="B16" s="1427" t="s">
        <v>1916</v>
      </c>
      <c r="C16" s="1209"/>
      <c r="D16" s="1426"/>
      <c r="E16" s="225"/>
      <c r="F16" s="225"/>
      <c r="G16" s="225"/>
      <c r="H16" s="225"/>
      <c r="I16" s="1031"/>
      <c r="J16" s="1030"/>
      <c r="K16" s="1428"/>
      <c r="L16" s="1030"/>
      <c r="M16" s="1030"/>
      <c r="N16" s="1030"/>
      <c r="O16" s="1030"/>
      <c r="P16" s="1030"/>
      <c r="Q16" s="1030"/>
      <c r="R16" s="1030"/>
      <c r="S16" s="1030"/>
      <c r="T16" s="1030"/>
      <c r="U16" s="1030"/>
      <c r="V16" s="1031"/>
    </row>
    <row r="17" spans="1:22" s="3" customFormat="1">
      <c r="A17" s="225"/>
      <c r="B17" s="1427" t="s">
        <v>1915</v>
      </c>
      <c r="C17" s="1209"/>
      <c r="D17" s="1426"/>
      <c r="E17" s="225"/>
      <c r="F17" s="225"/>
      <c r="G17" s="225"/>
      <c r="H17" s="225"/>
      <c r="I17" s="1031"/>
      <c r="J17" s="1030"/>
      <c r="K17" s="1428"/>
      <c r="L17" s="1030"/>
      <c r="M17" s="1030"/>
      <c r="N17" s="1030"/>
      <c r="O17" s="1030"/>
      <c r="P17" s="1030"/>
      <c r="Q17" s="1030"/>
      <c r="R17" s="1030"/>
      <c r="S17" s="1030"/>
      <c r="T17" s="1030"/>
      <c r="U17" s="1030"/>
      <c r="V17" s="1031"/>
    </row>
    <row r="18" spans="1:22" s="3" customFormat="1">
      <c r="A18" s="225"/>
      <c r="B18" s="1427" t="s">
        <v>1914</v>
      </c>
      <c r="C18" s="1209"/>
      <c r="D18" s="1426"/>
      <c r="E18" s="225"/>
      <c r="F18" s="225"/>
      <c r="G18" s="225"/>
      <c r="H18" s="225"/>
      <c r="I18" s="1031"/>
      <c r="J18" s="1030"/>
      <c r="K18" s="1030"/>
      <c r="L18" s="1030"/>
      <c r="M18" s="1030"/>
      <c r="N18" s="1030"/>
      <c r="O18" s="1030"/>
      <c r="P18" s="1030"/>
      <c r="Q18" s="1030"/>
      <c r="R18" s="1030"/>
      <c r="S18" s="1030"/>
      <c r="T18" s="1030"/>
      <c r="U18" s="1030"/>
      <c r="V18" s="1031"/>
    </row>
    <row r="19" spans="1:22" s="3" customFormat="1">
      <c r="A19" s="225"/>
      <c r="B19" s="1427" t="s">
        <v>1913</v>
      </c>
      <c r="C19" s="1209"/>
      <c r="D19" s="1426"/>
      <c r="E19" s="225"/>
      <c r="F19" s="225"/>
      <c r="G19" s="225"/>
      <c r="H19" s="225"/>
      <c r="I19" s="1031"/>
      <c r="J19" s="1030"/>
      <c r="K19" s="1152"/>
      <c r="L19" s="1153"/>
      <c r="M19" s="1424"/>
      <c r="N19" s="1153"/>
      <c r="O19" s="1153"/>
      <c r="P19" s="1153"/>
      <c r="Q19" s="1153"/>
      <c r="R19" s="1153"/>
      <c r="S19" s="1030"/>
      <c r="T19" s="1030"/>
      <c r="U19" s="1030"/>
      <c r="V19" s="1031"/>
    </row>
    <row r="20" spans="1:22" s="3" customFormat="1">
      <c r="A20" s="225"/>
      <c r="B20" s="1427" t="s">
        <v>1912</v>
      </c>
      <c r="C20" s="1209"/>
      <c r="D20" s="1426"/>
      <c r="E20" s="225"/>
      <c r="F20" s="225"/>
      <c r="G20" s="225"/>
      <c r="H20" s="225"/>
      <c r="I20" s="1031"/>
      <c r="J20" s="1030"/>
      <c r="K20" s="1152"/>
      <c r="L20" s="1153"/>
      <c r="M20" s="1424"/>
      <c r="N20" s="1153"/>
      <c r="O20" s="1153"/>
      <c r="P20" s="1153"/>
      <c r="Q20" s="1153"/>
      <c r="R20" s="1153"/>
      <c r="S20" s="1030"/>
      <c r="T20" s="1030"/>
      <c r="U20" s="1030"/>
      <c r="V20" s="1031"/>
    </row>
    <row r="21" spans="1:22" s="3" customFormat="1">
      <c r="A21" s="225"/>
      <c r="B21" s="1427" t="s">
        <v>1911</v>
      </c>
      <c r="C21" s="1209"/>
      <c r="D21" s="1426"/>
      <c r="E21" s="225"/>
      <c r="F21" s="225"/>
      <c r="G21" s="225"/>
      <c r="H21" s="225"/>
      <c r="I21" s="1031"/>
      <c r="J21" s="1030"/>
      <c r="K21" s="1152"/>
      <c r="L21" s="1153"/>
      <c r="M21" s="1424"/>
      <c r="N21" s="1153"/>
      <c r="O21" s="1153"/>
      <c r="P21" s="1153"/>
      <c r="Q21" s="1153"/>
      <c r="R21" s="1153"/>
      <c r="S21" s="1030"/>
      <c r="T21" s="1030"/>
      <c r="U21" s="1030"/>
      <c r="V21" s="1031"/>
    </row>
    <row r="22" spans="1:22" s="3" customFormat="1">
      <c r="A22" s="225"/>
      <c r="B22" s="225"/>
      <c r="C22" s="225"/>
      <c r="D22" s="225"/>
      <c r="E22" s="225"/>
      <c r="F22" s="225"/>
      <c r="G22" s="225"/>
      <c r="H22" s="225"/>
      <c r="I22" s="1031"/>
      <c r="J22" s="1030"/>
      <c r="K22" s="1152"/>
      <c r="L22" s="1153"/>
      <c r="M22" s="1424"/>
      <c r="N22" s="1153"/>
      <c r="O22" s="1153"/>
      <c r="P22" s="1153"/>
      <c r="Q22" s="1153"/>
      <c r="R22" s="1153"/>
      <c r="S22" s="1030"/>
      <c r="T22" s="1030"/>
      <c r="U22" s="1030"/>
      <c r="V22" s="1031"/>
    </row>
    <row r="23" spans="1:22" s="3" customFormat="1">
      <c r="A23" s="225" t="s">
        <v>34</v>
      </c>
      <c r="B23" s="225" t="s">
        <v>1910</v>
      </c>
      <c r="C23" s="225"/>
      <c r="D23" s="225"/>
      <c r="E23" s="1189"/>
      <c r="F23" s="225"/>
      <c r="G23" s="225"/>
      <c r="H23" s="225"/>
      <c r="I23" s="1031"/>
      <c r="J23" s="1030"/>
      <c r="K23" s="1152"/>
      <c r="L23" s="1153"/>
      <c r="M23" s="1424"/>
      <c r="N23" s="1153"/>
      <c r="O23" s="1153"/>
      <c r="P23" s="1153"/>
      <c r="Q23" s="1153"/>
      <c r="R23" s="1153"/>
      <c r="S23" s="1030"/>
      <c r="T23" s="1030"/>
      <c r="U23" s="1030"/>
      <c r="V23" s="1031"/>
    </row>
    <row r="24" spans="1:22" s="3" customFormat="1">
      <c r="A24" s="225"/>
      <c r="B24" s="1195"/>
      <c r="C24" s="225"/>
      <c r="D24" s="225"/>
      <c r="E24" s="1062"/>
      <c r="F24" s="225"/>
      <c r="G24" s="225"/>
      <c r="H24" s="225"/>
      <c r="I24" s="1031"/>
      <c r="J24" s="1030"/>
      <c r="K24" s="1152"/>
      <c r="L24" s="1153"/>
      <c r="M24" s="1424"/>
      <c r="N24" s="1153"/>
      <c r="O24" s="1153"/>
      <c r="P24" s="1153"/>
      <c r="Q24" s="1153"/>
      <c r="R24" s="1153"/>
      <c r="S24" s="1030"/>
      <c r="T24" s="1030"/>
      <c r="U24" s="1030"/>
      <c r="V24" s="1031"/>
    </row>
    <row r="25" spans="1:22" s="3" customFormat="1">
      <c r="A25" s="225"/>
      <c r="B25" s="225" t="s">
        <v>1909</v>
      </c>
      <c r="C25" s="225"/>
      <c r="D25" s="225"/>
      <c r="E25" s="225"/>
      <c r="F25" s="225"/>
      <c r="G25" s="225"/>
      <c r="H25" s="225"/>
      <c r="I25" s="1031"/>
      <c r="J25" s="1030"/>
      <c r="K25" s="1152"/>
      <c r="L25" s="1153"/>
      <c r="M25" s="1424"/>
      <c r="N25" s="1153"/>
      <c r="O25" s="1153"/>
      <c r="P25" s="1153"/>
      <c r="Q25" s="1153"/>
      <c r="R25" s="1153"/>
      <c r="S25" s="1030"/>
      <c r="T25" s="1030"/>
      <c r="U25" s="1030"/>
      <c r="V25" s="1031"/>
    </row>
    <row r="26" spans="1:22" s="3" customFormat="1">
      <c r="A26" s="225"/>
      <c r="B26" s="1062"/>
      <c r="C26" s="225"/>
      <c r="D26" s="225"/>
      <c r="E26" s="225"/>
      <c r="F26" s="225"/>
      <c r="G26" s="225"/>
      <c r="H26" s="225"/>
      <c r="I26" s="1031"/>
      <c r="J26" s="1030"/>
      <c r="K26" s="1152"/>
      <c r="L26" s="1153"/>
      <c r="M26" s="1424"/>
      <c r="N26" s="1153"/>
      <c r="O26" s="1153"/>
      <c r="P26" s="1153"/>
      <c r="Q26" s="1153"/>
      <c r="R26" s="1153"/>
      <c r="S26" s="1030"/>
      <c r="T26" s="1030"/>
      <c r="U26" s="1030"/>
      <c r="V26" s="1031"/>
    </row>
    <row r="27" spans="1:22" s="3" customFormat="1">
      <c r="A27" s="225"/>
      <c r="B27" s="225" t="s">
        <v>1908</v>
      </c>
      <c r="C27" s="225"/>
      <c r="D27" s="225"/>
      <c r="E27" s="225"/>
      <c r="F27" s="225"/>
      <c r="G27" s="225"/>
      <c r="H27" s="225"/>
      <c r="I27" s="1031"/>
      <c r="J27" s="1030"/>
      <c r="K27" s="1152"/>
      <c r="L27" s="1153"/>
      <c r="M27" s="1424"/>
      <c r="N27" s="1153"/>
      <c r="O27" s="1153"/>
      <c r="P27" s="1153"/>
      <c r="Q27" s="1153"/>
      <c r="R27" s="1153"/>
      <c r="S27" s="1030"/>
      <c r="T27" s="1030"/>
      <c r="U27" s="1030"/>
      <c r="V27" s="1031"/>
    </row>
    <row r="28" spans="1:22" s="3" customFormat="1">
      <c r="A28" s="225"/>
      <c r="B28" s="1425"/>
      <c r="C28" s="225"/>
      <c r="D28" s="225"/>
      <c r="E28" s="225"/>
      <c r="F28" s="225"/>
      <c r="G28" s="225"/>
      <c r="H28" s="225"/>
      <c r="I28" s="1031"/>
      <c r="J28" s="1030"/>
      <c r="K28" s="1152"/>
      <c r="L28" s="1153"/>
      <c r="M28" s="1424"/>
      <c r="N28" s="1153"/>
      <c r="O28" s="1153"/>
      <c r="P28" s="1153"/>
      <c r="Q28" s="1153"/>
      <c r="R28" s="1153"/>
      <c r="S28" s="1030"/>
      <c r="T28" s="1030"/>
      <c r="U28" s="1030"/>
      <c r="V28" s="1031"/>
    </row>
    <row r="29" spans="1:22" s="3" customFormat="1">
      <c r="A29" s="225"/>
      <c r="B29" s="1425" t="s">
        <v>1426</v>
      </c>
      <c r="C29" s="225"/>
      <c r="D29" s="225"/>
      <c r="E29" s="225"/>
      <c r="F29" s="225"/>
      <c r="G29" s="225"/>
      <c r="H29" s="225"/>
      <c r="I29" s="1031"/>
      <c r="J29" s="1030"/>
      <c r="K29" s="1152"/>
      <c r="L29" s="1153"/>
      <c r="M29" s="1424"/>
      <c r="N29" s="1153"/>
      <c r="O29" s="1153"/>
      <c r="P29" s="1153"/>
      <c r="Q29" s="1153"/>
      <c r="R29" s="1153"/>
      <c r="S29" s="1030"/>
      <c r="T29" s="1030"/>
      <c r="U29" s="1030"/>
      <c r="V29" s="1031"/>
    </row>
    <row r="30" spans="1:22" s="3" customFormat="1">
      <c r="A30" s="225"/>
      <c r="B30" s="225"/>
      <c r="C30" s="225"/>
      <c r="D30" s="225"/>
      <c r="E30" s="225"/>
      <c r="F30" s="225"/>
      <c r="G30" s="225"/>
      <c r="H30" s="225"/>
      <c r="I30" s="1031"/>
      <c r="J30" s="1030"/>
      <c r="K30" s="1152"/>
      <c r="L30" s="1153"/>
      <c r="M30" s="1424"/>
      <c r="N30" s="1153"/>
      <c r="O30" s="1153"/>
      <c r="P30" s="1153"/>
      <c r="Q30" s="1153"/>
      <c r="R30" s="1030"/>
      <c r="S30" s="1030"/>
      <c r="T30" s="1030"/>
      <c r="U30" s="1030"/>
      <c r="V30" s="1031"/>
    </row>
    <row r="31" spans="1:22" s="3" customFormat="1">
      <c r="A31" s="225"/>
      <c r="B31" s="225"/>
      <c r="C31" s="225"/>
      <c r="D31" s="225"/>
      <c r="E31" s="225"/>
      <c r="F31" s="225"/>
      <c r="G31" s="225"/>
      <c r="H31" s="225"/>
      <c r="I31" s="1031"/>
      <c r="J31" s="1030"/>
      <c r="K31" s="1152"/>
      <c r="L31" s="1153"/>
      <c r="M31" s="1424"/>
      <c r="N31" s="1153"/>
      <c r="O31" s="1153"/>
      <c r="P31" s="1153"/>
      <c r="Q31" s="1153"/>
      <c r="R31" s="1030"/>
      <c r="S31" s="1030"/>
      <c r="T31" s="1030"/>
      <c r="U31" s="1030"/>
      <c r="V31" s="1031"/>
    </row>
    <row r="32" spans="1:22" s="3" customFormat="1">
      <c r="A32" s="225"/>
      <c r="B32" s="225"/>
      <c r="C32" s="225"/>
      <c r="D32" s="225"/>
      <c r="E32" s="225"/>
      <c r="F32" s="225"/>
      <c r="G32" s="225"/>
      <c r="H32" s="225"/>
      <c r="I32" s="1031"/>
      <c r="J32" s="1030"/>
      <c r="K32" s="1152"/>
      <c r="L32" s="1153"/>
      <c r="M32" s="1424"/>
      <c r="N32" s="1153"/>
      <c r="O32" s="1153"/>
      <c r="P32" s="1153"/>
      <c r="Q32" s="1153"/>
      <c r="R32" s="1030"/>
      <c r="S32" s="1030"/>
      <c r="T32" s="1030"/>
      <c r="U32" s="1030"/>
      <c r="V32" s="1031"/>
    </row>
    <row r="33" spans="1:22" s="3" customFormat="1">
      <c r="A33" s="225"/>
      <c r="B33" s="225"/>
      <c r="C33" s="225"/>
      <c r="D33" s="225"/>
      <c r="E33" s="225"/>
      <c r="F33" s="225"/>
      <c r="G33" s="225"/>
      <c r="H33" s="225"/>
      <c r="I33" s="1031"/>
      <c r="J33" s="1030"/>
      <c r="K33" s="1152"/>
      <c r="L33" s="1153"/>
      <c r="M33" s="1424"/>
      <c r="N33" s="1153"/>
      <c r="O33" s="1153"/>
      <c r="P33" s="1153"/>
      <c r="Q33" s="1153"/>
      <c r="R33" s="1030"/>
      <c r="S33" s="1030"/>
      <c r="T33" s="1030"/>
      <c r="U33" s="1030"/>
      <c r="V33" s="1031"/>
    </row>
    <row r="34" spans="1:22" s="3" customFormat="1">
      <c r="A34" s="225"/>
      <c r="B34" s="225"/>
      <c r="C34" s="225"/>
      <c r="D34" s="225"/>
      <c r="E34" s="225"/>
      <c r="F34" s="225"/>
      <c r="G34" s="225"/>
      <c r="H34" s="225"/>
      <c r="I34" s="1031"/>
      <c r="J34" s="1030"/>
      <c r="K34" s="1152"/>
      <c r="L34" s="1153"/>
      <c r="M34" s="1030"/>
      <c r="N34" s="1030"/>
      <c r="O34" s="1030"/>
      <c r="P34" s="1423"/>
      <c r="Q34" s="1153"/>
      <c r="R34" s="1030"/>
      <c r="S34" s="1030"/>
      <c r="T34" s="1030"/>
      <c r="U34" s="1030"/>
      <c r="V34" s="1031"/>
    </row>
    <row r="35" spans="1:22" s="3" customFormat="1">
      <c r="A35" s="225"/>
      <c r="B35" s="225"/>
      <c r="C35" s="225"/>
      <c r="D35" s="225"/>
      <c r="E35" s="225"/>
      <c r="F35" s="225"/>
      <c r="G35" s="225"/>
      <c r="H35" s="225"/>
      <c r="I35" s="1031"/>
      <c r="J35" s="1030"/>
      <c r="K35" s="1152"/>
      <c r="L35" s="1153"/>
      <c r="M35" s="1030"/>
      <c r="N35" s="1030"/>
      <c r="O35" s="1030"/>
      <c r="P35" s="1423"/>
      <c r="Q35" s="1153"/>
      <c r="R35" s="1030"/>
      <c r="S35" s="1030"/>
      <c r="T35" s="1030"/>
      <c r="U35" s="1030"/>
      <c r="V35" s="1031"/>
    </row>
    <row r="36" spans="1:22" s="3" customFormat="1">
      <c r="A36" s="225"/>
      <c r="B36" s="225"/>
      <c r="C36" s="225"/>
      <c r="D36" s="225"/>
      <c r="E36" s="225"/>
      <c r="F36" s="225"/>
      <c r="G36" s="225"/>
      <c r="H36" s="225"/>
      <c r="I36" s="1031"/>
      <c r="J36" s="1030"/>
      <c r="K36" s="1152"/>
      <c r="L36" s="1153"/>
      <c r="M36" s="1030"/>
      <c r="N36" s="1030"/>
      <c r="O36" s="1030"/>
      <c r="P36" s="1423"/>
      <c r="Q36" s="1153"/>
      <c r="R36" s="1030"/>
      <c r="S36" s="1030"/>
      <c r="T36" s="1030"/>
      <c r="U36" s="1030"/>
      <c r="V36" s="1031"/>
    </row>
    <row r="37" spans="1:22" s="3" customFormat="1">
      <c r="A37" s="225"/>
      <c r="B37" s="225"/>
      <c r="C37" s="225"/>
      <c r="D37" s="225"/>
      <c r="E37" s="225"/>
      <c r="F37" s="225"/>
      <c r="G37" s="225"/>
      <c r="H37" s="225"/>
      <c r="I37" s="1031"/>
      <c r="J37" s="1030"/>
      <c r="K37" s="1152"/>
      <c r="L37" s="1153"/>
      <c r="M37" s="1030"/>
      <c r="N37" s="1030"/>
      <c r="O37" s="1030"/>
      <c r="P37" s="1030"/>
      <c r="Q37" s="1153"/>
      <c r="R37" s="1030"/>
      <c r="S37" s="1030"/>
      <c r="T37" s="1030"/>
      <c r="U37" s="1030"/>
      <c r="V37" s="1031"/>
    </row>
    <row r="38" spans="1:22" s="3" customFormat="1">
      <c r="A38" s="225"/>
      <c r="B38" s="225"/>
      <c r="C38" s="225"/>
      <c r="D38" s="225"/>
      <c r="E38" s="225"/>
      <c r="F38" s="225"/>
      <c r="G38" s="225"/>
      <c r="H38" s="225"/>
      <c r="I38" s="1031"/>
      <c r="J38" s="1030"/>
      <c r="K38" s="1152"/>
      <c r="L38" s="1153"/>
      <c r="M38" s="1030"/>
      <c r="N38" s="1030"/>
      <c r="O38" s="1030"/>
      <c r="P38" s="1423"/>
      <c r="Q38" s="1153"/>
      <c r="R38" s="1030"/>
      <c r="S38" s="1030"/>
      <c r="T38" s="1030"/>
      <c r="U38" s="1030"/>
      <c r="V38" s="1031"/>
    </row>
    <row r="39" spans="1:22" s="3" customFormat="1">
      <c r="A39" s="225"/>
      <c r="B39" s="225"/>
      <c r="C39" s="225"/>
      <c r="D39" s="225"/>
      <c r="E39" s="225"/>
      <c r="F39" s="225"/>
      <c r="G39" s="225"/>
      <c r="H39" s="225"/>
      <c r="I39" s="1031"/>
      <c r="J39" s="1030"/>
      <c r="K39" s="1152"/>
      <c r="L39" s="1153"/>
      <c r="M39" s="1030"/>
      <c r="N39" s="1030"/>
      <c r="O39" s="1030"/>
      <c r="P39" s="1423"/>
      <c r="Q39" s="1153"/>
      <c r="R39" s="1030"/>
      <c r="S39" s="1030"/>
      <c r="T39" s="1030"/>
      <c r="U39" s="1030"/>
      <c r="V39" s="1031"/>
    </row>
    <row r="40" spans="1:22" s="3" customFormat="1">
      <c r="A40" s="225"/>
      <c r="B40" s="225"/>
      <c r="C40" s="225"/>
      <c r="D40" s="225"/>
      <c r="E40" s="225"/>
      <c r="F40" s="225"/>
      <c r="G40" s="225"/>
      <c r="H40" s="225"/>
      <c r="I40" s="1031"/>
      <c r="J40" s="1030"/>
      <c r="K40" s="1030"/>
      <c r="L40" s="1030"/>
      <c r="M40" s="1030"/>
      <c r="N40" s="1030"/>
      <c r="O40" s="1030"/>
      <c r="P40" s="1030"/>
      <c r="Q40" s="1030"/>
      <c r="R40" s="1030"/>
      <c r="S40" s="1030"/>
      <c r="T40" s="1030"/>
      <c r="U40" s="1030"/>
      <c r="V40" s="1031"/>
    </row>
    <row r="41" spans="1:22" s="3" customFormat="1">
      <c r="A41" s="225"/>
      <c r="B41" s="225"/>
      <c r="C41" s="225"/>
      <c r="D41" s="225"/>
      <c r="E41" s="225"/>
      <c r="F41" s="225"/>
      <c r="G41" s="225"/>
      <c r="H41" s="225"/>
      <c r="I41" s="1031"/>
      <c r="J41" s="1030"/>
      <c r="K41" s="1030"/>
      <c r="L41" s="1030"/>
      <c r="M41" s="1030"/>
      <c r="N41" s="1030"/>
      <c r="O41" s="1030"/>
      <c r="P41" s="1422"/>
      <c r="Q41" s="1030"/>
      <c r="R41" s="1030"/>
      <c r="S41" s="1030"/>
      <c r="T41" s="1030"/>
      <c r="U41" s="1030"/>
      <c r="V41" s="1031"/>
    </row>
    <row r="42" spans="1:22">
      <c r="P42" s="1422"/>
    </row>
    <row r="43" spans="1:22" s="3" customFormat="1">
      <c r="A43" s="225"/>
      <c r="B43" s="225"/>
      <c r="C43" s="225"/>
      <c r="D43" s="225"/>
      <c r="E43" s="225"/>
      <c r="F43" s="225"/>
      <c r="G43" s="225"/>
      <c r="H43" s="225"/>
      <c r="I43" s="1031"/>
      <c r="J43" s="1030"/>
      <c r="K43" s="1030"/>
      <c r="L43" s="1030"/>
      <c r="M43" s="1030"/>
      <c r="N43" s="1030"/>
      <c r="O43" s="1030"/>
      <c r="P43" s="1030"/>
      <c r="Q43" s="1030"/>
      <c r="R43" s="1030"/>
      <c r="S43" s="1030"/>
      <c r="T43" s="1030"/>
      <c r="U43" s="1030"/>
      <c r="V43" s="1031"/>
    </row>
    <row r="44" spans="1:22" s="3" customFormat="1">
      <c r="A44" s="225"/>
      <c r="B44" s="225"/>
      <c r="C44" s="225"/>
      <c r="D44" s="225"/>
      <c r="E44" s="225"/>
      <c r="F44" s="225"/>
      <c r="G44" s="225"/>
      <c r="H44" s="225"/>
      <c r="I44" s="1031"/>
      <c r="J44" s="1030"/>
      <c r="K44" s="1030"/>
      <c r="L44" s="1030"/>
      <c r="M44" s="1030"/>
      <c r="N44" s="1030"/>
      <c r="O44" s="1030"/>
      <c r="P44" s="1422"/>
      <c r="Q44" s="1030"/>
      <c r="R44" s="1030"/>
      <c r="S44" s="1030"/>
      <c r="T44" s="1030"/>
      <c r="U44" s="1030"/>
      <c r="V44" s="1031"/>
    </row>
    <row r="46" spans="1:22" s="3" customFormat="1">
      <c r="A46" s="225"/>
      <c r="B46" s="225"/>
      <c r="C46" s="225"/>
      <c r="D46" s="225"/>
      <c r="E46" s="225"/>
      <c r="F46" s="225"/>
      <c r="G46" s="225"/>
      <c r="H46" s="225"/>
      <c r="I46" s="1031"/>
      <c r="J46" s="1030"/>
      <c r="K46" s="1030"/>
      <c r="L46" s="1030"/>
      <c r="M46" s="1030"/>
      <c r="N46" s="1030"/>
      <c r="O46" s="1030"/>
      <c r="P46" s="1030"/>
      <c r="Q46" s="1030"/>
      <c r="R46" s="1030"/>
      <c r="S46" s="1030"/>
      <c r="T46" s="1030"/>
      <c r="U46" s="1030"/>
      <c r="V46" s="1031"/>
    </row>
  </sheetData>
  <sheetProtection algorithmName="SHA-512" hashValue="A/eZsM8GPUEdJ0jdTW3EhkvGackLIjkrvxJMsiduhMSdThJMxfUIsxcTTvEvumBg0hGDCIeDmcgbGXOZvqb6pQ==" saltValue="SzKdv5U3MQFgXr6LBiBHAA==" spinCount="100000" sheet="1" objects="1" scenarios="1"/>
  <mergeCells count="4">
    <mergeCell ref="A5:F6"/>
    <mergeCell ref="B8:E8"/>
    <mergeCell ref="B9:E9"/>
    <mergeCell ref="B10:E10"/>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CFC83-3478-45FC-A59E-A10862268030}">
  <dimension ref="A1:W55"/>
  <sheetViews>
    <sheetView zoomScale="75" zoomScaleNormal="75" workbookViewId="0"/>
  </sheetViews>
  <sheetFormatPr defaultColWidth="9.109375" defaultRowHeight="15.6"/>
  <cols>
    <col min="1" max="1" width="3.88671875" style="225" customWidth="1"/>
    <col min="2" max="2" width="20.109375" style="225" customWidth="1"/>
    <col min="3" max="5" width="17.109375" style="225" bestFit="1" customWidth="1"/>
    <col min="6" max="6" width="21.44140625" style="225" customWidth="1"/>
    <col min="7" max="7" width="4.44140625" style="225" customWidth="1"/>
    <col min="8" max="8" width="9" style="225" customWidth="1"/>
    <col min="9" max="9" width="1" style="1031" customWidth="1"/>
    <col min="10" max="10" width="4" style="1030" customWidth="1"/>
    <col min="11" max="11" width="9.109375" style="1030"/>
    <col min="12" max="12" width="48.5546875" style="1030" customWidth="1"/>
    <col min="13" max="13" width="14.88671875" style="1030" customWidth="1"/>
    <col min="14" max="14" width="11.88671875" style="1030" bestFit="1" customWidth="1"/>
    <col min="15" max="15" width="13.109375" style="1030" bestFit="1" customWidth="1"/>
    <col min="16" max="16" width="18.5546875" style="1030" customWidth="1"/>
    <col min="17" max="17" width="11" style="1030" bestFit="1" customWidth="1"/>
    <col min="18" max="20" width="9.109375" style="1030"/>
    <col min="21" max="21" width="9.88671875" style="1030" bestFit="1" customWidth="1"/>
    <col min="22" max="22" width="1" style="1031" customWidth="1"/>
    <col min="23" max="23" width="9.109375" style="3"/>
  </cols>
  <sheetData>
    <row r="1" spans="1:22">
      <c r="A1" s="256" t="str">
        <f>'[4]Question 8'!A1</f>
        <v>Exam RETDAC:  Fall 2022</v>
      </c>
      <c r="J1" s="256" t="str">
        <f>A1</f>
        <v>Exam RETDAC:  Fall 2022</v>
      </c>
      <c r="K1" s="225"/>
      <c r="L1" s="225"/>
      <c r="M1" s="225"/>
      <c r="N1" s="225"/>
      <c r="O1" s="225"/>
      <c r="P1" s="225"/>
      <c r="Q1" s="225"/>
      <c r="R1" s="225"/>
      <c r="S1" s="225"/>
      <c r="T1" s="225"/>
      <c r="U1" s="225"/>
    </row>
    <row r="2" spans="1:22">
      <c r="A2" s="256" t="s">
        <v>1433</v>
      </c>
      <c r="J2" s="256" t="str">
        <f>A2</f>
        <v>Design and Accounting Exam – Canada</v>
      </c>
      <c r="K2" s="225"/>
      <c r="L2" s="225"/>
      <c r="M2" s="225"/>
      <c r="N2" s="225"/>
      <c r="O2" s="225"/>
      <c r="P2" s="225"/>
      <c r="Q2" s="225"/>
      <c r="R2" s="225"/>
      <c r="S2" s="225"/>
      <c r="T2" s="225"/>
      <c r="U2" s="225"/>
    </row>
    <row r="3" spans="1:22">
      <c r="A3" s="256" t="s">
        <v>569</v>
      </c>
      <c r="J3" s="256" t="str">
        <f>A3</f>
        <v>Question 6</v>
      </c>
      <c r="K3" s="225"/>
      <c r="L3" s="225"/>
      <c r="M3" s="225"/>
      <c r="N3" s="225"/>
      <c r="O3" s="225"/>
      <c r="P3" s="225"/>
      <c r="Q3" s="225"/>
      <c r="R3" s="225"/>
      <c r="S3" s="225"/>
      <c r="T3" s="225"/>
      <c r="U3" s="225"/>
    </row>
    <row r="4" spans="1:22">
      <c r="J4" s="225"/>
      <c r="K4" s="225"/>
      <c r="L4" s="225"/>
      <c r="M4" s="225"/>
      <c r="N4" s="225"/>
      <c r="O4" s="225"/>
      <c r="P4" s="225"/>
      <c r="Q4" s="225"/>
      <c r="R4" s="225"/>
      <c r="S4" s="225"/>
      <c r="T4" s="225"/>
      <c r="U4" s="225"/>
    </row>
    <row r="5" spans="1:22" s="3" customFormat="1" ht="16.2">
      <c r="A5" s="2280" t="s">
        <v>1924</v>
      </c>
      <c r="B5" s="2280"/>
      <c r="C5" s="2280"/>
      <c r="D5" s="2280"/>
      <c r="E5" s="2280"/>
      <c r="F5" s="2280"/>
      <c r="G5" s="1189"/>
      <c r="H5" s="225"/>
      <c r="I5" s="1031"/>
      <c r="J5" s="1074" t="s">
        <v>1431</v>
      </c>
      <c r="K5" s="225"/>
      <c r="L5" s="225"/>
      <c r="M5" s="225"/>
      <c r="N5" s="225"/>
      <c r="O5" s="225"/>
      <c r="P5" s="225"/>
      <c r="Q5" s="225"/>
      <c r="R5" s="225"/>
      <c r="S5" s="225"/>
      <c r="T5" s="225"/>
      <c r="U5" s="225"/>
      <c r="V5" s="1031"/>
    </row>
    <row r="6" spans="1:22" s="3" customFormat="1">
      <c r="A6" s="2280"/>
      <c r="B6" s="2280"/>
      <c r="C6" s="2280"/>
      <c r="D6" s="2280"/>
      <c r="E6" s="2280"/>
      <c r="F6" s="2280"/>
      <c r="G6" s="225"/>
      <c r="H6" s="225"/>
      <c r="I6" s="1031"/>
      <c r="J6" s="225"/>
      <c r="K6" s="225"/>
      <c r="L6" s="225"/>
      <c r="M6" s="225"/>
      <c r="N6" s="225"/>
      <c r="O6" s="225"/>
      <c r="P6" s="225"/>
      <c r="Q6" s="225"/>
      <c r="R6" s="225"/>
      <c r="S6" s="225"/>
      <c r="T6" s="225"/>
      <c r="U6" s="225"/>
      <c r="V6" s="1031"/>
    </row>
    <row r="7" spans="1:22" s="3" customFormat="1">
      <c r="A7" s="1433"/>
      <c r="B7" s="1433"/>
      <c r="C7" s="1433"/>
      <c r="D7" s="1433"/>
      <c r="E7" s="1433"/>
      <c r="F7" s="1433"/>
      <c r="G7" s="225"/>
      <c r="H7" s="225"/>
      <c r="I7" s="1031"/>
      <c r="J7" s="225"/>
      <c r="K7" s="225"/>
      <c r="L7" s="225"/>
      <c r="M7" s="225"/>
      <c r="N7" s="225"/>
      <c r="O7" s="225"/>
      <c r="P7" s="225"/>
      <c r="Q7" s="225"/>
      <c r="R7" s="225"/>
      <c r="S7" s="225"/>
      <c r="T7" s="225"/>
      <c r="U7" s="225"/>
      <c r="V7" s="1031"/>
    </row>
    <row r="8" spans="1:22" s="3" customFormat="1" ht="30.6" customHeight="1">
      <c r="A8" s="225"/>
      <c r="B8" s="2281" t="s">
        <v>1923</v>
      </c>
      <c r="C8" s="2281"/>
      <c r="D8" s="2281"/>
      <c r="E8" s="2281"/>
      <c r="F8" s="1431">
        <v>250000</v>
      </c>
      <c r="G8" s="1060"/>
      <c r="H8" s="225"/>
      <c r="I8" s="1031"/>
      <c r="J8" s="225" t="s">
        <v>34</v>
      </c>
      <c r="K8" s="225" t="s">
        <v>1922</v>
      </c>
      <c r="L8" s="225"/>
      <c r="M8" s="225"/>
      <c r="N8" s="225"/>
      <c r="O8" s="225"/>
      <c r="P8" s="225"/>
      <c r="Q8" s="1432"/>
      <c r="R8" s="1432"/>
      <c r="S8" s="1432"/>
      <c r="T8" s="1432"/>
      <c r="U8" s="1432"/>
      <c r="V8" s="1031"/>
    </row>
    <row r="9" spans="1:22" s="3" customFormat="1">
      <c r="A9" s="225"/>
      <c r="B9" s="2281" t="s">
        <v>1921</v>
      </c>
      <c r="C9" s="2281"/>
      <c r="D9" s="2281"/>
      <c r="E9" s="2281"/>
      <c r="F9" s="1431">
        <v>25000</v>
      </c>
      <c r="G9" s="225"/>
      <c r="H9" s="225"/>
      <c r="I9" s="1031"/>
      <c r="J9" s="225"/>
      <c r="K9" s="225"/>
      <c r="L9" s="225"/>
      <c r="M9" s="225"/>
      <c r="N9" s="225"/>
      <c r="O9" s="225"/>
      <c r="P9" s="225"/>
      <c r="Q9" s="1068"/>
      <c r="R9" s="1068"/>
      <c r="S9" s="1068"/>
      <c r="T9" s="1068"/>
      <c r="U9" s="1068"/>
      <c r="V9" s="1031"/>
    </row>
    <row r="10" spans="1:22" s="3" customFormat="1" ht="18.600000000000001" customHeight="1">
      <c r="A10" s="225"/>
      <c r="B10" s="2281" t="s">
        <v>1920</v>
      </c>
      <c r="C10" s="2281"/>
      <c r="D10" s="2281"/>
      <c r="E10" s="2281"/>
      <c r="F10" s="1431">
        <v>30000</v>
      </c>
      <c r="G10" s="225"/>
      <c r="H10" s="225"/>
      <c r="I10" s="1031"/>
      <c r="J10" s="225"/>
      <c r="K10" s="225" t="str">
        <f>B25</f>
        <v>(i)    RCA</v>
      </c>
      <c r="L10" s="1189"/>
      <c r="M10" s="1189"/>
      <c r="N10" s="1189"/>
      <c r="O10" s="1189"/>
      <c r="P10" s="1189"/>
      <c r="Q10" s="1189"/>
      <c r="R10" s="1189"/>
      <c r="S10" s="1189"/>
      <c r="T10" s="1189"/>
      <c r="U10" s="1189"/>
      <c r="V10" s="1031"/>
    </row>
    <row r="11" spans="1:22" s="3" customFormat="1">
      <c r="A11" s="225"/>
      <c r="B11" s="1429"/>
      <c r="C11" s="1209"/>
      <c r="D11" s="1426"/>
      <c r="E11" s="225"/>
      <c r="F11" s="225"/>
      <c r="G11" s="225"/>
      <c r="H11" s="225"/>
      <c r="I11" s="1031"/>
      <c r="J11" s="225"/>
      <c r="K11" s="1195"/>
      <c r="L11" s="1189"/>
      <c r="M11" s="1189"/>
      <c r="N11" s="1189"/>
      <c r="O11" s="1189"/>
      <c r="P11" s="1189"/>
      <c r="Q11" s="1189"/>
      <c r="R11" s="1189"/>
      <c r="S11" s="1189"/>
      <c r="T11" s="1189"/>
      <c r="U11" s="1189"/>
      <c r="V11" s="1031"/>
    </row>
    <row r="12" spans="1:22" s="3" customFormat="1">
      <c r="A12" s="1430" t="s">
        <v>1919</v>
      </c>
      <c r="B12" s="1429"/>
      <c r="C12" s="1209"/>
      <c r="D12" s="1426"/>
      <c r="E12" s="225"/>
      <c r="F12" s="225"/>
      <c r="G12" s="225"/>
      <c r="H12" s="225"/>
      <c r="I12" s="1031"/>
      <c r="J12" s="225"/>
      <c r="K12" s="225" t="str">
        <f>B27</f>
        <v>(ii)  RTA</v>
      </c>
      <c r="L12" s="225"/>
      <c r="M12" s="225"/>
      <c r="N12" s="225"/>
      <c r="O12" s="225"/>
      <c r="P12" s="255"/>
      <c r="Q12" s="1068"/>
      <c r="R12" s="1068"/>
      <c r="S12" s="1068"/>
      <c r="T12" s="1068"/>
      <c r="U12" s="1068"/>
      <c r="V12" s="1031"/>
    </row>
    <row r="13" spans="1:22" s="3" customFormat="1">
      <c r="A13" s="225"/>
      <c r="B13" s="1429"/>
      <c r="C13" s="1209"/>
      <c r="D13" s="1426"/>
      <c r="E13" s="225"/>
      <c r="F13" s="225"/>
      <c r="G13" s="225"/>
      <c r="H13" s="225"/>
      <c r="I13" s="1031"/>
      <c r="J13" s="225"/>
      <c r="K13" s="1062"/>
      <c r="L13" s="225"/>
      <c r="M13" s="225"/>
      <c r="N13" s="225"/>
      <c r="O13" s="225"/>
      <c r="P13" s="255"/>
      <c r="Q13" s="1068"/>
      <c r="R13" s="1068"/>
      <c r="S13" s="1068"/>
      <c r="T13" s="1068"/>
      <c r="U13" s="1068"/>
      <c r="V13" s="1031"/>
    </row>
    <row r="14" spans="1:22" s="3" customFormat="1">
      <c r="A14" s="225"/>
      <c r="B14" s="1427" t="s">
        <v>1918</v>
      </c>
      <c r="C14" s="1209"/>
      <c r="D14" s="1426"/>
      <c r="E14" s="225"/>
      <c r="F14" s="225"/>
      <c r="G14" s="225"/>
      <c r="H14" s="225"/>
      <c r="I14" s="1031"/>
      <c r="J14" s="225"/>
      <c r="K14" s="225" t="str">
        <f>B29</f>
        <v>Show all work.</v>
      </c>
      <c r="L14" s="225"/>
      <c r="M14" s="225"/>
      <c r="N14" s="225"/>
      <c r="O14" s="225"/>
      <c r="P14" s="255"/>
      <c r="Q14" s="1068"/>
      <c r="R14" s="1068"/>
      <c r="S14" s="1068"/>
      <c r="T14" s="1068"/>
      <c r="U14" s="1068"/>
      <c r="V14" s="1031"/>
    </row>
    <row r="15" spans="1:22" s="3" customFormat="1">
      <c r="A15" s="225"/>
      <c r="B15" s="1427" t="s">
        <v>1917</v>
      </c>
      <c r="C15" s="1209"/>
      <c r="D15" s="1426"/>
      <c r="E15" s="225"/>
      <c r="F15" s="225"/>
      <c r="G15" s="225"/>
      <c r="H15" s="225"/>
      <c r="I15" s="1031"/>
      <c r="J15" s="225"/>
      <c r="K15" s="1062"/>
      <c r="L15" s="225"/>
      <c r="M15" s="225"/>
      <c r="N15" s="225"/>
      <c r="O15" s="225"/>
      <c r="P15" s="225"/>
      <c r="Q15" s="225"/>
      <c r="R15" s="225"/>
      <c r="S15" s="225"/>
      <c r="T15" s="225"/>
      <c r="U15" s="225"/>
      <c r="V15" s="1031"/>
    </row>
    <row r="16" spans="1:22" s="3" customFormat="1">
      <c r="A16" s="225"/>
      <c r="B16" s="1427" t="s">
        <v>1916</v>
      </c>
      <c r="C16" s="1209"/>
      <c r="D16" s="1426"/>
      <c r="E16" s="225"/>
      <c r="F16" s="225"/>
      <c r="G16" s="225"/>
      <c r="H16" s="225"/>
      <c r="I16" s="1031"/>
      <c r="J16" s="1030"/>
      <c r="K16"/>
      <c r="L16" t="s">
        <v>729</v>
      </c>
      <c r="M16" s="1438">
        <v>0.05</v>
      </c>
      <c r="N16"/>
      <c r="O16"/>
      <c r="P16" s="1030"/>
      <c r="Q16" s="1030"/>
      <c r="R16" s="1030"/>
      <c r="S16" s="1030"/>
      <c r="T16" s="1030"/>
      <c r="U16" s="1030"/>
      <c r="V16" s="1031"/>
    </row>
    <row r="17" spans="1:22" s="3" customFormat="1">
      <c r="A17" s="225"/>
      <c r="B17" s="1427" t="s">
        <v>1915</v>
      </c>
      <c r="C17" s="1209"/>
      <c r="D17" s="1426"/>
      <c r="E17" s="225"/>
      <c r="F17" s="225"/>
      <c r="G17" s="225"/>
      <c r="H17" s="225"/>
      <c r="I17" s="1031"/>
      <c r="J17" s="1030"/>
      <c r="K17" s="1030"/>
      <c r="L17" s="1030"/>
      <c r="M17" s="1030"/>
      <c r="N17" s="1030"/>
      <c r="O17" s="1030"/>
      <c r="P17" s="1030"/>
      <c r="Q17" s="1030"/>
      <c r="R17" s="1030"/>
      <c r="S17" s="1030"/>
      <c r="T17" s="1030"/>
      <c r="U17" s="1030"/>
      <c r="V17" s="1031"/>
    </row>
    <row r="18" spans="1:22" s="3" customFormat="1">
      <c r="A18" s="225"/>
      <c r="B18" s="1427" t="s">
        <v>1914</v>
      </c>
      <c r="C18" s="1209"/>
      <c r="D18" s="1426"/>
      <c r="E18" s="225"/>
      <c r="F18" s="225"/>
      <c r="G18" s="225"/>
      <c r="H18" s="225"/>
      <c r="I18" s="1031"/>
      <c r="J18" s="1030"/>
      <c r="K18" s="1152"/>
      <c r="L18" s="1152"/>
      <c r="M18" s="1176" t="s">
        <v>1607</v>
      </c>
      <c r="N18" s="1176" t="s">
        <v>1606</v>
      </c>
      <c r="O18" s="1437"/>
      <c r="P18" s="1030"/>
      <c r="Q18" s="1030"/>
      <c r="R18" s="1030"/>
      <c r="S18" s="1030"/>
      <c r="T18" s="1030"/>
      <c r="U18" s="1030"/>
      <c r="V18" s="1031"/>
    </row>
    <row r="19" spans="1:22" s="3" customFormat="1">
      <c r="A19" s="225"/>
      <c r="B19" s="1427" t="s">
        <v>1913</v>
      </c>
      <c r="C19" s="1209"/>
      <c r="D19" s="1426"/>
      <c r="E19" s="225"/>
      <c r="F19" s="225"/>
      <c r="G19" s="225"/>
      <c r="H19" s="225"/>
      <c r="I19" s="1031"/>
      <c r="J19" s="1030"/>
      <c r="K19" s="1154" t="s">
        <v>1942</v>
      </c>
      <c r="L19" s="1152"/>
      <c r="M19" s="1153">
        <v>0</v>
      </c>
      <c r="N19" s="1153">
        <v>0</v>
      </c>
      <c r="O19" s="1437"/>
      <c r="P19" s="1153"/>
      <c r="Q19" s="1153"/>
      <c r="R19" s="1153"/>
      <c r="S19" s="1030"/>
      <c r="T19" s="1030"/>
      <c r="U19" s="1030"/>
      <c r="V19" s="1031"/>
    </row>
    <row r="20" spans="1:22" s="3" customFormat="1">
      <c r="A20" s="225"/>
      <c r="B20" s="1427" t="s">
        <v>1912</v>
      </c>
      <c r="C20" s="1209"/>
      <c r="D20" s="1426"/>
      <c r="E20" s="225"/>
      <c r="F20" s="225"/>
      <c r="G20" s="225"/>
      <c r="H20" s="225"/>
      <c r="I20" s="1031"/>
      <c r="J20" s="1030"/>
      <c r="K20" s="1154"/>
      <c r="L20" s="1152"/>
      <c r="M20" s="1153"/>
      <c r="N20" s="1153"/>
      <c r="O20" s="1437"/>
      <c r="P20" s="1153"/>
      <c r="Q20" s="1153"/>
      <c r="R20" s="1153"/>
      <c r="S20" s="1030"/>
      <c r="T20" s="1030"/>
      <c r="U20" s="1030"/>
      <c r="V20" s="1031"/>
    </row>
    <row r="21" spans="1:22" s="3" customFormat="1">
      <c r="A21" s="225"/>
      <c r="B21" s="1427" t="s">
        <v>1911</v>
      </c>
      <c r="C21" s="1209"/>
      <c r="D21" s="1426"/>
      <c r="E21" s="225"/>
      <c r="F21" s="225"/>
      <c r="G21" s="225"/>
      <c r="H21" s="225"/>
      <c r="I21" s="1031"/>
      <c r="J21" s="1030"/>
      <c r="K21" s="1152" t="s">
        <v>687</v>
      </c>
      <c r="L21" s="1152"/>
      <c r="M21" s="1153">
        <f>(F8+F9)</f>
        <v>275000</v>
      </c>
      <c r="N21" s="1153">
        <f>M21</f>
        <v>275000</v>
      </c>
      <c r="O21" s="1437"/>
      <c r="P21" s="1153"/>
      <c r="Q21" s="1153"/>
      <c r="R21" s="1153"/>
      <c r="S21" s="1030"/>
      <c r="T21" s="1030"/>
      <c r="U21" s="1030"/>
      <c r="V21" s="1031"/>
    </row>
    <row r="22" spans="1:22" s="3" customFormat="1">
      <c r="A22" s="225"/>
      <c r="B22" s="225"/>
      <c r="C22" s="225"/>
      <c r="D22" s="225"/>
      <c r="E22" s="225"/>
      <c r="F22" s="225"/>
      <c r="G22" s="225"/>
      <c r="H22" s="225"/>
      <c r="I22" s="1031"/>
      <c r="J22" s="1030"/>
      <c r="K22" s="1152" t="s">
        <v>1941</v>
      </c>
      <c r="L22" s="1152"/>
      <c r="M22" s="1436">
        <f>$M$16*M21</f>
        <v>13750</v>
      </c>
      <c r="N22" s="1436">
        <v>0</v>
      </c>
      <c r="O22" s="1030"/>
      <c r="P22" s="1153"/>
      <c r="Q22" s="1153"/>
      <c r="R22" s="1153"/>
      <c r="S22" s="1030"/>
      <c r="T22" s="1030"/>
      <c r="U22" s="1030"/>
      <c r="V22" s="1031"/>
    </row>
    <row r="23" spans="1:22" s="3" customFormat="1">
      <c r="A23" s="225" t="s">
        <v>34</v>
      </c>
      <c r="B23" s="225" t="s">
        <v>1910</v>
      </c>
      <c r="C23" s="225"/>
      <c r="D23" s="225"/>
      <c r="E23" s="1189"/>
      <c r="F23" s="225"/>
      <c r="G23" s="225"/>
      <c r="H23" s="225"/>
      <c r="I23" s="1031"/>
      <c r="J23" s="1030"/>
      <c r="K23" s="1152" t="s">
        <v>1929</v>
      </c>
      <c r="L23" s="1152"/>
      <c r="M23" s="1153">
        <f>M21+M22</f>
        <v>288750</v>
      </c>
      <c r="N23" s="1153">
        <f>N21</f>
        <v>275000</v>
      </c>
      <c r="O23" s="1030"/>
      <c r="P23" s="1153"/>
      <c r="Q23" s="1153"/>
      <c r="R23" s="1153"/>
      <c r="S23" s="1030"/>
      <c r="T23" s="1030"/>
      <c r="U23" s="1030"/>
      <c r="V23" s="1031"/>
    </row>
    <row r="24" spans="1:22" s="3" customFormat="1">
      <c r="A24" s="225"/>
      <c r="B24" s="1195"/>
      <c r="C24" s="225"/>
      <c r="D24" s="225"/>
      <c r="E24" s="1062"/>
      <c r="F24" s="225"/>
      <c r="G24" s="225"/>
      <c r="H24" s="225"/>
      <c r="I24" s="1031"/>
      <c r="J24" s="1030"/>
      <c r="K24" s="1152"/>
      <c r="L24" s="1152"/>
      <c r="M24" s="1434"/>
      <c r="N24" s="1153"/>
      <c r="O24" s="1030"/>
      <c r="P24" s="1153"/>
      <c r="Q24" s="1153"/>
      <c r="R24" s="1153"/>
      <c r="S24" s="1030"/>
      <c r="T24" s="1030"/>
      <c r="U24" s="1030"/>
      <c r="V24" s="1031"/>
    </row>
    <row r="25" spans="1:22" s="3" customFormat="1">
      <c r="A25" s="225"/>
      <c r="B25" s="225" t="s">
        <v>1909</v>
      </c>
      <c r="C25" s="225"/>
      <c r="D25" s="225"/>
      <c r="E25" s="225"/>
      <c r="F25" s="225"/>
      <c r="G25" s="225"/>
      <c r="H25" s="225"/>
      <c r="I25" s="1031"/>
      <c r="J25" s="1030"/>
      <c r="K25" s="1152"/>
      <c r="L25" s="1152"/>
      <c r="M25" s="1153"/>
      <c r="N25" s="1153"/>
      <c r="O25" s="1030"/>
      <c r="P25" s="1153"/>
      <c r="Q25" s="1153"/>
      <c r="R25" s="1153"/>
      <c r="S25" s="1030"/>
      <c r="T25" s="1030"/>
      <c r="U25" s="1030"/>
      <c r="V25" s="1031"/>
    </row>
    <row r="26" spans="1:22" s="3" customFormat="1">
      <c r="A26" s="225"/>
      <c r="B26" s="1062"/>
      <c r="C26" s="225"/>
      <c r="D26" s="225"/>
      <c r="E26" s="225"/>
      <c r="F26" s="225"/>
      <c r="G26" s="225"/>
      <c r="H26" s="225"/>
      <c r="I26" s="1031"/>
      <c r="J26" s="1030"/>
      <c r="K26" s="1152" t="s">
        <v>1940</v>
      </c>
      <c r="L26" s="1152"/>
      <c r="M26" s="1153">
        <f>-M22/2</f>
        <v>-6875</v>
      </c>
      <c r="N26" s="1153">
        <f>-M26</f>
        <v>6875</v>
      </c>
      <c r="O26" s="1030"/>
      <c r="P26" s="1153"/>
      <c r="Q26" s="1153"/>
      <c r="R26" s="1153"/>
      <c r="S26" s="1030"/>
      <c r="T26" s="1030"/>
      <c r="U26" s="1030"/>
      <c r="V26" s="1031"/>
    </row>
    <row r="27" spans="1:22" s="3" customFormat="1">
      <c r="A27" s="225"/>
      <c r="B27" s="225" t="s">
        <v>1908</v>
      </c>
      <c r="C27" s="225"/>
      <c r="D27" s="225"/>
      <c r="E27" s="225"/>
      <c r="F27" s="225"/>
      <c r="G27" s="225"/>
      <c r="H27" s="225"/>
      <c r="I27" s="1031"/>
      <c r="J27" s="1030"/>
      <c r="K27" s="1152"/>
      <c r="L27" s="1152"/>
      <c r="M27" s="1153"/>
      <c r="N27" s="1153"/>
      <c r="O27" s="1030"/>
      <c r="P27" s="1153"/>
      <c r="Q27" s="1153"/>
      <c r="R27" s="1153"/>
      <c r="S27" s="1030"/>
      <c r="T27" s="1030"/>
      <c r="U27" s="1030"/>
      <c r="V27" s="1031"/>
    </row>
    <row r="28" spans="1:22" s="3" customFormat="1">
      <c r="A28" s="225"/>
      <c r="B28" s="1425"/>
      <c r="C28" s="225"/>
      <c r="D28" s="225"/>
      <c r="E28" s="225"/>
      <c r="F28" s="225"/>
      <c r="G28" s="225"/>
      <c r="H28" s="225"/>
      <c r="I28" s="1031"/>
      <c r="J28" s="1030"/>
      <c r="K28" s="1152" t="s">
        <v>1939</v>
      </c>
      <c r="L28" s="1152"/>
      <c r="M28" s="1153">
        <f>M23+M26</f>
        <v>281875</v>
      </c>
      <c r="N28" s="1153">
        <f>M28</f>
        <v>281875</v>
      </c>
      <c r="O28" s="1030"/>
      <c r="P28" s="1153"/>
      <c r="Q28" s="1153"/>
      <c r="R28" s="1153"/>
      <c r="S28" s="1030"/>
      <c r="T28" s="1030"/>
      <c r="U28" s="1030"/>
      <c r="V28" s="1031"/>
    </row>
    <row r="29" spans="1:22" s="3" customFormat="1">
      <c r="A29" s="225"/>
      <c r="B29" s="1425" t="s">
        <v>1426</v>
      </c>
      <c r="C29" s="225"/>
      <c r="D29" s="225"/>
      <c r="E29" s="225"/>
      <c r="F29" s="225"/>
      <c r="G29" s="225"/>
      <c r="H29" s="225"/>
      <c r="I29" s="1031"/>
      <c r="J29" s="1030"/>
      <c r="K29" s="1152"/>
      <c r="L29" s="1152"/>
      <c r="M29" s="1153"/>
      <c r="N29" s="1153"/>
      <c r="O29" s="1030"/>
      <c r="P29" s="1153"/>
      <c r="Q29" s="1153"/>
      <c r="R29" s="1153"/>
      <c r="S29" s="1030"/>
      <c r="T29" s="1030"/>
      <c r="U29" s="1030"/>
      <c r="V29" s="1031"/>
    </row>
    <row r="30" spans="1:22" s="3" customFormat="1">
      <c r="A30" s="225"/>
      <c r="B30" s="225"/>
      <c r="C30" s="225"/>
      <c r="D30" s="225"/>
      <c r="E30" s="225"/>
      <c r="F30" s="225"/>
      <c r="G30" s="225"/>
      <c r="H30" s="225"/>
      <c r="I30" s="1031"/>
      <c r="J30" s="1030"/>
      <c r="K30" s="1154" t="s">
        <v>1938</v>
      </c>
      <c r="L30" s="1152"/>
      <c r="M30" s="1153">
        <f>M28</f>
        <v>281875</v>
      </c>
      <c r="N30" s="1153">
        <f>M30</f>
        <v>281875</v>
      </c>
      <c r="O30" s="1437"/>
      <c r="P30" s="1153"/>
      <c r="Q30" s="1153"/>
      <c r="R30" s="1030"/>
      <c r="S30" s="1030"/>
      <c r="T30" s="1030"/>
      <c r="U30" s="1030"/>
      <c r="V30" s="1031"/>
    </row>
    <row r="31" spans="1:22" s="3" customFormat="1">
      <c r="A31" s="225"/>
      <c r="B31" s="225"/>
      <c r="C31" s="225"/>
      <c r="D31" s="225"/>
      <c r="E31" s="225"/>
      <c r="F31" s="225"/>
      <c r="G31" s="225"/>
      <c r="H31" s="225"/>
      <c r="I31" s="1031"/>
      <c r="J31" s="1030"/>
      <c r="K31" s="1152" t="s">
        <v>1605</v>
      </c>
      <c r="L31" s="1152"/>
      <c r="M31" s="1153">
        <f>F10</f>
        <v>30000</v>
      </c>
      <c r="N31" s="1153">
        <f>M31</f>
        <v>30000</v>
      </c>
      <c r="O31" s="1437"/>
      <c r="P31" s="1153"/>
      <c r="Q31" s="1153"/>
      <c r="R31" s="1030"/>
      <c r="S31" s="1030"/>
      <c r="T31" s="1030"/>
      <c r="U31" s="1030"/>
      <c r="V31" s="1031"/>
    </row>
    <row r="32" spans="1:22" s="3" customFormat="1">
      <c r="A32" s="225"/>
      <c r="B32" s="225"/>
      <c r="C32" s="225"/>
      <c r="D32" s="225"/>
      <c r="E32" s="225"/>
      <c r="F32" s="225"/>
      <c r="G32" s="225"/>
      <c r="H32" s="225"/>
      <c r="I32" s="1031"/>
      <c r="J32" s="1030"/>
      <c r="K32" s="1152" t="s">
        <v>1937</v>
      </c>
      <c r="L32" s="1152"/>
      <c r="M32" s="1153">
        <f>(M30+M31)*M16*11/12</f>
        <v>14294.270833333334</v>
      </c>
      <c r="N32" s="1153">
        <v>0</v>
      </c>
      <c r="O32" s="1437"/>
      <c r="P32" s="1153"/>
      <c r="Q32" s="1153"/>
      <c r="R32" s="1030"/>
      <c r="S32" s="1030"/>
      <c r="T32" s="1030"/>
      <c r="U32" s="1030"/>
      <c r="V32" s="1031"/>
    </row>
    <row r="33" spans="1:22" s="3" customFormat="1">
      <c r="A33" s="225"/>
      <c r="B33" s="225"/>
      <c r="C33" s="225"/>
      <c r="D33" s="225"/>
      <c r="E33" s="225"/>
      <c r="F33" s="225"/>
      <c r="G33" s="225"/>
      <c r="H33" s="225"/>
      <c r="I33" s="1031"/>
      <c r="J33" s="1030"/>
      <c r="K33" s="1152" t="s">
        <v>1936</v>
      </c>
      <c r="L33" s="1152"/>
      <c r="M33" s="1153">
        <f>-50000</f>
        <v>-50000</v>
      </c>
      <c r="N33" s="1153">
        <v>0</v>
      </c>
      <c r="O33" s="1437"/>
      <c r="P33" s="1153"/>
      <c r="Q33" s="1153"/>
      <c r="R33" s="1030"/>
      <c r="S33" s="1030"/>
      <c r="T33" s="1030"/>
      <c r="U33" s="1030"/>
      <c r="V33" s="1031"/>
    </row>
    <row r="34" spans="1:22" s="3" customFormat="1">
      <c r="A34" s="225"/>
      <c r="B34" s="225"/>
      <c r="C34" s="225"/>
      <c r="D34" s="225"/>
      <c r="E34" s="225"/>
      <c r="F34" s="225"/>
      <c r="G34" s="225"/>
      <c r="H34" s="225"/>
      <c r="I34" s="1031"/>
      <c r="J34" s="1030"/>
      <c r="K34" s="1152" t="s">
        <v>1935</v>
      </c>
      <c r="L34" s="1152"/>
      <c r="M34" s="1436">
        <f>(M30+M31+M32+M33)*M16*1/12</f>
        <v>1150.7052951388889</v>
      </c>
      <c r="N34" s="1436">
        <v>0</v>
      </c>
      <c r="O34" s="1030"/>
      <c r="P34" s="1423"/>
      <c r="Q34" s="1153"/>
      <c r="R34" s="1030"/>
      <c r="S34" s="1030"/>
      <c r="T34" s="1030"/>
      <c r="U34" s="1030"/>
      <c r="V34" s="1031"/>
    </row>
    <row r="35" spans="1:22" s="3" customFormat="1">
      <c r="A35" s="225"/>
      <c r="B35" s="225"/>
      <c r="C35" s="225"/>
      <c r="D35" s="225"/>
      <c r="E35" s="225"/>
      <c r="F35" s="225"/>
      <c r="G35" s="225"/>
      <c r="H35" s="225"/>
      <c r="I35" s="1031"/>
      <c r="J35" s="1030"/>
      <c r="K35" s="1152" t="s">
        <v>1929</v>
      </c>
      <c r="L35" s="1152"/>
      <c r="M35" s="1153">
        <f>SUM(M30:M34)</f>
        <v>277319.97612847219</v>
      </c>
      <c r="N35" s="1153">
        <f>SUM(N30:N34)</f>
        <v>311875</v>
      </c>
      <c r="O35" s="1030"/>
      <c r="P35" s="1423"/>
      <c r="Q35" s="1153"/>
      <c r="R35" s="1030"/>
      <c r="S35" s="1030"/>
      <c r="T35" s="1030"/>
      <c r="U35" s="1030"/>
      <c r="V35" s="1031"/>
    </row>
    <row r="36" spans="1:22" s="3" customFormat="1">
      <c r="A36" s="225"/>
      <c r="B36" s="225"/>
      <c r="C36" s="225"/>
      <c r="D36" s="225"/>
      <c r="E36" s="225"/>
      <c r="F36" s="225"/>
      <c r="G36" s="225"/>
      <c r="H36" s="225"/>
      <c r="I36" s="1031"/>
      <c r="J36" s="1030"/>
      <c r="K36" s="1152"/>
      <c r="L36" s="1152"/>
      <c r="M36" s="1153"/>
      <c r="N36" s="1153"/>
      <c r="O36" s="1030"/>
      <c r="P36" s="1423"/>
      <c r="Q36" s="1153"/>
      <c r="R36" s="1030"/>
      <c r="S36" s="1030"/>
      <c r="T36" s="1030"/>
      <c r="U36" s="1030"/>
      <c r="V36" s="1031"/>
    </row>
    <row r="37" spans="1:22" s="3" customFormat="1">
      <c r="A37" s="225"/>
      <c r="B37" s="225"/>
      <c r="C37" s="225"/>
      <c r="D37" s="225"/>
      <c r="E37" s="225"/>
      <c r="F37" s="225"/>
      <c r="G37" s="225"/>
      <c r="H37" s="225"/>
      <c r="I37" s="1031"/>
      <c r="J37" s="1030"/>
      <c r="K37" s="1152" t="s">
        <v>1730</v>
      </c>
      <c r="L37" s="1152"/>
      <c r="M37" s="1153">
        <f>-(M32+M33+M34)/2</f>
        <v>17277.511935763887</v>
      </c>
      <c r="N37" s="1153">
        <f>-M37</f>
        <v>-17277.511935763887</v>
      </c>
      <c r="O37" s="1030"/>
      <c r="P37" s="1030"/>
      <c r="Q37" s="1153"/>
      <c r="R37" s="1030"/>
      <c r="S37" s="1030"/>
      <c r="T37" s="1030"/>
      <c r="U37" s="1030"/>
      <c r="V37" s="1031"/>
    </row>
    <row r="38" spans="1:22" s="3" customFormat="1">
      <c r="A38" s="225"/>
      <c r="B38" s="225"/>
      <c r="C38" s="225"/>
      <c r="D38" s="225"/>
      <c r="E38" s="225"/>
      <c r="F38" s="225"/>
      <c r="G38" s="225"/>
      <c r="H38" s="225"/>
      <c r="I38" s="1031"/>
      <c r="J38" s="1030"/>
      <c r="K38" s="1152"/>
      <c r="L38" s="1152"/>
      <c r="M38" s="1153"/>
      <c r="N38" s="1153"/>
      <c r="O38" s="1030"/>
      <c r="P38" s="1423"/>
      <c r="Q38" s="1153"/>
      <c r="R38" s="1030"/>
      <c r="S38" s="1030"/>
      <c r="T38" s="1030"/>
      <c r="U38" s="1030"/>
      <c r="V38" s="1031"/>
    </row>
    <row r="39" spans="1:22" s="3" customFormat="1">
      <c r="A39" s="225"/>
      <c r="B39" s="225"/>
      <c r="C39" s="225"/>
      <c r="D39" s="225"/>
      <c r="E39" s="225"/>
      <c r="F39" s="225"/>
      <c r="G39" s="225"/>
      <c r="H39" s="225"/>
      <c r="I39" s="1031"/>
      <c r="J39" s="1030"/>
      <c r="K39" s="1152" t="s">
        <v>1934</v>
      </c>
      <c r="L39" s="1152"/>
      <c r="M39" s="1153">
        <f>M35+M37</f>
        <v>294597.48806423607</v>
      </c>
      <c r="N39" s="1153">
        <f>N35-M37</f>
        <v>294597.48806423612</v>
      </c>
      <c r="O39" s="1435"/>
      <c r="P39" s="1423"/>
      <c r="Q39" s="1153"/>
      <c r="R39" s="1030"/>
      <c r="S39" s="1030"/>
      <c r="T39" s="1030"/>
      <c r="U39" s="1030"/>
      <c r="V39" s="1031"/>
    </row>
    <row r="40" spans="1:22" s="3" customFormat="1">
      <c r="A40" s="225"/>
      <c r="B40" s="225"/>
      <c r="C40" s="225"/>
      <c r="D40" s="225"/>
      <c r="E40" s="225"/>
      <c r="F40" s="225"/>
      <c r="G40" s="225"/>
      <c r="H40" s="225"/>
      <c r="I40" s="1031"/>
      <c r="J40" s="1030"/>
      <c r="K40" s="1152"/>
      <c r="L40" s="1152"/>
      <c r="M40" s="1153"/>
      <c r="N40" s="1153"/>
      <c r="O40" s="1435"/>
      <c r="P40" s="1030"/>
      <c r="Q40" s="1030"/>
      <c r="R40" s="1030"/>
      <c r="S40" s="1030"/>
      <c r="T40" s="1030"/>
      <c r="U40" s="1030"/>
      <c r="V40" s="1031"/>
    </row>
    <row r="41" spans="1:22" s="3" customFormat="1">
      <c r="A41" s="225"/>
      <c r="B41" s="225"/>
      <c r="C41" s="225"/>
      <c r="D41" s="225"/>
      <c r="E41" s="225"/>
      <c r="F41" s="225"/>
      <c r="G41" s="225"/>
      <c r="H41" s="225"/>
      <c r="I41" s="1031"/>
      <c r="J41" s="1030"/>
      <c r="K41" s="1154" t="s">
        <v>1933</v>
      </c>
      <c r="L41" s="1152"/>
      <c r="M41" s="1153">
        <f>M39</f>
        <v>294597.48806423607</v>
      </c>
      <c r="N41" s="1153">
        <f>M41</f>
        <v>294597.48806423607</v>
      </c>
      <c r="O41" s="1435"/>
      <c r="P41" s="1422"/>
      <c r="Q41" s="1030"/>
      <c r="R41" s="1030"/>
      <c r="S41" s="1030"/>
      <c r="T41" s="1030"/>
      <c r="U41" s="1030"/>
      <c r="V41" s="1031"/>
    </row>
    <row r="42" spans="1:22">
      <c r="K42" s="1152" t="s">
        <v>1605</v>
      </c>
      <c r="L42" s="1152"/>
      <c r="M42" s="1153">
        <v>0</v>
      </c>
      <c r="N42" s="1153">
        <v>0</v>
      </c>
      <c r="O42" s="1435"/>
      <c r="P42" s="1422"/>
    </row>
    <row r="43" spans="1:22" s="3" customFormat="1">
      <c r="A43" s="225"/>
      <c r="B43" s="225"/>
      <c r="C43" s="225"/>
      <c r="D43" s="225"/>
      <c r="E43" s="225"/>
      <c r="F43" s="225"/>
      <c r="G43" s="225"/>
      <c r="H43" s="225"/>
      <c r="I43" s="1031"/>
      <c r="J43" s="1030"/>
      <c r="K43" s="1152" t="s">
        <v>1932</v>
      </c>
      <c r="L43" s="1152"/>
      <c r="M43" s="1153">
        <f>(M41+M42)*M16*6/12</f>
        <v>7364.9372016059024</v>
      </c>
      <c r="N43" s="1153">
        <v>0</v>
      </c>
      <c r="O43" s="1435"/>
      <c r="P43" s="1030"/>
      <c r="Q43" s="1030"/>
      <c r="R43" s="1030"/>
      <c r="S43" s="1030"/>
      <c r="T43" s="1030"/>
      <c r="U43" s="1030"/>
      <c r="V43" s="1031"/>
    </row>
    <row r="44" spans="1:22" s="3" customFormat="1">
      <c r="A44" s="225"/>
      <c r="B44" s="225"/>
      <c r="C44" s="225"/>
      <c r="D44" s="225"/>
      <c r="E44" s="225"/>
      <c r="F44" s="225"/>
      <c r="G44" s="225"/>
      <c r="H44" s="225"/>
      <c r="I44" s="1031"/>
      <c r="J44" s="1030"/>
      <c r="K44" s="1152" t="s">
        <v>1931</v>
      </c>
      <c r="L44" s="1152"/>
      <c r="M44" s="1153">
        <v>-100000</v>
      </c>
      <c r="N44" s="1153">
        <v>0</v>
      </c>
      <c r="O44" s="1435"/>
      <c r="P44" s="1422"/>
      <c r="Q44" s="1030"/>
      <c r="R44" s="1030"/>
      <c r="S44" s="1030"/>
      <c r="T44" s="1030"/>
      <c r="U44" s="1030"/>
      <c r="V44" s="1031"/>
    </row>
    <row r="45" spans="1:22">
      <c r="K45" s="1152" t="s">
        <v>1930</v>
      </c>
      <c r="L45" s="1152"/>
      <c r="M45" s="1436">
        <f>(M41+M42+M43+M44)*M16*6/12</f>
        <v>5049.0606316460489</v>
      </c>
      <c r="N45" s="1436">
        <v>0</v>
      </c>
      <c r="O45" s="1435"/>
    </row>
    <row r="46" spans="1:22" s="3" customFormat="1">
      <c r="A46" s="225"/>
      <c r="B46" s="225"/>
      <c r="C46" s="225"/>
      <c r="D46" s="225"/>
      <c r="E46" s="225"/>
      <c r="F46" s="225"/>
      <c r="G46" s="225"/>
      <c r="H46" s="225"/>
      <c r="I46" s="1031"/>
      <c r="J46" s="1030"/>
      <c r="K46" s="1152" t="s">
        <v>1929</v>
      </c>
      <c r="L46" s="1152"/>
      <c r="M46" s="1153">
        <f>SUM(M41:M45)</f>
        <v>207011.48589748799</v>
      </c>
      <c r="N46" s="1153">
        <f>SUM(N41:N45)</f>
        <v>294597.48806423607</v>
      </c>
      <c r="O46" s="1435"/>
      <c r="P46" s="1030"/>
      <c r="Q46" s="1030"/>
      <c r="R46" s="1030"/>
      <c r="S46" s="1030"/>
      <c r="T46" s="1030"/>
      <c r="U46" s="1030"/>
      <c r="V46" s="1031"/>
    </row>
    <row r="47" spans="1:22">
      <c r="K47" s="1152"/>
      <c r="L47" s="1152"/>
      <c r="M47" s="1153"/>
      <c r="N47" s="1153"/>
      <c r="O47" s="1435"/>
    </row>
    <row r="48" spans="1:22">
      <c r="K48" s="1152" t="s">
        <v>1730</v>
      </c>
      <c r="L48" s="1152"/>
      <c r="M48" s="1153">
        <f>-(M43+M44+M45)/2</f>
        <v>43793.001083374023</v>
      </c>
      <c r="N48" s="1153">
        <f>-M48</f>
        <v>-43793.001083374023</v>
      </c>
      <c r="O48" s="1435"/>
    </row>
    <row r="49" spans="11:15">
      <c r="K49" s="1152"/>
      <c r="L49" s="1152"/>
      <c r="M49" s="1153"/>
      <c r="N49" s="1153"/>
      <c r="O49" s="1435"/>
    </row>
    <row r="50" spans="11:15">
      <c r="K50" s="1152" t="s">
        <v>1928</v>
      </c>
      <c r="L50" s="1152"/>
      <c r="M50" s="1153">
        <f>M46+M48</f>
        <v>250804.48698086201</v>
      </c>
      <c r="N50" s="1153">
        <f>N46-M48</f>
        <v>250804.48698086204</v>
      </c>
      <c r="O50" s="1435"/>
    </row>
    <row r="51" spans="11:15">
      <c r="K51" s="1152"/>
      <c r="L51" s="1152"/>
      <c r="M51" s="1153"/>
      <c r="N51" s="1153"/>
      <c r="O51" s="1435"/>
    </row>
    <row r="52" spans="11:15">
      <c r="K52" s="1152"/>
      <c r="L52" s="1152"/>
      <c r="M52" s="1153"/>
      <c r="N52" s="1153"/>
      <c r="O52" s="1435"/>
    </row>
    <row r="53" spans="11:15">
      <c r="K53" s="1152" t="s">
        <v>1927</v>
      </c>
      <c r="L53" s="1152"/>
      <c r="M53" s="1153">
        <f>M50</f>
        <v>250804.48698086201</v>
      </c>
      <c r="N53" s="1153">
        <f>N50</f>
        <v>250804.48698086204</v>
      </c>
      <c r="O53" s="1153">
        <f>M53+N53</f>
        <v>501608.97396172408</v>
      </c>
    </row>
    <row r="54" spans="11:15">
      <c r="M54" s="1434" t="s">
        <v>1926</v>
      </c>
      <c r="N54" s="1434" t="s">
        <v>1925</v>
      </c>
      <c r="O54" s="1434"/>
    </row>
    <row r="55" spans="11:15">
      <c r="M55" s="1434"/>
      <c r="N55" s="1434"/>
      <c r="O55" s="1434"/>
    </row>
  </sheetData>
  <sheetProtection algorithmName="SHA-512" hashValue="U7Hi/cMn6KJvSt/bfDbhu3HyuM3UIS/pZCoXSwieKOPkLJg9SOFufp1eQp3EpOFb4oMLww8SquXhu0dmqiYEvA==" saltValue="7BmuCmcU9KUG+s3zZNgpZA==" spinCount="100000" sheet="1" objects="1" scenarios="1"/>
  <mergeCells count="4">
    <mergeCell ref="A5:F6"/>
    <mergeCell ref="B8:E8"/>
    <mergeCell ref="B9:E9"/>
    <mergeCell ref="B10:E10"/>
  </mergeCell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795FE-BC99-4886-8DD2-99707E9A5239}">
  <sheetPr>
    <pageSetUpPr fitToPage="1"/>
  </sheetPr>
  <dimension ref="A1:T262"/>
  <sheetViews>
    <sheetView zoomScaleNormal="100" workbookViewId="0"/>
  </sheetViews>
  <sheetFormatPr defaultColWidth="8.6640625" defaultRowHeight="15.6"/>
  <cols>
    <col min="1" max="2" width="8.6640625" style="1441"/>
    <col min="3" max="3" width="8.88671875" style="1441" bestFit="1" customWidth="1"/>
    <col min="4" max="4" width="33.109375" style="1441" customWidth="1"/>
    <col min="5" max="5" width="31.5546875" style="1441" customWidth="1"/>
    <col min="6" max="8" width="28.5546875" style="1441" customWidth="1"/>
    <col min="9" max="10" width="20.5546875" style="1441" customWidth="1"/>
    <col min="11" max="11" width="20.5546875" style="1440" customWidth="1"/>
    <col min="12" max="12" width="17.6640625" style="1439" customWidth="1"/>
    <col min="13" max="13" width="16.5546875" style="1439" customWidth="1"/>
    <col min="14" max="14" width="9.44140625" style="1439" bestFit="1" customWidth="1"/>
    <col min="15" max="18" width="13.6640625" style="1439" bestFit="1" customWidth="1"/>
    <col min="19" max="16384" width="8.6640625" style="1439"/>
  </cols>
  <sheetData>
    <row r="1" spans="1:15">
      <c r="A1" s="1" t="s">
        <v>570</v>
      </c>
      <c r="K1" s="698" t="str">
        <f>A1</f>
        <v>RETFRC Fall 2023</v>
      </c>
    </row>
    <row r="2" spans="1:15">
      <c r="A2" s="1" t="s">
        <v>273</v>
      </c>
      <c r="K2" s="698" t="str">
        <f>A2</f>
        <v>Question 2</v>
      </c>
    </row>
    <row r="3" spans="1:15">
      <c r="K3" s="698"/>
    </row>
    <row r="4" spans="1:15">
      <c r="K4" s="698" t="s">
        <v>2</v>
      </c>
    </row>
    <row r="5" spans="1:15" ht="15.75" customHeight="1">
      <c r="A5" s="1626" t="s">
        <v>2052</v>
      </c>
      <c r="C5" s="1486" t="s">
        <v>2051</v>
      </c>
      <c r="D5" s="1624"/>
      <c r="E5" s="1624"/>
      <c r="F5" s="1624"/>
      <c r="G5" s="1624"/>
      <c r="H5" s="1624"/>
      <c r="I5" s="1624"/>
      <c r="J5" s="1624"/>
      <c r="K5" s="1623"/>
      <c r="M5" s="1622"/>
      <c r="O5" s="1622"/>
    </row>
    <row r="6" spans="1:15" ht="15.75" customHeight="1">
      <c r="A6" s="1626"/>
      <c r="C6" s="1625"/>
      <c r="D6" s="1624"/>
      <c r="E6" s="1624"/>
      <c r="F6" s="1624"/>
      <c r="G6" s="1624"/>
      <c r="H6" s="1624"/>
      <c r="I6" s="1624"/>
      <c r="J6" s="1624"/>
      <c r="K6" s="1623"/>
      <c r="M6" s="1622"/>
      <c r="O6" s="1622"/>
    </row>
    <row r="7" spans="1:15">
      <c r="C7" s="1450" t="s">
        <v>872</v>
      </c>
      <c r="D7" s="1443"/>
      <c r="E7" s="1443"/>
      <c r="F7" s="1443"/>
      <c r="G7" s="1443"/>
      <c r="H7" s="1583"/>
    </row>
    <row r="8" spans="1:15">
      <c r="C8" s="1544"/>
      <c r="D8" s="1443"/>
      <c r="E8" s="1443"/>
      <c r="F8" s="1443"/>
      <c r="G8" s="1443"/>
      <c r="H8" s="1583"/>
    </row>
    <row r="9" spans="1:15">
      <c r="C9" s="1523" t="s">
        <v>517</v>
      </c>
      <c r="D9" s="1465"/>
      <c r="E9" s="1465"/>
      <c r="F9" s="1621" t="s">
        <v>127</v>
      </c>
      <c r="G9" s="1465"/>
      <c r="H9" s="1619"/>
      <c r="I9" s="1618"/>
      <c r="J9" s="1583"/>
    </row>
    <row r="10" spans="1:15">
      <c r="C10" s="1620" t="s">
        <v>268</v>
      </c>
      <c r="D10" s="1465"/>
      <c r="E10" s="1465"/>
      <c r="F10" s="1523" t="s">
        <v>2050</v>
      </c>
      <c r="G10" s="1465"/>
      <c r="H10" s="1619"/>
      <c r="I10" s="1618"/>
      <c r="J10" s="1583"/>
    </row>
    <row r="11" spans="1:15">
      <c r="C11" s="1617" t="s">
        <v>260</v>
      </c>
      <c r="D11" s="1593"/>
      <c r="E11" s="1593"/>
      <c r="F11" s="1594" t="s">
        <v>2049</v>
      </c>
      <c r="G11" s="1593"/>
      <c r="H11" s="1616"/>
      <c r="I11" s="1615"/>
      <c r="J11" s="1583"/>
    </row>
    <row r="12" spans="1:15">
      <c r="C12" s="1614"/>
      <c r="D12" s="1582"/>
      <c r="E12" s="1582"/>
      <c r="F12" s="1526" t="s">
        <v>2048</v>
      </c>
      <c r="G12" s="1582"/>
      <c r="H12" s="1613"/>
      <c r="I12" s="1612"/>
      <c r="J12" s="1583"/>
    </row>
    <row r="13" spans="1:15">
      <c r="C13" s="1594" t="s">
        <v>256</v>
      </c>
      <c r="D13" s="1593"/>
      <c r="E13" s="1593"/>
      <c r="F13" s="1594" t="s">
        <v>1053</v>
      </c>
      <c r="G13" s="1593"/>
      <c r="H13" s="1611"/>
      <c r="I13" s="1610"/>
    </row>
    <row r="14" spans="1:15">
      <c r="C14" s="1526"/>
      <c r="D14" s="1582"/>
      <c r="E14" s="1582"/>
      <c r="F14" s="1526" t="s">
        <v>1052</v>
      </c>
      <c r="G14" s="1582"/>
      <c r="H14" s="1609"/>
      <c r="I14" s="1608"/>
    </row>
    <row r="15" spans="1:15">
      <c r="C15" s="1607" t="s">
        <v>507</v>
      </c>
      <c r="D15" s="1465"/>
      <c r="E15" s="1465"/>
      <c r="F15" s="1606" t="s">
        <v>2047</v>
      </c>
      <c r="G15" s="1465"/>
      <c r="H15" s="1605"/>
      <c r="I15" s="1604"/>
      <c r="J15" s="1448"/>
      <c r="K15" s="1471"/>
    </row>
    <row r="16" spans="1:15">
      <c r="C16" s="1603"/>
      <c r="D16" s="1443"/>
      <c r="E16" s="1443"/>
      <c r="F16" s="1602"/>
      <c r="G16" s="1443"/>
      <c r="H16" s="1448"/>
      <c r="I16" s="1448"/>
      <c r="J16" s="1448"/>
      <c r="K16" s="1471"/>
    </row>
    <row r="17" spans="3:12">
      <c r="C17" s="1496" t="s">
        <v>2046</v>
      </c>
      <c r="D17" s="1443"/>
      <c r="E17" s="1443"/>
      <c r="F17" s="1602"/>
      <c r="G17" s="1443"/>
      <c r="H17" s="1448"/>
      <c r="I17" s="1448"/>
      <c r="J17" s="1448"/>
      <c r="K17" s="1471"/>
    </row>
    <row r="18" spans="3:12">
      <c r="C18" s="1603"/>
      <c r="D18" s="1443"/>
      <c r="E18" s="1443"/>
      <c r="F18" s="1602"/>
      <c r="G18" s="1443"/>
      <c r="H18" s="1448"/>
      <c r="I18" s="1448"/>
      <c r="J18" s="1448"/>
      <c r="K18" s="1471"/>
    </row>
    <row r="19" spans="3:12">
      <c r="C19" s="1602" t="s">
        <v>2045</v>
      </c>
      <c r="D19" s="1443"/>
      <c r="E19" s="1443"/>
      <c r="F19" s="1602"/>
      <c r="G19" s="1443"/>
      <c r="H19" s="1448"/>
      <c r="I19" s="1448"/>
      <c r="J19" s="1448"/>
      <c r="K19" s="1471"/>
    </row>
    <row r="20" spans="3:12">
      <c r="C20" s="1603" t="s">
        <v>2044</v>
      </c>
      <c r="D20" s="1443"/>
      <c r="E20" s="1443"/>
      <c r="F20" s="1602"/>
      <c r="G20" s="1443"/>
      <c r="H20" s="1448"/>
      <c r="I20" s="1448"/>
      <c r="J20" s="1448"/>
      <c r="K20" s="1471"/>
    </row>
    <row r="21" spans="3:12">
      <c r="C21" s="1603"/>
      <c r="D21" s="1443"/>
      <c r="E21" s="1443"/>
      <c r="F21" s="1602"/>
      <c r="G21" s="1443"/>
      <c r="H21" s="1448"/>
      <c r="I21" s="1448"/>
      <c r="J21" s="1448"/>
      <c r="K21" s="1471"/>
    </row>
    <row r="22" spans="3:12">
      <c r="C22" s="1601" t="s">
        <v>2043</v>
      </c>
      <c r="D22" s="1543"/>
      <c r="E22" s="1443"/>
      <c r="F22" s="1443"/>
      <c r="G22" s="1443"/>
      <c r="H22" s="1448"/>
      <c r="I22" s="1448"/>
      <c r="J22" s="1448"/>
      <c r="K22" s="1485"/>
      <c r="L22" s="1484"/>
    </row>
    <row r="23" spans="3:12">
      <c r="C23" s="1544"/>
      <c r="D23" s="1443"/>
      <c r="E23" s="1443"/>
      <c r="F23" s="1443"/>
      <c r="G23" s="1443"/>
      <c r="H23" s="1583"/>
      <c r="I23" s="1448"/>
      <c r="J23" s="1448"/>
      <c r="K23" s="1485"/>
      <c r="L23" s="1484"/>
    </row>
    <row r="24" spans="3:12">
      <c r="C24" s="1450" t="s">
        <v>1044</v>
      </c>
      <c r="D24" s="1443"/>
      <c r="E24" s="1443"/>
      <c r="F24" s="1443"/>
      <c r="G24" s="1443"/>
      <c r="H24" s="1583"/>
      <c r="I24" s="1448"/>
      <c r="J24" s="1448"/>
      <c r="K24" s="1485"/>
      <c r="L24" s="1484"/>
    </row>
    <row r="25" spans="3:12">
      <c r="C25" s="1544"/>
      <c r="D25" s="1443"/>
      <c r="E25" s="1443"/>
      <c r="F25" s="1443"/>
      <c r="G25" s="1443"/>
      <c r="H25" s="1583"/>
      <c r="I25" s="1448"/>
      <c r="J25" s="1448"/>
      <c r="K25" s="1485"/>
      <c r="L25" s="1484"/>
    </row>
    <row r="26" spans="3:12">
      <c r="C26" s="1523" t="s">
        <v>373</v>
      </c>
      <c r="D26" s="1465"/>
      <c r="E26" s="1516"/>
      <c r="F26" s="1580">
        <v>5.7000000000000002E-2</v>
      </c>
      <c r="G26" s="1516" t="s">
        <v>1687</v>
      </c>
      <c r="H26" s="1583"/>
      <c r="I26" s="1448"/>
      <c r="J26" s="1448"/>
      <c r="K26" s="1485"/>
      <c r="L26" s="1484"/>
    </row>
    <row r="27" spans="3:12">
      <c r="C27" s="1523" t="s">
        <v>650</v>
      </c>
      <c r="D27" s="1465"/>
      <c r="E27" s="1516"/>
      <c r="F27" s="1580">
        <v>1.7999999999999999E-2</v>
      </c>
      <c r="G27" s="1516" t="s">
        <v>1687</v>
      </c>
      <c r="H27" s="1583"/>
      <c r="I27" s="1448"/>
      <c r="J27" s="1448"/>
      <c r="K27" s="1485"/>
      <c r="L27" s="1484"/>
    </row>
    <row r="28" spans="3:12" ht="75.900000000000006" customHeight="1">
      <c r="C28" s="1600" t="s">
        <v>2042</v>
      </c>
      <c r="D28" s="1599"/>
      <c r="E28" s="1598"/>
      <c r="F28" s="2288" t="s">
        <v>2041</v>
      </c>
      <c r="G28" s="2289"/>
      <c r="H28" s="1597"/>
      <c r="I28" s="1596"/>
      <c r="J28" s="1596"/>
      <c r="K28" s="1595"/>
      <c r="L28" s="1484"/>
    </row>
    <row r="29" spans="3:12">
      <c r="C29" s="1523" t="s">
        <v>1815</v>
      </c>
      <c r="D29" s="1465"/>
      <c r="E29" s="1516"/>
      <c r="F29" s="1580">
        <v>2.5000000000000001E-2</v>
      </c>
      <c r="G29" s="1516" t="s">
        <v>1687</v>
      </c>
      <c r="H29" s="1583"/>
      <c r="I29" s="1448"/>
      <c r="J29" s="1448"/>
      <c r="K29" s="1485"/>
      <c r="L29" s="1484"/>
    </row>
    <row r="30" spans="3:12">
      <c r="C30" s="1523" t="s">
        <v>499</v>
      </c>
      <c r="D30" s="1465"/>
      <c r="E30" s="1516"/>
      <c r="F30" s="2290" t="s">
        <v>498</v>
      </c>
      <c r="G30" s="2291"/>
      <c r="H30" s="1583"/>
      <c r="I30" s="1448"/>
      <c r="J30" s="1448"/>
      <c r="K30" s="1485"/>
      <c r="L30" s="1484"/>
    </row>
    <row r="31" spans="3:12">
      <c r="C31" s="1523" t="s">
        <v>649</v>
      </c>
      <c r="D31" s="1465"/>
      <c r="E31" s="1516"/>
      <c r="F31" s="2292" t="s">
        <v>2040</v>
      </c>
      <c r="G31" s="2293"/>
      <c r="H31" s="1583"/>
      <c r="I31" s="1448"/>
      <c r="J31" s="1448"/>
      <c r="K31" s="1485"/>
      <c r="L31" s="1484"/>
    </row>
    <row r="32" spans="3:12">
      <c r="C32" s="1594" t="s">
        <v>462</v>
      </c>
      <c r="D32" s="1593"/>
      <c r="E32" s="1592"/>
      <c r="F32" s="1591" t="s">
        <v>252</v>
      </c>
      <c r="G32" s="1590" t="s">
        <v>1672</v>
      </c>
      <c r="H32" s="1583"/>
      <c r="I32" s="1448"/>
      <c r="J32" s="1448"/>
      <c r="K32" s="1485"/>
      <c r="L32" s="1484"/>
    </row>
    <row r="33" spans="1:15">
      <c r="C33" s="1587"/>
      <c r="D33" s="1443"/>
      <c r="E33" s="1586"/>
      <c r="F33" s="1589">
        <v>62</v>
      </c>
      <c r="G33" s="1588">
        <v>0.5</v>
      </c>
      <c r="H33" s="1583"/>
      <c r="I33" s="1448"/>
      <c r="J33" s="1448"/>
      <c r="K33" s="1485"/>
      <c r="L33" s="1484"/>
    </row>
    <row r="34" spans="1:15">
      <c r="C34" s="1526"/>
      <c r="D34" s="1582"/>
      <c r="E34" s="1581"/>
      <c r="F34" s="1585">
        <v>65</v>
      </c>
      <c r="G34" s="1584">
        <v>1</v>
      </c>
      <c r="H34" s="1583"/>
      <c r="I34" s="1448"/>
      <c r="J34" s="1448"/>
      <c r="K34" s="1485"/>
      <c r="L34" s="1484"/>
    </row>
    <row r="35" spans="1:15">
      <c r="C35" s="1594" t="s">
        <v>492</v>
      </c>
      <c r="D35" s="1593"/>
      <c r="E35" s="1592"/>
      <c r="F35" s="1591" t="s">
        <v>252</v>
      </c>
      <c r="G35" s="1590" t="s">
        <v>1672</v>
      </c>
      <c r="H35" s="1583"/>
      <c r="I35" s="1448"/>
      <c r="J35" s="1448"/>
      <c r="K35" s="1485"/>
      <c r="L35" s="1484"/>
    </row>
    <row r="36" spans="1:15">
      <c r="C36" s="1587" t="s">
        <v>2039</v>
      </c>
      <c r="D36" s="1443"/>
      <c r="E36" s="1586"/>
      <c r="F36" s="1589">
        <v>45</v>
      </c>
      <c r="G36" s="1588">
        <v>0.05</v>
      </c>
      <c r="H36" s="1583"/>
      <c r="I36" s="1448"/>
      <c r="J36" s="1448"/>
      <c r="K36" s="1485"/>
      <c r="L36" s="1484"/>
    </row>
    <row r="37" spans="1:15">
      <c r="C37" s="1587"/>
      <c r="D37" s="1443"/>
      <c r="E37" s="1586"/>
      <c r="F37" s="1585">
        <v>50</v>
      </c>
      <c r="G37" s="1584">
        <v>1.7999999999999999E-2</v>
      </c>
      <c r="H37" s="1583"/>
      <c r="I37" s="1448"/>
      <c r="J37" s="1448"/>
      <c r="K37" s="1471"/>
      <c r="L37" s="61"/>
      <c r="M37" s="61"/>
      <c r="N37" s="61"/>
      <c r="O37" s="61"/>
    </row>
    <row r="38" spans="1:15">
      <c r="C38" s="1587"/>
      <c r="D38" s="1443"/>
      <c r="E38" s="1586"/>
      <c r="F38" s="1585" t="s">
        <v>2038</v>
      </c>
      <c r="G38" s="1584">
        <v>0</v>
      </c>
      <c r="H38" s="1583"/>
      <c r="I38" s="1448"/>
      <c r="J38" s="1448"/>
      <c r="K38" s="1471"/>
      <c r="L38" s="61"/>
      <c r="M38" s="61"/>
      <c r="N38" s="61"/>
      <c r="O38" s="61"/>
    </row>
    <row r="39" spans="1:15">
      <c r="C39" s="1523" t="s">
        <v>2037</v>
      </c>
      <c r="D39" s="1465"/>
      <c r="E39" s="1516"/>
      <c r="F39" s="2294" t="s">
        <v>2036</v>
      </c>
      <c r="G39" s="2295"/>
      <c r="H39" s="1443"/>
      <c r="I39" s="1443"/>
      <c r="J39" s="1443"/>
      <c r="K39" s="1442"/>
      <c r="L39" s="61"/>
      <c r="M39" s="61"/>
      <c r="N39" s="61"/>
      <c r="O39" s="61"/>
    </row>
    <row r="40" spans="1:15" ht="31.5" customHeight="1">
      <c r="C40" s="1526" t="s">
        <v>1895</v>
      </c>
      <c r="D40" s="1582"/>
      <c r="E40" s="1581"/>
      <c r="F40" s="2296" t="s">
        <v>1894</v>
      </c>
      <c r="G40" s="2297"/>
      <c r="H40" s="1443"/>
      <c r="I40" s="1443"/>
      <c r="J40" s="1443"/>
      <c r="K40" s="1442"/>
      <c r="L40" s="61"/>
      <c r="M40" s="61"/>
      <c r="N40" s="61"/>
      <c r="O40" s="61"/>
    </row>
    <row r="41" spans="1:15">
      <c r="C41" s="1523" t="s">
        <v>1816</v>
      </c>
      <c r="D41" s="1465"/>
      <c r="E41" s="1516"/>
      <c r="F41" s="2286">
        <v>0.09</v>
      </c>
      <c r="G41" s="2287"/>
      <c r="H41" s="1443"/>
      <c r="I41" s="1443"/>
      <c r="J41" s="1443"/>
      <c r="K41" s="1537"/>
      <c r="L41" s="1484"/>
    </row>
    <row r="42" spans="1:15">
      <c r="C42" s="1443"/>
      <c r="D42" s="1443"/>
      <c r="E42" s="1476"/>
      <c r="F42" s="1579"/>
      <c r="G42" s="1443"/>
      <c r="H42" s="1443"/>
      <c r="I42" s="1443"/>
      <c r="J42" s="1443"/>
      <c r="K42" s="1442"/>
      <c r="L42" s="61"/>
      <c r="M42" s="61"/>
      <c r="N42" s="61"/>
      <c r="O42" s="61"/>
    </row>
    <row r="43" spans="1:15">
      <c r="C43" s="1450" t="s">
        <v>1813</v>
      </c>
      <c r="D43" s="1443"/>
      <c r="E43" s="1476"/>
      <c r="F43" s="1579"/>
      <c r="G43" s="1443"/>
      <c r="H43" s="1443"/>
      <c r="I43" s="1443"/>
      <c r="J43" s="1443"/>
      <c r="K43" s="1442"/>
      <c r="L43" s="61"/>
      <c r="M43" s="61"/>
      <c r="N43" s="61"/>
      <c r="O43" s="61"/>
    </row>
    <row r="44" spans="1:15">
      <c r="C44" s="1544"/>
      <c r="D44" s="1443"/>
      <c r="E44" s="1476"/>
      <c r="F44" s="1579"/>
      <c r="G44" s="1443"/>
      <c r="H44" s="1443"/>
      <c r="I44" s="1443"/>
      <c r="J44" s="1443"/>
      <c r="K44" s="1442"/>
      <c r="L44" s="61"/>
      <c r="M44" s="61"/>
      <c r="N44" s="61"/>
      <c r="O44" s="61"/>
    </row>
    <row r="45" spans="1:15" s="1575" customFormat="1">
      <c r="A45" s="1577"/>
      <c r="B45" s="1577"/>
      <c r="C45" s="2298" t="s">
        <v>1990</v>
      </c>
      <c r="D45" s="2299"/>
      <c r="E45" s="1578"/>
      <c r="F45" s="1508">
        <v>0.03</v>
      </c>
      <c r="G45" s="1516" t="s">
        <v>1687</v>
      </c>
      <c r="H45" s="1576" t="s">
        <v>2035</v>
      </c>
      <c r="I45" s="1443"/>
      <c r="J45" s="1443"/>
      <c r="K45" s="1442"/>
      <c r="L45" s="61"/>
      <c r="M45" s="61"/>
      <c r="N45" s="61"/>
      <c r="O45" s="61"/>
    </row>
    <row r="46" spans="1:15" s="1575" customFormat="1">
      <c r="A46" s="1577"/>
      <c r="B46" s="1577"/>
      <c r="C46" s="2298" t="s">
        <v>1989</v>
      </c>
      <c r="D46" s="2299"/>
      <c r="E46" s="1578"/>
      <c r="F46" s="2301" t="s">
        <v>2034</v>
      </c>
      <c r="G46" s="2302"/>
      <c r="H46" s="1576"/>
      <c r="I46" s="1443"/>
      <c r="J46" s="1443"/>
      <c r="K46" s="1442"/>
      <c r="L46" s="61"/>
      <c r="M46" s="61"/>
      <c r="N46" s="61"/>
      <c r="O46" s="61"/>
    </row>
    <row r="47" spans="1:15" s="1575" customFormat="1" ht="28.5" customHeight="1">
      <c r="A47" s="1577"/>
      <c r="B47" s="1577"/>
      <c r="C47" s="2298" t="s">
        <v>2033</v>
      </c>
      <c r="D47" s="2299"/>
      <c r="E47" s="2300"/>
      <c r="F47" s="2301" t="s">
        <v>2032</v>
      </c>
      <c r="G47" s="2302"/>
      <c r="H47" s="1576"/>
      <c r="I47" s="1443"/>
      <c r="J47" s="1443"/>
      <c r="K47" s="1442"/>
      <c r="L47" s="61"/>
      <c r="M47" s="61"/>
      <c r="N47" s="61"/>
      <c r="O47" s="61"/>
    </row>
    <row r="48" spans="1:15" ht="18" customHeight="1">
      <c r="C48" s="1523" t="s">
        <v>2031</v>
      </c>
      <c r="D48" s="1465"/>
      <c r="E48" s="1516"/>
      <c r="F48" s="2296" t="s">
        <v>642</v>
      </c>
      <c r="G48" s="2297"/>
      <c r="H48" s="1443"/>
      <c r="I48" s="1443"/>
      <c r="J48" s="1443"/>
      <c r="K48" s="1537"/>
      <c r="L48" s="1484"/>
    </row>
    <row r="49" spans="3:20">
      <c r="C49" s="1567" t="s">
        <v>499</v>
      </c>
      <c r="D49" s="1574"/>
      <c r="E49" s="1516"/>
      <c r="F49" s="2303" t="s">
        <v>498</v>
      </c>
      <c r="G49" s="2304"/>
      <c r="H49" s="1443"/>
      <c r="I49" s="1443"/>
      <c r="J49" s="1443"/>
      <c r="K49" s="1442"/>
      <c r="L49" s="61"/>
      <c r="M49" s="61"/>
      <c r="N49" s="61"/>
      <c r="O49" s="61"/>
    </row>
    <row r="50" spans="3:20">
      <c r="C50" s="1567" t="s">
        <v>2030</v>
      </c>
      <c r="D50" s="1574"/>
      <c r="E50" s="1516"/>
      <c r="F50" s="2303" t="s">
        <v>2029</v>
      </c>
      <c r="G50" s="2304"/>
      <c r="H50" s="1443"/>
      <c r="I50" s="1443"/>
      <c r="J50" s="1443"/>
      <c r="K50" s="1442"/>
      <c r="L50" s="61"/>
      <c r="M50" s="61"/>
      <c r="N50" s="61"/>
      <c r="O50" s="61"/>
    </row>
    <row r="51" spans="3:20">
      <c r="C51" s="1567" t="s">
        <v>634</v>
      </c>
      <c r="D51" s="1574"/>
      <c r="E51" s="1516"/>
      <c r="F51" s="2282">
        <v>100000</v>
      </c>
      <c r="G51" s="2283"/>
      <c r="H51" s="1443"/>
      <c r="I51" s="1443"/>
      <c r="J51" s="1443"/>
      <c r="K51" s="1442"/>
      <c r="L51" s="61"/>
      <c r="M51" s="61"/>
      <c r="N51" s="61"/>
      <c r="O51" s="61"/>
    </row>
    <row r="52" spans="3:20">
      <c r="C52" s="1567" t="s">
        <v>462</v>
      </c>
      <c r="D52" s="1574"/>
      <c r="E52" s="1516"/>
      <c r="F52" s="2282" t="s">
        <v>461</v>
      </c>
      <c r="G52" s="2283"/>
      <c r="H52" s="1443"/>
      <c r="I52" s="1443"/>
      <c r="J52" s="1443"/>
      <c r="K52" s="1537"/>
      <c r="L52" s="1484"/>
    </row>
    <row r="53" spans="3:20">
      <c r="C53" s="364"/>
      <c r="D53" s="365"/>
      <c r="E53" s="1443"/>
      <c r="F53" s="1573"/>
      <c r="G53" s="1573"/>
      <c r="H53" s="1443"/>
      <c r="I53" s="1443"/>
      <c r="J53" s="1443"/>
      <c r="K53" s="1537"/>
      <c r="L53" s="1484"/>
    </row>
    <row r="54" spans="3:20">
      <c r="C54" s="1566" t="s">
        <v>2028</v>
      </c>
      <c r="D54" s="1476"/>
      <c r="E54" s="1476"/>
      <c r="F54" s="1559"/>
      <c r="G54" s="1559"/>
      <c r="H54" s="1559"/>
      <c r="I54" s="1559"/>
      <c r="J54" s="1559"/>
      <c r="K54" s="1558"/>
      <c r="L54" s="1557"/>
      <c r="M54" s="1557"/>
      <c r="N54" s="1557"/>
      <c r="O54" s="1557"/>
      <c r="P54" s="1557"/>
      <c r="Q54" s="1557"/>
      <c r="R54" s="1557"/>
      <c r="S54" s="1557"/>
      <c r="T54" s="1557"/>
    </row>
    <row r="55" spans="3:20">
      <c r="C55" s="1572"/>
      <c r="D55" s="1476"/>
      <c r="E55" s="1476"/>
      <c r="F55" s="1559"/>
      <c r="G55" s="1559"/>
      <c r="H55" s="1559"/>
      <c r="I55" s="1559"/>
      <c r="J55" s="1559"/>
      <c r="K55" s="1558"/>
      <c r="L55" s="1557"/>
      <c r="M55" s="1557"/>
      <c r="N55" s="1557"/>
      <c r="O55" s="1557"/>
      <c r="P55" s="1557"/>
      <c r="Q55" s="1557"/>
      <c r="R55" s="1557"/>
      <c r="S55" s="1557"/>
      <c r="T55" s="1557"/>
    </row>
    <row r="56" spans="3:20">
      <c r="C56" s="1571" t="s">
        <v>2027</v>
      </c>
      <c r="D56" s="1522"/>
      <c r="E56" s="1570" t="s">
        <v>388</v>
      </c>
      <c r="F56" s="1562" t="s">
        <v>377</v>
      </c>
      <c r="G56" s="1559"/>
      <c r="H56" s="1559"/>
      <c r="I56" s="1559"/>
      <c r="J56" s="1559"/>
      <c r="K56" s="1558"/>
      <c r="L56" s="1557"/>
      <c r="M56" s="1557"/>
      <c r="N56" s="1557"/>
      <c r="O56" s="1557"/>
      <c r="P56" s="1557"/>
      <c r="Q56" s="1557"/>
      <c r="R56" s="1557"/>
      <c r="S56" s="1557"/>
      <c r="T56" s="1557"/>
    </row>
    <row r="57" spans="3:20">
      <c r="C57" s="1567" t="s">
        <v>437</v>
      </c>
      <c r="D57" s="1522"/>
      <c r="E57" s="1569">
        <v>44</v>
      </c>
      <c r="F57" s="1560">
        <v>62</v>
      </c>
      <c r="G57" s="1559"/>
      <c r="H57" s="1559"/>
      <c r="I57" s="1559"/>
      <c r="J57" s="1559"/>
      <c r="K57" s="1558"/>
      <c r="L57" s="1557"/>
      <c r="M57" s="1557"/>
      <c r="N57" s="1557"/>
      <c r="O57" s="1557"/>
      <c r="P57" s="1557"/>
      <c r="Q57" s="1557"/>
      <c r="R57" s="1557"/>
      <c r="S57" s="1557"/>
      <c r="T57" s="1557"/>
    </row>
    <row r="58" spans="3:20">
      <c r="C58" s="1567" t="s">
        <v>2026</v>
      </c>
      <c r="D58" s="1522"/>
      <c r="E58" s="1560">
        <v>81500</v>
      </c>
      <c r="F58" s="1560">
        <v>117500</v>
      </c>
      <c r="G58" s="1559"/>
      <c r="H58" s="1559"/>
      <c r="I58" s="1559"/>
      <c r="J58" s="1559"/>
      <c r="K58" s="1558"/>
      <c r="L58" s="1557"/>
      <c r="M58" s="1557"/>
      <c r="N58" s="1557"/>
      <c r="O58" s="1557"/>
      <c r="P58" s="1557"/>
      <c r="Q58" s="1557"/>
      <c r="R58" s="1557"/>
      <c r="S58" s="1557"/>
      <c r="T58" s="1557"/>
    </row>
    <row r="59" spans="3:20">
      <c r="C59" s="1567" t="s">
        <v>2025</v>
      </c>
      <c r="D59" s="1522"/>
      <c r="E59" s="1560">
        <v>83000</v>
      </c>
      <c r="F59" s="1560">
        <v>120000</v>
      </c>
      <c r="G59" s="1559"/>
      <c r="H59" s="1559"/>
      <c r="I59" s="1559"/>
      <c r="J59" s="1559"/>
      <c r="K59" s="1558"/>
      <c r="L59" s="1557"/>
      <c r="N59" s="1556"/>
    </row>
    <row r="60" spans="3:20">
      <c r="C60" s="1567" t="s">
        <v>2024</v>
      </c>
      <c r="D60" s="1522"/>
      <c r="E60" s="1560">
        <v>85000</v>
      </c>
      <c r="F60" s="1560">
        <f>140000</f>
        <v>140000</v>
      </c>
      <c r="G60" s="1559"/>
      <c r="H60" s="1559"/>
      <c r="I60" s="1559"/>
      <c r="J60" s="1559"/>
      <c r="K60" s="1558"/>
      <c r="L60" s="1557"/>
      <c r="N60" s="1556"/>
    </row>
    <row r="61" spans="3:20">
      <c r="C61" s="1567" t="s">
        <v>445</v>
      </c>
      <c r="D61" s="1522"/>
      <c r="E61" s="1568">
        <v>4</v>
      </c>
      <c r="F61" s="1568">
        <v>29</v>
      </c>
      <c r="G61" s="1559"/>
      <c r="H61" s="1559"/>
      <c r="I61" s="1559"/>
      <c r="J61" s="1559"/>
      <c r="K61" s="1558"/>
      <c r="L61" s="1557"/>
      <c r="N61" s="1556"/>
    </row>
    <row r="62" spans="3:20">
      <c r="C62" s="1567" t="s">
        <v>444</v>
      </c>
      <c r="D62" s="1522"/>
      <c r="E62" s="1560" t="s">
        <v>443</v>
      </c>
      <c r="F62" s="1560" t="s">
        <v>443</v>
      </c>
      <c r="G62" s="1559"/>
      <c r="H62" s="1559"/>
      <c r="I62" s="1559"/>
      <c r="J62" s="1559"/>
      <c r="K62" s="1558"/>
      <c r="L62" s="1557"/>
      <c r="N62" s="1556"/>
    </row>
    <row r="63" spans="3:20">
      <c r="C63" s="1567" t="s">
        <v>2023</v>
      </c>
      <c r="D63" s="1522"/>
      <c r="E63" s="1560">
        <v>13000</v>
      </c>
      <c r="F63" s="1560">
        <v>38200</v>
      </c>
      <c r="G63" s="1559"/>
      <c r="H63" s="1559"/>
      <c r="I63" s="1559"/>
      <c r="J63" s="1559"/>
      <c r="K63" s="1558"/>
      <c r="L63" s="1557"/>
      <c r="N63" s="1556"/>
    </row>
    <row r="64" spans="3:20">
      <c r="C64" s="1567" t="s">
        <v>2022</v>
      </c>
      <c r="D64" s="1522"/>
      <c r="E64" s="1560">
        <v>10000</v>
      </c>
      <c r="F64" s="1560">
        <v>30700</v>
      </c>
      <c r="G64" s="1559"/>
      <c r="H64" s="1559"/>
      <c r="I64" s="1559"/>
      <c r="J64" s="1559"/>
      <c r="K64" s="1558"/>
      <c r="L64" s="1557"/>
      <c r="N64" s="1556"/>
    </row>
    <row r="65" spans="1:14">
      <c r="C65" s="1566"/>
      <c r="D65" s="1476"/>
      <c r="E65" s="1565"/>
      <c r="F65" s="1565"/>
      <c r="G65" s="1559"/>
      <c r="H65" s="1559"/>
      <c r="I65" s="1559"/>
      <c r="J65" s="1559"/>
      <c r="K65" s="1558"/>
      <c r="L65" s="1557"/>
      <c r="N65" s="1556"/>
    </row>
    <row r="66" spans="1:14">
      <c r="C66" s="1564" t="s">
        <v>350</v>
      </c>
      <c r="D66" s="1563"/>
      <c r="E66" s="1562" t="s">
        <v>385</v>
      </c>
      <c r="F66" s="1562" t="s">
        <v>384</v>
      </c>
      <c r="G66" s="1562" t="s">
        <v>2021</v>
      </c>
      <c r="H66" s="1562" t="s">
        <v>2020</v>
      </c>
      <c r="I66" s="1559"/>
      <c r="J66" s="1559"/>
      <c r="K66" s="1558"/>
      <c r="L66" s="1557"/>
      <c r="N66" s="1556"/>
    </row>
    <row r="67" spans="1:14">
      <c r="C67" s="1546" t="s">
        <v>437</v>
      </c>
      <c r="D67" s="1522"/>
      <c r="E67" s="1560">
        <v>60</v>
      </c>
      <c r="F67" s="1560">
        <v>69</v>
      </c>
      <c r="G67" s="1560">
        <v>65</v>
      </c>
      <c r="H67" s="1560">
        <v>68</v>
      </c>
      <c r="I67" s="1559"/>
      <c r="J67" s="1559"/>
      <c r="K67" s="1558"/>
      <c r="L67" s="1557"/>
      <c r="N67" s="1556"/>
    </row>
    <row r="68" spans="1:14">
      <c r="C68" s="1548" t="s">
        <v>434</v>
      </c>
      <c r="D68" s="1522"/>
      <c r="E68" s="1561">
        <v>43831</v>
      </c>
      <c r="F68" s="1561">
        <v>43101</v>
      </c>
      <c r="G68" s="1561">
        <v>42370</v>
      </c>
      <c r="H68" s="1561">
        <v>42370</v>
      </c>
      <c r="I68" s="1559"/>
      <c r="J68" s="1559"/>
      <c r="K68" s="1558"/>
      <c r="L68" s="1557"/>
      <c r="N68" s="1556"/>
    </row>
    <row r="69" spans="1:14">
      <c r="C69" s="1548" t="s">
        <v>2019</v>
      </c>
      <c r="D69" s="1522"/>
      <c r="E69" s="1560">
        <v>1200</v>
      </c>
      <c r="F69" s="1560">
        <v>2500</v>
      </c>
      <c r="G69" s="1560">
        <v>1800</v>
      </c>
      <c r="H69" s="1560">
        <v>3000</v>
      </c>
      <c r="I69" s="1559"/>
      <c r="J69" s="1559"/>
      <c r="K69" s="1558"/>
      <c r="L69" s="1557"/>
      <c r="N69" s="1556"/>
    </row>
    <row r="70" spans="1:14">
      <c r="C70" s="1548" t="s">
        <v>432</v>
      </c>
      <c r="D70" s="1522"/>
      <c r="E70" s="1560" t="s">
        <v>2018</v>
      </c>
      <c r="F70" s="1560" t="s">
        <v>2018</v>
      </c>
      <c r="G70" s="1560" t="s">
        <v>2018</v>
      </c>
      <c r="H70" s="1560" t="s">
        <v>2018</v>
      </c>
      <c r="I70" s="1559"/>
      <c r="J70" s="1559"/>
      <c r="K70" s="1558"/>
      <c r="L70" s="1557"/>
      <c r="N70" s="1556"/>
    </row>
    <row r="71" spans="1:14">
      <c r="C71" s="1443"/>
      <c r="D71" s="1543"/>
      <c r="E71" s="1443"/>
      <c r="F71" s="1443"/>
      <c r="G71" s="1443"/>
      <c r="H71" s="1443"/>
      <c r="I71" s="1443"/>
      <c r="J71" s="1443"/>
      <c r="K71" s="1555"/>
      <c r="L71" s="1484"/>
    </row>
    <row r="72" spans="1:14">
      <c r="C72" s="1496" t="s">
        <v>1986</v>
      </c>
      <c r="D72" s="1443"/>
      <c r="E72" s="1504"/>
      <c r="F72" s="1554"/>
      <c r="G72" s="1443"/>
      <c r="H72" s="1554"/>
      <c r="I72" s="1443"/>
      <c r="J72" s="1443"/>
      <c r="K72" s="1442"/>
    </row>
    <row r="73" spans="1:14">
      <c r="C73" s="1495"/>
      <c r="D73" s="1443"/>
      <c r="E73" s="1504"/>
      <c r="F73" s="1554"/>
      <c r="G73" s="1443"/>
      <c r="H73" s="1554"/>
      <c r="I73" s="1443"/>
      <c r="J73" s="1443"/>
      <c r="K73" s="1442"/>
    </row>
    <row r="74" spans="1:14">
      <c r="C74" s="1546"/>
      <c r="D74" s="1522"/>
      <c r="E74" s="1492">
        <v>2019</v>
      </c>
      <c r="F74" s="1492">
        <f>E74+1</f>
        <v>2020</v>
      </c>
      <c r="G74" s="1492">
        <f>F74+1</f>
        <v>2021</v>
      </c>
      <c r="H74" s="1443"/>
      <c r="I74" s="1443"/>
      <c r="J74" s="1443"/>
      <c r="K74" s="1442"/>
    </row>
    <row r="75" spans="1:14" ht="45.9" customHeight="1">
      <c r="A75" s="1553"/>
      <c r="B75" s="1552"/>
      <c r="C75" s="2284" t="s">
        <v>1985</v>
      </c>
      <c r="D75" s="2285"/>
      <c r="E75" s="1488">
        <v>1250000</v>
      </c>
      <c r="F75" s="1488">
        <f>E82</f>
        <v>1346700</v>
      </c>
      <c r="G75" s="1488">
        <f>F82</f>
        <v>1048000</v>
      </c>
      <c r="H75" s="1443"/>
      <c r="I75" s="1443"/>
      <c r="J75" s="1443"/>
      <c r="K75" s="1442"/>
    </row>
    <row r="76" spans="1:14">
      <c r="C76" s="1551" t="s">
        <v>2017</v>
      </c>
      <c r="D76" s="1525"/>
      <c r="E76" s="1488">
        <v>16500</v>
      </c>
      <c r="F76" s="1488">
        <v>17000</v>
      </c>
      <c r="G76" s="1488">
        <v>18000</v>
      </c>
      <c r="H76" s="1443"/>
      <c r="I76" s="1443"/>
      <c r="J76" s="1443"/>
      <c r="K76" s="1442"/>
    </row>
    <row r="77" spans="1:14">
      <c r="C77" s="1548" t="s">
        <v>2016</v>
      </c>
      <c r="D77" s="1522"/>
      <c r="E77" s="1488">
        <v>60000</v>
      </c>
      <c r="F77" s="1488">
        <v>70000</v>
      </c>
      <c r="G77" s="1488">
        <v>95000</v>
      </c>
      <c r="H77" s="1443"/>
      <c r="I77" s="1443"/>
      <c r="J77" s="1443"/>
      <c r="K77" s="1442"/>
    </row>
    <row r="78" spans="1:14">
      <c r="C78" s="1548" t="s">
        <v>1983</v>
      </c>
      <c r="D78" s="1522"/>
      <c r="E78" s="1488">
        <f>ROUND(F78/1.02,-3)</f>
        <v>-94000</v>
      </c>
      <c r="F78" s="1488">
        <f>ROUND(G78/1.02,-3)</f>
        <v>-96000</v>
      </c>
      <c r="G78" s="1488">
        <v>-98000</v>
      </c>
      <c r="H78" s="1443"/>
      <c r="I78" s="1443"/>
      <c r="J78" s="1443"/>
      <c r="K78" s="1442"/>
    </row>
    <row r="79" spans="1:14">
      <c r="C79" s="1548" t="s">
        <v>1982</v>
      </c>
      <c r="D79" s="1522"/>
      <c r="E79" s="1488">
        <v>54200</v>
      </c>
      <c r="F79" s="1488">
        <v>55300</v>
      </c>
      <c r="G79" s="1488">
        <v>55700</v>
      </c>
      <c r="H79" s="1450"/>
      <c r="I79" s="1443"/>
      <c r="J79" s="1443"/>
      <c r="K79" s="1442"/>
    </row>
    <row r="80" spans="1:14">
      <c r="C80" s="1548" t="s">
        <v>1981</v>
      </c>
      <c r="D80" s="1522"/>
      <c r="E80" s="1488">
        <v>-40000</v>
      </c>
      <c r="F80" s="1488">
        <v>-45000</v>
      </c>
      <c r="G80" s="1488">
        <v>-42000</v>
      </c>
      <c r="H80" s="1443"/>
      <c r="I80" s="1443"/>
      <c r="J80" s="1443"/>
      <c r="K80" s="1442"/>
    </row>
    <row r="81" spans="3:12">
      <c r="C81" s="1548" t="s">
        <v>2015</v>
      </c>
      <c r="D81" s="1522"/>
      <c r="E81" s="1488">
        <v>100000</v>
      </c>
      <c r="F81" s="1488">
        <v>-300000</v>
      </c>
      <c r="G81" s="1488">
        <v>30000</v>
      </c>
      <c r="H81" s="1550"/>
      <c r="I81" s="1549"/>
      <c r="J81" s="1443"/>
      <c r="K81" s="1442"/>
    </row>
    <row r="82" spans="3:12">
      <c r="C82" s="1548" t="s">
        <v>1979</v>
      </c>
      <c r="D82" s="1522"/>
      <c r="E82" s="1488">
        <f>SUM(E75:E81)</f>
        <v>1346700</v>
      </c>
      <c r="F82" s="1488">
        <f>SUM(F75:F81)</f>
        <v>1048000</v>
      </c>
      <c r="G82" s="1488">
        <f>SUM(G75:G81)</f>
        <v>1106700</v>
      </c>
      <c r="H82" s="1443"/>
      <c r="I82" s="1443"/>
      <c r="J82" s="1443"/>
      <c r="K82" s="1442"/>
    </row>
    <row r="83" spans="3:12">
      <c r="C83" s="1497" t="s">
        <v>2014</v>
      </c>
      <c r="D83" s="365"/>
      <c r="E83" s="1547"/>
      <c r="F83" s="1547"/>
      <c r="G83" s="1547"/>
      <c r="H83" s="1443"/>
      <c r="I83" s="1443"/>
      <c r="J83" s="1443"/>
      <c r="K83" s="1442"/>
    </row>
    <row r="84" spans="3:12">
      <c r="C84" s="1443"/>
      <c r="D84" s="1543"/>
      <c r="E84" s="1443"/>
      <c r="F84" s="1443"/>
      <c r="G84" s="1443"/>
      <c r="H84" s="1443"/>
      <c r="I84" s="1443"/>
      <c r="J84" s="1443"/>
      <c r="K84" s="1537"/>
      <c r="L84" s="1484"/>
    </row>
    <row r="85" spans="3:12">
      <c r="C85" s="1496" t="s">
        <v>2013</v>
      </c>
      <c r="D85" s="1543"/>
      <c r="E85" s="1443"/>
      <c r="F85" s="1443"/>
      <c r="G85" s="1443"/>
      <c r="H85" s="1443"/>
      <c r="I85" s="1443"/>
      <c r="J85" s="1443"/>
      <c r="K85" s="1537"/>
      <c r="L85" s="1484"/>
    </row>
    <row r="86" spans="3:12">
      <c r="C86" s="1495"/>
      <c r="D86" s="1543"/>
      <c r="E86" s="1443"/>
      <c r="F86" s="1443"/>
      <c r="G86" s="1443"/>
      <c r="H86" s="1443"/>
      <c r="I86" s="1443"/>
      <c r="J86" s="1443"/>
      <c r="K86" s="1537"/>
      <c r="L86" s="1484"/>
    </row>
    <row r="87" spans="3:12" ht="31.2">
      <c r="C87" s="1546"/>
      <c r="D87" s="1522"/>
      <c r="E87" s="1545" t="s">
        <v>2012</v>
      </c>
      <c r="F87" s="1545" t="s">
        <v>2011</v>
      </c>
      <c r="G87" s="1545" t="s">
        <v>2010</v>
      </c>
      <c r="H87" s="1443"/>
      <c r="I87" s="1443"/>
      <c r="J87" s="1543"/>
      <c r="K87" s="1537"/>
    </row>
    <row r="88" spans="3:12">
      <c r="C88" s="1446" t="s">
        <v>2009</v>
      </c>
      <c r="D88" s="1522"/>
      <c r="E88" s="1488">
        <v>1198000</v>
      </c>
      <c r="F88" s="1488">
        <v>963000</v>
      </c>
      <c r="G88" s="1488">
        <v>1242100</v>
      </c>
      <c r="H88" s="1443"/>
      <c r="I88" s="1443"/>
      <c r="J88" s="1543"/>
      <c r="K88" s="1537"/>
    </row>
    <row r="89" spans="3:12">
      <c r="C89" s="1446" t="s">
        <v>2008</v>
      </c>
      <c r="D89" s="1522"/>
      <c r="E89" s="1488">
        <v>663000</v>
      </c>
      <c r="F89" s="1488">
        <v>549400</v>
      </c>
      <c r="G89" s="1488">
        <v>678000</v>
      </c>
      <c r="H89" s="1443"/>
      <c r="I89" s="1443"/>
      <c r="J89" s="1543"/>
      <c r="K89" s="1537"/>
    </row>
    <row r="90" spans="3:12">
      <c r="C90" s="1446" t="s">
        <v>2007</v>
      </c>
      <c r="D90" s="1522"/>
      <c r="E90" s="1488">
        <v>850000</v>
      </c>
      <c r="F90" s="1488">
        <v>707500</v>
      </c>
      <c r="G90" s="1488">
        <v>870000</v>
      </c>
      <c r="H90" s="1443"/>
      <c r="I90" s="1443"/>
      <c r="J90" s="1543"/>
      <c r="K90" s="1537"/>
    </row>
    <row r="91" spans="3:12">
      <c r="C91" s="1443"/>
      <c r="D91" s="1543"/>
      <c r="E91" s="1443"/>
      <c r="F91" s="1443"/>
      <c r="G91" s="1443"/>
      <c r="H91" s="1443"/>
      <c r="I91" s="1443"/>
      <c r="J91" s="1443"/>
      <c r="K91" s="1537"/>
      <c r="L91" s="1484"/>
    </row>
    <row r="92" spans="3:12">
      <c r="C92" s="1450" t="s">
        <v>2006</v>
      </c>
      <c r="D92" s="1543"/>
      <c r="E92" s="1443"/>
      <c r="F92" s="1443"/>
      <c r="G92" s="1443"/>
      <c r="H92" s="1443"/>
      <c r="I92" s="1443"/>
      <c r="J92" s="1443"/>
      <c r="K92" s="1537"/>
      <c r="L92" s="1484"/>
    </row>
    <row r="93" spans="3:12">
      <c r="C93" s="1544"/>
      <c r="D93" s="1543"/>
      <c r="E93" s="1443"/>
      <c r="F93" s="1443"/>
      <c r="G93" s="1443"/>
      <c r="H93" s="1443"/>
      <c r="I93" s="1443"/>
      <c r="J93" s="1443"/>
      <c r="K93" s="1537"/>
      <c r="L93" s="1484"/>
    </row>
    <row r="94" spans="3:12">
      <c r="C94" s="1542"/>
      <c r="D94" s="1541"/>
      <c r="E94" s="1540" t="s">
        <v>1793</v>
      </c>
      <c r="F94" s="1539"/>
      <c r="G94" s="1538"/>
      <c r="H94" s="1443"/>
      <c r="I94" s="1443"/>
      <c r="J94" s="1443"/>
      <c r="K94" s="1537"/>
      <c r="L94" s="1484"/>
    </row>
    <row r="95" spans="3:12">
      <c r="C95" s="1536"/>
      <c r="D95" s="1535"/>
      <c r="E95" s="1534" t="s">
        <v>2005</v>
      </c>
      <c r="F95" s="1533" t="s">
        <v>2004</v>
      </c>
      <c r="G95" s="1532" t="s">
        <v>1801</v>
      </c>
      <c r="H95" s="1443"/>
      <c r="I95" s="1443"/>
      <c r="J95" s="1443"/>
      <c r="K95" s="1442"/>
    </row>
    <row r="96" spans="3:12">
      <c r="C96" s="1531"/>
      <c r="D96" s="1530"/>
      <c r="E96" s="1529" t="s">
        <v>2003</v>
      </c>
      <c r="F96" s="1528" t="s">
        <v>2003</v>
      </c>
      <c r="G96" s="1527" t="s">
        <v>2002</v>
      </c>
      <c r="H96" s="1443"/>
      <c r="I96" s="1443"/>
      <c r="J96" s="1443"/>
      <c r="K96" s="1442"/>
    </row>
    <row r="97" spans="1:12">
      <c r="C97" s="1526" t="s">
        <v>2001</v>
      </c>
      <c r="D97" s="1525"/>
      <c r="E97" s="1521">
        <v>1800</v>
      </c>
      <c r="F97" s="1520">
        <v>44197</v>
      </c>
      <c r="G97" s="1519">
        <v>44561</v>
      </c>
      <c r="H97" s="1443"/>
      <c r="I97" s="1443"/>
      <c r="J97" s="1443"/>
      <c r="K97" s="1442"/>
    </row>
    <row r="98" spans="1:12">
      <c r="C98" s="1523" t="s">
        <v>2001</v>
      </c>
      <c r="D98" s="1522"/>
      <c r="E98" s="1521">
        <v>1000</v>
      </c>
      <c r="F98" s="1520">
        <v>44562</v>
      </c>
      <c r="G98" s="1519">
        <v>48213</v>
      </c>
      <c r="I98" s="1524"/>
      <c r="J98" s="1524"/>
      <c r="K98" s="1485"/>
      <c r="L98" s="1484"/>
    </row>
    <row r="99" spans="1:12">
      <c r="C99" s="1523" t="s">
        <v>2000</v>
      </c>
      <c r="D99" s="1522"/>
      <c r="E99" s="1521">
        <v>1500</v>
      </c>
      <c r="F99" s="1520">
        <v>44562</v>
      </c>
      <c r="G99" s="1519">
        <v>46387</v>
      </c>
      <c r="I99" s="1448"/>
      <c r="J99" s="1448"/>
      <c r="K99" s="1485"/>
      <c r="L99" s="1484"/>
    </row>
    <row r="100" spans="1:12">
      <c r="C100" s="1448"/>
      <c r="D100" s="1448"/>
      <c r="E100" s="1448"/>
      <c r="F100" s="1448"/>
      <c r="G100" s="1487"/>
      <c r="H100" s="1487"/>
      <c r="I100" s="1487"/>
      <c r="J100" s="1487"/>
      <c r="K100" s="1485"/>
      <c r="L100" s="1484"/>
    </row>
    <row r="101" spans="1:12">
      <c r="C101" s="1448"/>
      <c r="D101" s="1448"/>
      <c r="E101" s="1448"/>
      <c r="F101" s="1448"/>
      <c r="G101" s="1487"/>
      <c r="H101" s="1487"/>
      <c r="I101" s="1487"/>
      <c r="J101" s="1487"/>
      <c r="K101" s="1485"/>
      <c r="L101" s="1484"/>
    </row>
    <row r="102" spans="1:12">
      <c r="A102" s="1518" t="s">
        <v>26</v>
      </c>
      <c r="B102" s="1468"/>
      <c r="C102" s="1450" t="s">
        <v>1999</v>
      </c>
      <c r="D102" s="1443"/>
      <c r="E102" s="1450"/>
      <c r="F102" s="1443"/>
      <c r="G102" s="1443"/>
      <c r="H102" s="1443"/>
      <c r="I102" s="1443"/>
      <c r="J102" s="1444"/>
      <c r="K102" s="1471"/>
      <c r="L102" s="1484"/>
    </row>
    <row r="103" spans="1:12">
      <c r="A103" s="1518"/>
      <c r="B103" s="1468"/>
      <c r="C103" s="1450"/>
      <c r="D103" s="1443"/>
      <c r="E103" s="1450"/>
      <c r="F103" s="1443"/>
      <c r="G103" s="1443"/>
      <c r="H103" s="1443"/>
      <c r="I103" s="1443"/>
      <c r="J103" s="1444"/>
      <c r="K103" s="1471"/>
      <c r="L103" s="1484"/>
    </row>
    <row r="104" spans="1:12">
      <c r="A104" s="1454"/>
      <c r="B104" s="1454"/>
      <c r="C104" s="1443"/>
      <c r="D104" s="1443"/>
      <c r="E104" s="1443"/>
      <c r="F104" s="1443"/>
      <c r="G104" s="1443"/>
      <c r="H104" s="1443"/>
      <c r="I104" s="1443"/>
      <c r="J104" s="1444"/>
      <c r="K104" s="1471"/>
      <c r="L104" s="1484"/>
    </row>
    <row r="105" spans="1:12">
      <c r="A105" s="1454"/>
      <c r="B105" s="1454"/>
      <c r="C105" s="1466" t="s">
        <v>399</v>
      </c>
      <c r="D105" s="1517"/>
      <c r="E105" s="1517"/>
      <c r="F105" s="1465"/>
      <c r="G105" s="1465"/>
      <c r="H105" s="1465"/>
      <c r="I105" s="1516"/>
      <c r="J105" s="1444"/>
      <c r="K105" s="1471"/>
      <c r="L105" s="1484"/>
    </row>
    <row r="106" spans="1:12">
      <c r="A106" s="1454"/>
      <c r="B106" s="1454"/>
      <c r="C106" s="1443"/>
      <c r="D106" s="1443"/>
      <c r="E106" s="1443"/>
      <c r="F106" s="1443"/>
      <c r="G106" s="1443"/>
      <c r="H106" s="1443"/>
      <c r="I106" s="1443"/>
      <c r="J106" s="1444"/>
      <c r="K106" s="1471"/>
      <c r="L106" s="1484"/>
    </row>
    <row r="107" spans="1:12">
      <c r="A107" s="1454"/>
      <c r="B107" s="1454"/>
      <c r="C107" s="1450" t="s">
        <v>1998</v>
      </c>
      <c r="D107" s="1443"/>
      <c r="E107" s="1443"/>
      <c r="F107" s="668"/>
      <c r="G107" s="1515"/>
      <c r="H107" s="1443"/>
      <c r="I107" s="1443"/>
      <c r="J107" s="1444"/>
      <c r="L107" s="1484"/>
    </row>
    <row r="108" spans="1:12">
      <c r="A108" s="1454"/>
      <c r="B108" s="1454"/>
      <c r="C108" s="1443"/>
      <c r="D108" s="1443"/>
      <c r="E108" s="1443"/>
      <c r="F108" s="1443"/>
      <c r="G108" s="1443"/>
      <c r="H108" s="1443"/>
      <c r="I108" s="1443"/>
      <c r="J108" s="1444"/>
      <c r="L108" s="1484"/>
    </row>
    <row r="109" spans="1:12">
      <c r="A109" s="1454"/>
      <c r="B109" s="1454"/>
      <c r="C109" s="1450" t="s">
        <v>353</v>
      </c>
      <c r="D109" s="1443"/>
      <c r="E109" s="1443"/>
      <c r="F109" s="1462"/>
      <c r="G109" s="1443"/>
      <c r="H109" s="1443"/>
      <c r="I109" s="1443"/>
      <c r="J109" s="1444"/>
      <c r="L109" s="1484"/>
    </row>
    <row r="110" spans="1:12">
      <c r="A110" s="1454"/>
      <c r="B110" s="1454"/>
      <c r="C110" s="1443" t="s">
        <v>348</v>
      </c>
      <c r="D110" s="1443"/>
      <c r="E110" s="1443"/>
      <c r="F110" s="1462"/>
      <c r="G110" s="1443"/>
      <c r="H110" s="1443"/>
      <c r="I110" s="1443"/>
      <c r="J110" s="1444"/>
      <c r="L110" s="1484"/>
    </row>
    <row r="111" spans="1:12">
      <c r="A111" s="1454"/>
      <c r="B111" s="1454"/>
      <c r="C111" s="1450" t="s">
        <v>347</v>
      </c>
      <c r="D111" s="1443"/>
      <c r="E111" s="1443"/>
      <c r="F111" s="1461">
        <f>F110+F109</f>
        <v>0</v>
      </c>
      <c r="G111" s="1443"/>
      <c r="H111" s="1443"/>
      <c r="I111" s="1443"/>
      <c r="J111" s="1444"/>
      <c r="L111" s="1484"/>
    </row>
    <row r="112" spans="1:12">
      <c r="A112" s="1454"/>
      <c r="B112" s="1454"/>
      <c r="C112" s="1443"/>
      <c r="D112" s="1443"/>
      <c r="E112" s="1443"/>
      <c r="F112" s="1443"/>
      <c r="G112" s="1443"/>
      <c r="H112" s="1443"/>
      <c r="I112" s="1443"/>
      <c r="J112" s="1444"/>
      <c r="L112" s="1484"/>
    </row>
    <row r="113" spans="1:12">
      <c r="A113" s="1454"/>
      <c r="B113" s="1454"/>
      <c r="C113" s="1450" t="s">
        <v>1997</v>
      </c>
      <c r="D113" s="1443"/>
      <c r="E113" s="1443"/>
      <c r="F113" s="1461">
        <f>F107-F111</f>
        <v>0</v>
      </c>
      <c r="G113" s="1443"/>
      <c r="H113" s="1443"/>
      <c r="I113" s="1443"/>
      <c r="J113" s="1444"/>
      <c r="L113" s="1484"/>
    </row>
    <row r="114" spans="1:12">
      <c r="A114" s="1454"/>
      <c r="B114" s="1454"/>
      <c r="C114" s="1447"/>
      <c r="D114" s="1443"/>
      <c r="E114" s="1443"/>
      <c r="F114" s="1443"/>
      <c r="G114" s="1443"/>
      <c r="H114" s="1443"/>
      <c r="I114" s="1443"/>
      <c r="J114" s="1444"/>
      <c r="L114" s="1484"/>
    </row>
    <row r="115" spans="1:12">
      <c r="A115" s="1454"/>
      <c r="B115" s="1454"/>
      <c r="C115" s="1443"/>
      <c r="D115" s="1443"/>
      <c r="E115" s="1443"/>
      <c r="F115" s="1443"/>
      <c r="G115" s="1443"/>
      <c r="H115" s="1443"/>
      <c r="I115" s="1443"/>
      <c r="J115" s="1444"/>
      <c r="K115" s="1485"/>
      <c r="L115" s="1484"/>
    </row>
    <row r="116" spans="1:12">
      <c r="A116" s="1454"/>
      <c r="B116" s="1454"/>
      <c r="C116" s="1450" t="s">
        <v>409</v>
      </c>
      <c r="D116" s="1443"/>
      <c r="E116" s="1443"/>
      <c r="F116" s="668"/>
      <c r="G116" s="1515"/>
      <c r="H116" s="1443"/>
      <c r="I116" s="1443"/>
      <c r="J116" s="1444"/>
      <c r="K116" s="1485"/>
      <c r="L116" s="1484"/>
    </row>
    <row r="117" spans="1:12">
      <c r="A117" s="1454"/>
      <c r="B117" s="1454"/>
      <c r="C117" s="1450" t="s">
        <v>408</v>
      </c>
      <c r="D117" s="1443"/>
      <c r="E117" s="1450"/>
      <c r="F117" s="668"/>
      <c r="G117" s="1443"/>
      <c r="H117" s="1443"/>
      <c r="I117" s="1443"/>
      <c r="J117" s="1444"/>
      <c r="K117" s="1485"/>
      <c r="L117" s="1484"/>
    </row>
    <row r="118" spans="1:12">
      <c r="A118" s="1454"/>
      <c r="B118" s="1454"/>
      <c r="C118" s="1443"/>
      <c r="D118" s="1443"/>
      <c r="E118" s="1443"/>
      <c r="F118" s="1443"/>
      <c r="G118" s="1443"/>
      <c r="H118" s="1443"/>
      <c r="I118" s="1443"/>
      <c r="J118" s="1444"/>
      <c r="K118" s="1485"/>
      <c r="L118" s="1484"/>
    </row>
    <row r="119" spans="1:12">
      <c r="A119" s="1454"/>
      <c r="B119" s="1454"/>
      <c r="C119" s="1450" t="s">
        <v>407</v>
      </c>
      <c r="D119" s="1443"/>
      <c r="E119" s="1443"/>
      <c r="F119" s="1461">
        <f>F116-F117</f>
        <v>0</v>
      </c>
      <c r="G119" s="1443"/>
      <c r="H119" s="1443"/>
      <c r="I119" s="1443"/>
      <c r="J119" s="1444"/>
      <c r="K119" s="1485"/>
      <c r="L119" s="1484"/>
    </row>
    <row r="120" spans="1:12">
      <c r="A120" s="1454"/>
      <c r="B120" s="1454"/>
      <c r="C120" s="1447"/>
      <c r="D120" s="1443"/>
      <c r="E120" s="1447"/>
      <c r="F120" s="1447"/>
      <c r="G120" s="1447"/>
      <c r="H120" s="1443"/>
      <c r="I120" s="1447"/>
      <c r="J120" s="1444"/>
      <c r="K120" s="1485"/>
      <c r="L120" s="1484"/>
    </row>
    <row r="121" spans="1:12">
      <c r="A121" s="1454"/>
      <c r="B121" s="1454"/>
      <c r="C121" s="1450" t="s">
        <v>1996</v>
      </c>
      <c r="D121" s="1514"/>
      <c r="E121" s="1513"/>
      <c r="F121" s="1512"/>
      <c r="G121" s="1447"/>
      <c r="H121" s="1443"/>
      <c r="I121" s="1447"/>
      <c r="J121" s="1444"/>
      <c r="L121" s="1484"/>
    </row>
    <row r="122" spans="1:12">
      <c r="A122" s="1454"/>
      <c r="B122" s="1454"/>
      <c r="C122" s="1467"/>
      <c r="D122" s="1443"/>
      <c r="E122" s="1447"/>
      <c r="F122" s="1447"/>
      <c r="G122" s="1447"/>
      <c r="H122" s="1447"/>
      <c r="I122" s="1447"/>
      <c r="J122" s="1444"/>
      <c r="L122" s="1484"/>
    </row>
    <row r="123" spans="1:12">
      <c r="A123" s="1470" t="s">
        <v>34</v>
      </c>
      <c r="B123" s="1454"/>
      <c r="C123" s="1450" t="s">
        <v>1995</v>
      </c>
      <c r="D123" s="1443"/>
      <c r="E123" s="1447"/>
      <c r="F123" s="1447"/>
      <c r="G123" s="1447"/>
      <c r="H123" s="1447"/>
      <c r="I123" s="1447"/>
      <c r="J123" s="1444"/>
      <c r="L123" s="1484"/>
    </row>
    <row r="124" spans="1:12">
      <c r="A124" s="1454"/>
      <c r="B124" s="1454"/>
      <c r="C124" s="1467"/>
      <c r="D124" s="1443"/>
      <c r="E124" s="1447"/>
      <c r="F124" s="1447"/>
      <c r="G124" s="1447"/>
      <c r="H124" s="1447"/>
      <c r="I124" s="1447"/>
      <c r="J124" s="1444"/>
      <c r="L124" s="1484"/>
    </row>
    <row r="125" spans="1:12">
      <c r="A125" s="1454"/>
      <c r="B125" s="1454"/>
      <c r="C125" s="1466" t="s">
        <v>399</v>
      </c>
      <c r="D125" s="1465"/>
      <c r="E125" s="1465"/>
      <c r="F125" s="1465"/>
      <c r="G125" s="1465"/>
      <c r="H125" s="1464"/>
      <c r="I125" s="1463"/>
      <c r="J125" s="1444"/>
      <c r="L125" s="1484"/>
    </row>
    <row r="126" spans="1:12">
      <c r="A126" s="1454"/>
      <c r="B126" s="1454"/>
      <c r="C126" s="1443"/>
      <c r="D126" s="1443"/>
      <c r="E126" s="1443"/>
      <c r="F126" s="1443"/>
      <c r="G126" s="1443"/>
      <c r="H126" s="1447"/>
      <c r="I126" s="1447"/>
      <c r="J126" s="1444"/>
      <c r="K126" s="1509"/>
      <c r="L126" s="1484"/>
    </row>
    <row r="127" spans="1:12">
      <c r="A127" s="1454"/>
      <c r="B127" s="1454"/>
      <c r="C127" s="1450" t="s">
        <v>1994</v>
      </c>
      <c r="D127" s="1443"/>
      <c r="E127" s="1450"/>
      <c r="F127" s="1443"/>
      <c r="G127" s="1443"/>
      <c r="H127" s="1447"/>
      <c r="I127" s="1447"/>
      <c r="J127" s="1444"/>
      <c r="K127" s="1509"/>
      <c r="L127" s="1484"/>
    </row>
    <row r="128" spans="1:12">
      <c r="A128" s="1454"/>
      <c r="B128" s="1454"/>
      <c r="C128" s="1443" t="s">
        <v>394</v>
      </c>
      <c r="D128" s="1443"/>
      <c r="E128" s="1443"/>
      <c r="F128" s="1462"/>
      <c r="G128" s="1449"/>
      <c r="H128" s="1447"/>
      <c r="I128" s="1447"/>
      <c r="J128" s="1444"/>
      <c r="K128" s="1509"/>
      <c r="L128" s="1484"/>
    </row>
    <row r="129" spans="1:12">
      <c r="A129" s="1454"/>
      <c r="B129" s="1454"/>
      <c r="C129" s="1443" t="s">
        <v>393</v>
      </c>
      <c r="D129" s="1443"/>
      <c r="E129" s="1443"/>
      <c r="F129" s="1462"/>
      <c r="G129" s="1443"/>
      <c r="H129" s="1447"/>
      <c r="I129" s="1447"/>
      <c r="J129" s="1444"/>
      <c r="K129" s="1509"/>
      <c r="L129" s="1484"/>
    </row>
    <row r="130" spans="1:12">
      <c r="A130" s="1454"/>
      <c r="B130" s="1454"/>
      <c r="C130" s="1450" t="s">
        <v>347</v>
      </c>
      <c r="D130" s="1443"/>
      <c r="E130" s="1450"/>
      <c r="F130" s="1461">
        <f>SUM(F128:F129)</f>
        <v>0</v>
      </c>
      <c r="G130" s="1443"/>
      <c r="H130" s="1447"/>
      <c r="I130" s="1447"/>
      <c r="J130" s="1444"/>
      <c r="K130" s="1509"/>
      <c r="L130" s="1484"/>
    </row>
    <row r="131" spans="1:12">
      <c r="A131" s="1454"/>
      <c r="B131" s="1454"/>
      <c r="C131" s="1447"/>
      <c r="D131" s="1447"/>
      <c r="E131" s="1447"/>
      <c r="F131" s="1447"/>
      <c r="G131" s="1447"/>
      <c r="H131" s="1447"/>
      <c r="I131" s="1447"/>
      <c r="J131" s="1447"/>
      <c r="K131" s="1509"/>
      <c r="L131" s="1484"/>
    </row>
    <row r="132" spans="1:12">
      <c r="A132" s="1454"/>
      <c r="B132" s="1454"/>
      <c r="C132" s="1450" t="s">
        <v>1993</v>
      </c>
      <c r="D132" s="1450"/>
      <c r="E132" s="1511"/>
      <c r="F132" s="1450"/>
      <c r="G132" s="1450"/>
      <c r="H132" s="1447"/>
      <c r="I132" s="1447"/>
      <c r="J132" s="1447"/>
      <c r="K132" s="1509"/>
      <c r="L132" s="1484"/>
    </row>
    <row r="133" spans="1:12">
      <c r="A133" s="1454"/>
      <c r="B133" s="1454"/>
      <c r="C133" s="1450"/>
      <c r="D133" s="1450"/>
      <c r="E133" s="1450"/>
      <c r="F133" s="1450"/>
      <c r="G133" s="1450"/>
      <c r="H133" s="1447"/>
      <c r="I133" s="1447"/>
      <c r="J133" s="1447"/>
      <c r="K133" s="1509"/>
      <c r="L133" s="1484"/>
    </row>
    <row r="134" spans="1:12">
      <c r="A134" s="1454"/>
      <c r="B134" s="1454"/>
      <c r="C134" s="1510" t="s">
        <v>459</v>
      </c>
      <c r="D134" s="1490"/>
      <c r="E134" s="1459" t="s">
        <v>632</v>
      </c>
      <c r="F134" s="1456" t="s">
        <v>1953</v>
      </c>
      <c r="G134" s="1456" t="s">
        <v>1952</v>
      </c>
      <c r="H134" s="1456" t="s">
        <v>1951</v>
      </c>
      <c r="I134" s="1449"/>
      <c r="J134" s="1447"/>
      <c r="K134" s="1509"/>
      <c r="L134" s="1484"/>
    </row>
    <row r="135" spans="1:12">
      <c r="A135" s="1454"/>
      <c r="B135" s="1454"/>
      <c r="C135" s="1510" t="s">
        <v>1950</v>
      </c>
      <c r="D135" s="1490"/>
      <c r="E135" s="1458"/>
      <c r="F135" s="1457"/>
      <c r="G135" s="1457"/>
      <c r="H135" s="1457"/>
      <c r="I135" s="1447"/>
      <c r="J135" s="1447"/>
      <c r="K135" s="1509"/>
      <c r="L135" s="1484"/>
    </row>
    <row r="136" spans="1:12">
      <c r="A136" s="1454"/>
      <c r="B136" s="1454"/>
      <c r="C136" s="1510" t="s">
        <v>1949</v>
      </c>
      <c r="D136" s="1490"/>
      <c r="E136" s="1458"/>
      <c r="F136" s="1457"/>
      <c r="G136" s="1457"/>
      <c r="H136" s="1457"/>
      <c r="I136" s="1447"/>
      <c r="J136" s="1447"/>
      <c r="K136" s="1509"/>
      <c r="L136" s="1484"/>
    </row>
    <row r="137" spans="1:12">
      <c r="A137" s="1454"/>
      <c r="B137" s="1454"/>
      <c r="C137" s="1456" t="s">
        <v>1948</v>
      </c>
      <c r="D137" s="1490"/>
      <c r="E137" s="1455"/>
      <c r="F137" s="1455"/>
      <c r="G137" s="1455"/>
      <c r="H137" s="1455"/>
      <c r="I137" s="1447"/>
      <c r="J137" s="1447"/>
      <c r="K137" s="1509"/>
      <c r="L137" s="1484"/>
    </row>
    <row r="138" spans="1:12">
      <c r="A138" s="1454"/>
      <c r="B138" s="1454"/>
      <c r="C138" s="1456" t="s">
        <v>452</v>
      </c>
      <c r="D138" s="1490"/>
      <c r="E138" s="1458"/>
      <c r="F138" s="1457"/>
      <c r="G138" s="1457"/>
      <c r="H138" s="1457"/>
      <c r="I138" s="1447"/>
      <c r="J138" s="1447"/>
      <c r="K138" s="1509"/>
      <c r="L138" s="1484"/>
    </row>
    <row r="139" spans="1:12">
      <c r="A139" s="1454"/>
      <c r="B139" s="1468"/>
      <c r="C139" s="1456" t="s">
        <v>451</v>
      </c>
      <c r="D139" s="1490"/>
      <c r="E139" s="1455"/>
      <c r="F139" s="1455"/>
      <c r="G139" s="1455"/>
      <c r="H139" s="1455"/>
      <c r="I139" s="1447"/>
      <c r="J139" s="1447"/>
      <c r="L139" s="1484"/>
    </row>
    <row r="140" spans="1:12">
      <c r="A140" s="1454"/>
      <c r="B140" s="1454"/>
      <c r="C140" s="1456" t="s">
        <v>1947</v>
      </c>
      <c r="D140" s="1490"/>
      <c r="E140" s="1455"/>
      <c r="F140" s="1455"/>
      <c r="G140" s="1455"/>
      <c r="H140" s="1455"/>
      <c r="I140" s="1447"/>
      <c r="J140" s="1447"/>
      <c r="L140" s="1484"/>
    </row>
    <row r="141" spans="1:12">
      <c r="A141" s="1447"/>
      <c r="B141" s="1447"/>
      <c r="C141" s="1447"/>
      <c r="D141" s="1443"/>
      <c r="E141" s="1450"/>
      <c r="F141" s="1450"/>
      <c r="G141" s="1443"/>
      <c r="H141" s="1443"/>
      <c r="I141" s="1447"/>
      <c r="J141" s="1447"/>
      <c r="K141" s="1485"/>
      <c r="L141" s="1484"/>
    </row>
    <row r="142" spans="1:12">
      <c r="A142" s="1487"/>
      <c r="B142" s="1487"/>
      <c r="C142" s="1487"/>
      <c r="D142" s="1487"/>
      <c r="E142" s="1487"/>
      <c r="F142" s="1487"/>
      <c r="G142" s="1487"/>
      <c r="H142" s="1487"/>
      <c r="I142" s="1487"/>
      <c r="J142" s="1487"/>
      <c r="K142" s="1485"/>
      <c r="L142" s="1484"/>
    </row>
    <row r="143" spans="1:12">
      <c r="C143" s="1443" t="s">
        <v>1992</v>
      </c>
      <c r="D143" s="1487"/>
      <c r="E143" s="1448"/>
      <c r="F143" s="1448"/>
      <c r="G143" s="1448"/>
      <c r="H143" s="1448"/>
      <c r="I143" s="1448"/>
      <c r="J143" s="1448"/>
      <c r="K143" s="1485"/>
      <c r="L143" s="1484"/>
    </row>
    <row r="144" spans="1:12">
      <c r="C144" s="1448"/>
      <c r="D144" s="1487"/>
      <c r="E144" s="1448"/>
      <c r="F144" s="1448"/>
      <c r="G144" s="1448"/>
      <c r="H144" s="1448"/>
      <c r="I144" s="1448"/>
      <c r="J144" s="1448"/>
      <c r="K144" s="1485"/>
      <c r="L144" s="1484"/>
    </row>
    <row r="145" spans="3:12" ht="15.75" customHeight="1">
      <c r="C145" s="2298" t="s">
        <v>1991</v>
      </c>
      <c r="D145" s="2299"/>
      <c r="E145" s="2300"/>
      <c r="F145" s="1507">
        <v>6.5000000000000002E-2</v>
      </c>
      <c r="G145" s="1506" t="s">
        <v>370</v>
      </c>
      <c r="H145" s="1449"/>
      <c r="I145" s="1448"/>
      <c r="J145" s="1448"/>
      <c r="K145" s="1485"/>
      <c r="L145" s="1484"/>
    </row>
    <row r="146" spans="3:12" ht="15.75" customHeight="1">
      <c r="C146" s="2298" t="s">
        <v>1990</v>
      </c>
      <c r="D146" s="2299"/>
      <c r="E146" s="2300"/>
      <c r="F146" s="1507">
        <v>4.9000000000000002E-2</v>
      </c>
      <c r="G146" s="1506" t="s">
        <v>370</v>
      </c>
      <c r="H146" s="1448"/>
      <c r="I146" s="1448"/>
      <c r="J146" s="1448"/>
      <c r="K146" s="1485"/>
      <c r="L146" s="1484"/>
    </row>
    <row r="147" spans="3:12" ht="15.75" customHeight="1">
      <c r="C147" s="2298" t="s">
        <v>1989</v>
      </c>
      <c r="D147" s="2299"/>
      <c r="E147" s="2300"/>
      <c r="F147" s="2308" t="s">
        <v>1988</v>
      </c>
      <c r="G147" s="2309"/>
      <c r="H147" s="1448"/>
      <c r="I147" s="1448"/>
      <c r="J147" s="1448"/>
      <c r="K147" s="1485"/>
      <c r="L147" s="1484"/>
    </row>
    <row r="148" spans="3:12" ht="15.75" customHeight="1">
      <c r="C148" s="2298" t="s">
        <v>1987</v>
      </c>
      <c r="D148" s="2299"/>
      <c r="E148" s="2300"/>
      <c r="F148" s="1507">
        <v>6.3E-2</v>
      </c>
      <c r="G148" s="1506"/>
      <c r="H148" s="1448"/>
      <c r="I148" s="1448"/>
      <c r="J148" s="1448"/>
      <c r="K148" s="1485"/>
      <c r="L148" s="1484"/>
    </row>
    <row r="149" spans="3:12">
      <c r="C149" s="1505" t="s">
        <v>1782</v>
      </c>
      <c r="D149" s="1443"/>
      <c r="E149" s="1443"/>
      <c r="F149" s="1448"/>
      <c r="G149" s="1448"/>
      <c r="H149" s="1448"/>
      <c r="I149" s="1448"/>
      <c r="J149" s="1448"/>
      <c r="K149" s="1485"/>
      <c r="L149" s="1484"/>
    </row>
    <row r="150" spans="3:12">
      <c r="C150" s="1486"/>
      <c r="D150" s="1443"/>
      <c r="E150" s="1443"/>
      <c r="F150" s="1448"/>
      <c r="G150" s="1448"/>
      <c r="H150" s="1448"/>
      <c r="I150" s="1448"/>
      <c r="J150" s="1448"/>
      <c r="K150" s="1485"/>
      <c r="L150" s="1484"/>
    </row>
    <row r="151" spans="3:12">
      <c r="C151" s="1496" t="s">
        <v>1986</v>
      </c>
      <c r="D151" s="1443"/>
      <c r="E151" s="1504"/>
      <c r="F151" s="1448"/>
      <c r="G151" s="1448"/>
      <c r="H151" s="1448"/>
      <c r="I151" s="1448"/>
      <c r="J151" s="1448"/>
      <c r="K151" s="1485"/>
      <c r="L151" s="1484"/>
    </row>
    <row r="152" spans="3:12">
      <c r="C152" s="1495"/>
      <c r="D152" s="1443"/>
      <c r="E152" s="1504"/>
      <c r="F152" s="1448"/>
      <c r="G152" s="1448"/>
      <c r="H152" s="1448"/>
      <c r="I152" s="1448"/>
      <c r="J152" s="1448"/>
      <c r="K152" s="1485"/>
      <c r="L152" s="1484"/>
    </row>
    <row r="153" spans="3:12">
      <c r="C153" s="1503"/>
      <c r="D153" s="1490"/>
      <c r="E153" s="1492">
        <v>2022</v>
      </c>
      <c r="F153" s="1448"/>
      <c r="G153" s="1448"/>
      <c r="H153" s="1448"/>
      <c r="I153" s="1448"/>
      <c r="J153" s="1448"/>
      <c r="K153" s="1485"/>
      <c r="L153" s="1484"/>
    </row>
    <row r="154" spans="3:12" ht="46.5" customHeight="1">
      <c r="C154" s="2310" t="s">
        <v>1985</v>
      </c>
      <c r="D154" s="2311"/>
      <c r="E154" s="1488">
        <v>1106700</v>
      </c>
      <c r="F154" s="1448"/>
      <c r="G154" s="1448"/>
      <c r="H154" s="1448"/>
      <c r="I154" s="1448"/>
      <c r="J154" s="1448"/>
      <c r="K154" s="1485"/>
      <c r="L154" s="1484"/>
    </row>
    <row r="155" spans="3:12">
      <c r="C155" s="1498" t="s">
        <v>1984</v>
      </c>
      <c r="D155" s="1490"/>
      <c r="E155" s="1488">
        <v>85262</v>
      </c>
      <c r="F155" s="1502"/>
      <c r="G155" s="1501"/>
      <c r="H155" s="1501"/>
      <c r="I155" s="1501"/>
      <c r="J155" s="1501"/>
      <c r="K155" s="1500"/>
      <c r="L155" s="1484"/>
    </row>
    <row r="156" spans="3:12">
      <c r="C156" s="1498" t="s">
        <v>1983</v>
      </c>
      <c r="D156" s="1490"/>
      <c r="E156" s="1488">
        <v>-84000</v>
      </c>
      <c r="F156" s="1502"/>
      <c r="G156" s="1501"/>
      <c r="H156" s="1501"/>
      <c r="I156" s="1501"/>
      <c r="J156" s="1501"/>
      <c r="K156" s="1500"/>
      <c r="L156" s="1484"/>
    </row>
    <row r="157" spans="3:12">
      <c r="C157" s="1498" t="s">
        <v>1982</v>
      </c>
      <c r="D157" s="1490"/>
      <c r="E157" s="1488">
        <v>39600</v>
      </c>
      <c r="F157" s="1448"/>
      <c r="G157" s="1499"/>
      <c r="H157" s="1448"/>
      <c r="I157" s="1448"/>
      <c r="J157" s="1448"/>
      <c r="K157" s="1485"/>
      <c r="L157" s="1484"/>
    </row>
    <row r="158" spans="3:12">
      <c r="C158" s="1498" t="s">
        <v>1981</v>
      </c>
      <c r="D158" s="1490"/>
      <c r="E158" s="1488">
        <v>-45000</v>
      </c>
      <c r="F158" s="1448"/>
      <c r="G158" s="1448"/>
      <c r="H158" s="1448"/>
      <c r="I158" s="1448"/>
      <c r="J158" s="1448"/>
      <c r="K158" s="1485"/>
      <c r="L158" s="1484"/>
    </row>
    <row r="159" spans="3:12">
      <c r="C159" s="1498" t="s">
        <v>1980</v>
      </c>
      <c r="D159" s="1490"/>
      <c r="E159" s="1488">
        <v>190000</v>
      </c>
      <c r="F159" s="1448"/>
      <c r="G159" s="1448"/>
      <c r="H159" s="1448"/>
      <c r="I159" s="1448"/>
      <c r="J159" s="1448"/>
      <c r="K159" s="1485"/>
      <c r="L159" s="1484"/>
    </row>
    <row r="160" spans="3:12">
      <c r="C160" s="1498" t="s">
        <v>1979</v>
      </c>
      <c r="D160" s="1490"/>
      <c r="E160" s="1488">
        <f>SUM(E154:E159)</f>
        <v>1292562</v>
      </c>
      <c r="F160" s="1448"/>
      <c r="G160" s="1448"/>
      <c r="H160" s="1448"/>
      <c r="I160" s="1448"/>
      <c r="J160" s="1448"/>
      <c r="K160" s="1485"/>
      <c r="L160" s="1484"/>
    </row>
    <row r="161" spans="3:12">
      <c r="C161" s="1497" t="s">
        <v>1978</v>
      </c>
      <c r="D161" s="1443"/>
      <c r="E161" s="1443"/>
      <c r="F161" s="1448"/>
      <c r="G161" s="1448"/>
      <c r="H161" s="1448"/>
      <c r="I161" s="1448"/>
      <c r="J161" s="1448"/>
      <c r="K161" s="1485"/>
      <c r="L161" s="1484"/>
    </row>
    <row r="162" spans="3:12">
      <c r="C162" s="1486"/>
      <c r="D162" s="1443"/>
      <c r="E162" s="1443"/>
      <c r="F162" s="1448"/>
      <c r="G162" s="1448"/>
      <c r="H162" s="1448"/>
      <c r="I162" s="1448"/>
      <c r="J162" s="1448"/>
      <c r="K162" s="1485"/>
      <c r="L162" s="1484"/>
    </row>
    <row r="163" spans="3:12">
      <c r="C163" s="1496" t="s">
        <v>1977</v>
      </c>
      <c r="D163" s="1443"/>
      <c r="E163" s="1443"/>
      <c r="F163" s="1448"/>
      <c r="G163" s="1448"/>
      <c r="H163" s="1448"/>
      <c r="I163" s="1448"/>
      <c r="J163" s="1448"/>
      <c r="K163" s="1485"/>
      <c r="L163" s="1484"/>
    </row>
    <row r="164" spans="3:12">
      <c r="C164" s="1495"/>
      <c r="D164" s="1443"/>
      <c r="E164" s="1443"/>
      <c r="F164" s="1448"/>
      <c r="G164" s="1448"/>
      <c r="H164" s="1448"/>
      <c r="I164" s="1448"/>
      <c r="J164" s="1448"/>
      <c r="K164" s="1485"/>
      <c r="L164" s="1484"/>
    </row>
    <row r="165" spans="3:12">
      <c r="C165" s="1494" t="s">
        <v>390</v>
      </c>
      <c r="D165" s="1490"/>
      <c r="E165" s="1493" t="s">
        <v>389</v>
      </c>
      <c r="F165" s="1492" t="s">
        <v>1016</v>
      </c>
      <c r="G165" s="1448"/>
      <c r="H165" s="1448"/>
      <c r="I165" s="1448"/>
      <c r="J165" s="1487"/>
      <c r="K165" s="1485"/>
    </row>
    <row r="166" spans="3:12">
      <c r="C166" s="1491" t="s">
        <v>388</v>
      </c>
      <c r="D166" s="1490"/>
      <c r="E166" s="1489" t="s">
        <v>386</v>
      </c>
      <c r="F166" s="1488">
        <f>E60</f>
        <v>85000</v>
      </c>
      <c r="G166" s="1448"/>
      <c r="H166" s="1448"/>
      <c r="I166" s="1448"/>
      <c r="J166" s="1487"/>
      <c r="K166" s="1485"/>
    </row>
    <row r="167" spans="3:12">
      <c r="C167" s="1491" t="s">
        <v>377</v>
      </c>
      <c r="D167" s="1490"/>
      <c r="E167" s="1489" t="s">
        <v>386</v>
      </c>
      <c r="F167" s="1488">
        <f>F60*1.025</f>
        <v>143500</v>
      </c>
      <c r="G167" s="1448"/>
      <c r="H167" s="1448"/>
      <c r="I167" s="1448"/>
      <c r="J167" s="1487"/>
      <c r="K167" s="1485"/>
    </row>
    <row r="168" spans="3:12">
      <c r="C168" s="1486"/>
      <c r="D168" s="1448"/>
      <c r="E168" s="1448"/>
      <c r="F168" s="1448"/>
      <c r="G168" s="1448"/>
      <c r="H168" s="1448"/>
      <c r="I168" s="1448"/>
      <c r="J168" s="1448"/>
      <c r="K168" s="1485"/>
      <c r="L168" s="1484"/>
    </row>
    <row r="169" spans="3:12">
      <c r="C169" s="1450" t="s">
        <v>1976</v>
      </c>
      <c r="D169" s="1443"/>
      <c r="E169" s="1443"/>
      <c r="F169" s="1448"/>
      <c r="G169" s="1448"/>
      <c r="H169" s="1448"/>
      <c r="I169" s="1444"/>
      <c r="J169" s="1444"/>
    </row>
    <row r="170" spans="3:12">
      <c r="C170" s="1483"/>
      <c r="D170" s="1443"/>
      <c r="E170" s="1443"/>
      <c r="F170" s="1448"/>
      <c r="G170" s="1448"/>
      <c r="H170" s="1448"/>
      <c r="I170" s="1444"/>
      <c r="J170" s="1444"/>
    </row>
    <row r="171" spans="3:12">
      <c r="C171" s="1475" t="s">
        <v>1002</v>
      </c>
      <c r="D171" s="1443"/>
      <c r="E171" s="1443"/>
      <c r="F171" s="1448"/>
      <c r="G171" s="1448"/>
      <c r="H171" s="1448"/>
      <c r="I171" s="1444"/>
      <c r="J171" s="1444"/>
    </row>
    <row r="172" spans="3:12" ht="15.6" customHeight="1">
      <c r="D172" s="1482"/>
      <c r="E172" s="1482"/>
      <c r="I172" s="1444"/>
      <c r="J172" s="1444"/>
    </row>
    <row r="173" spans="3:12">
      <c r="C173" s="1443"/>
      <c r="D173" s="1481" t="s">
        <v>757</v>
      </c>
      <c r="E173" s="1481" t="s">
        <v>1001</v>
      </c>
      <c r="I173" s="1448"/>
      <c r="J173" s="1448"/>
    </row>
    <row r="174" spans="3:12" ht="18.600000000000001">
      <c r="C174" s="1473" t="s">
        <v>978</v>
      </c>
      <c r="D174" s="1472">
        <v>15.97</v>
      </c>
      <c r="E174" s="1472">
        <v>12.79</v>
      </c>
      <c r="I174" s="1448"/>
      <c r="J174" s="1448"/>
    </row>
    <row r="175" spans="3:12" ht="18.600000000000001">
      <c r="C175" s="1473" t="s">
        <v>1000</v>
      </c>
      <c r="D175" s="1472">
        <v>15.68</v>
      </c>
      <c r="E175" s="1472">
        <v>12.62</v>
      </c>
      <c r="I175" s="1448"/>
      <c r="J175" s="1448"/>
    </row>
    <row r="176" spans="3:12" ht="18.600000000000001">
      <c r="C176" s="1473" t="s">
        <v>999</v>
      </c>
      <c r="D176" s="1472">
        <v>15.39</v>
      </c>
      <c r="E176" s="1472">
        <v>12.44</v>
      </c>
      <c r="I176" s="1480"/>
      <c r="J176" s="1480"/>
    </row>
    <row r="177" spans="3:12" ht="18.600000000000001">
      <c r="C177" s="1473" t="s">
        <v>998</v>
      </c>
      <c r="D177" s="1472">
        <v>15.08</v>
      </c>
      <c r="E177" s="1472">
        <v>12.25</v>
      </c>
      <c r="I177" s="1479"/>
      <c r="J177" s="1479"/>
    </row>
    <row r="178" spans="3:12" ht="18.600000000000001">
      <c r="C178" s="1473" t="s">
        <v>997</v>
      </c>
      <c r="D178" s="1472">
        <v>14.77</v>
      </c>
      <c r="E178" s="1472">
        <v>12.05</v>
      </c>
      <c r="I178" s="1448"/>
      <c r="J178" s="1448"/>
    </row>
    <row r="179" spans="3:12" ht="18.600000000000001">
      <c r="C179" s="1473" t="s">
        <v>996</v>
      </c>
      <c r="D179" s="1472">
        <v>14.44</v>
      </c>
      <c r="E179" s="1472">
        <v>11.85</v>
      </c>
      <c r="I179" s="1448"/>
      <c r="J179" s="1448"/>
    </row>
    <row r="180" spans="3:12" ht="18.600000000000001">
      <c r="C180" s="1473" t="s">
        <v>1960</v>
      </c>
      <c r="D180" s="1472">
        <v>14.11</v>
      </c>
      <c r="E180" s="1472">
        <v>11.63</v>
      </c>
      <c r="I180" s="1478"/>
      <c r="J180" s="1478"/>
    </row>
    <row r="181" spans="3:12" ht="18.600000000000001">
      <c r="C181" s="1473" t="s">
        <v>1975</v>
      </c>
      <c r="D181" s="1472">
        <v>13.77</v>
      </c>
      <c r="E181" s="1472">
        <v>11.41</v>
      </c>
      <c r="I181" s="1478"/>
      <c r="J181" s="1478"/>
    </row>
    <row r="182" spans="3:12" ht="18.600000000000001">
      <c r="C182" s="1473" t="s">
        <v>1974</v>
      </c>
      <c r="D182" s="1472">
        <v>13.42</v>
      </c>
      <c r="E182" s="1472">
        <v>11.18</v>
      </c>
      <c r="I182" s="1448"/>
      <c r="J182" s="1448"/>
      <c r="K182" s="1471"/>
      <c r="L182" s="61"/>
    </row>
    <row r="183" spans="3:12" ht="18.600000000000001">
      <c r="C183" s="1473" t="s">
        <v>1973</v>
      </c>
      <c r="D183" s="1472">
        <v>13.06</v>
      </c>
      <c r="E183" s="1472">
        <v>10.93</v>
      </c>
      <c r="I183" s="1448"/>
      <c r="J183" s="1448"/>
      <c r="K183" s="1471"/>
      <c r="L183" s="61"/>
    </row>
    <row r="184" spans="3:12" ht="18.600000000000001">
      <c r="C184" s="1473" t="s">
        <v>1959</v>
      </c>
      <c r="D184" s="1472">
        <v>12.69</v>
      </c>
      <c r="E184" s="1472">
        <v>10.68</v>
      </c>
      <c r="I184" s="1448"/>
      <c r="J184" s="1448"/>
      <c r="K184" s="1471"/>
      <c r="L184" s="61"/>
    </row>
    <row r="185" spans="3:12" ht="18">
      <c r="C185" s="1477"/>
      <c r="D185" s="1476"/>
      <c r="E185" s="1476"/>
      <c r="I185" s="1448"/>
      <c r="J185" s="1448"/>
      <c r="K185" s="1471"/>
      <c r="L185" s="61"/>
    </row>
    <row r="186" spans="3:12" ht="18">
      <c r="C186" s="1477"/>
      <c r="D186" s="1476"/>
      <c r="E186" s="1476"/>
      <c r="I186" s="1448"/>
      <c r="J186" s="1448"/>
      <c r="K186" s="1471"/>
      <c r="L186" s="61"/>
    </row>
    <row r="187" spans="3:12">
      <c r="C187" s="1443"/>
      <c r="D187" s="1443"/>
      <c r="E187" s="1443"/>
      <c r="I187" s="1448"/>
      <c r="J187" s="1448"/>
      <c r="K187" s="1471"/>
      <c r="L187" s="61"/>
    </row>
    <row r="188" spans="3:12">
      <c r="C188" s="1475" t="s">
        <v>1972</v>
      </c>
      <c r="D188" s="1443"/>
      <c r="E188" s="1443"/>
      <c r="I188" s="1448"/>
      <c r="J188" s="1448"/>
      <c r="K188" s="1471"/>
      <c r="L188" s="61"/>
    </row>
    <row r="189" spans="3:12">
      <c r="C189" s="1443"/>
      <c r="D189" s="1443"/>
      <c r="E189" s="1443"/>
      <c r="I189" s="1448"/>
      <c r="J189" s="1448"/>
      <c r="K189" s="1471"/>
      <c r="L189" s="61"/>
    </row>
    <row r="190" spans="3:12">
      <c r="C190" s="1443"/>
      <c r="D190" s="1474" t="s">
        <v>992</v>
      </c>
      <c r="E190" s="1474" t="s">
        <v>991</v>
      </c>
      <c r="I190" s="1448"/>
      <c r="J190" s="1448"/>
      <c r="K190" s="1471"/>
      <c r="L190" s="61"/>
    </row>
    <row r="191" spans="3:12" ht="18.600000000000001">
      <c r="C191" s="1473" t="s">
        <v>1971</v>
      </c>
      <c r="D191" s="1472">
        <v>11.1</v>
      </c>
      <c r="E191" s="1472">
        <v>10.27</v>
      </c>
      <c r="I191" s="1448"/>
      <c r="J191" s="1448"/>
      <c r="K191" s="1471"/>
      <c r="L191" s="61"/>
    </row>
    <row r="192" spans="3:12" ht="18.600000000000001">
      <c r="C192" s="1473" t="s">
        <v>1970</v>
      </c>
      <c r="D192" s="1472">
        <v>10.47</v>
      </c>
      <c r="E192" s="1472">
        <v>9.68</v>
      </c>
      <c r="I192" s="1448"/>
      <c r="J192" s="1448"/>
      <c r="K192" s="1471"/>
      <c r="L192" s="61"/>
    </row>
    <row r="193" spans="3:12" ht="18.600000000000001">
      <c r="C193" s="1473" t="s">
        <v>1969</v>
      </c>
      <c r="D193" s="1472">
        <v>9.8800000000000008</v>
      </c>
      <c r="E193" s="1472">
        <v>9.1300000000000008</v>
      </c>
      <c r="I193" s="1448"/>
      <c r="J193" s="1448"/>
      <c r="K193" s="1471"/>
      <c r="L193" s="61"/>
    </row>
    <row r="194" spans="3:12" ht="18.600000000000001">
      <c r="C194" s="1473" t="s">
        <v>1968</v>
      </c>
      <c r="D194" s="1472">
        <v>9.31</v>
      </c>
      <c r="E194" s="1472">
        <v>8.6</v>
      </c>
      <c r="I194" s="1448"/>
      <c r="J194" s="1448"/>
      <c r="K194" s="1471"/>
      <c r="L194" s="61"/>
    </row>
    <row r="195" spans="3:12" ht="18.600000000000001">
      <c r="C195" s="1473" t="s">
        <v>1967</v>
      </c>
      <c r="D195" s="1472">
        <v>8.77</v>
      </c>
      <c r="E195" s="1472">
        <v>8.09</v>
      </c>
      <c r="I195" s="1448"/>
      <c r="J195" s="1448"/>
      <c r="K195" s="1471"/>
      <c r="L195" s="61"/>
    </row>
    <row r="196" spans="3:12" ht="18.600000000000001">
      <c r="C196" s="1473" t="s">
        <v>1966</v>
      </c>
      <c r="D196" s="1472">
        <v>8.26</v>
      </c>
      <c r="E196" s="1472">
        <v>7.61</v>
      </c>
      <c r="I196" s="1448"/>
      <c r="J196" s="1448"/>
      <c r="K196" s="1471"/>
      <c r="L196" s="61"/>
    </row>
    <row r="197" spans="3:12" ht="18.600000000000001">
      <c r="C197" s="1473" t="s">
        <v>1965</v>
      </c>
      <c r="D197" s="1472">
        <v>7.77</v>
      </c>
      <c r="E197" s="1472">
        <v>7.16</v>
      </c>
      <c r="I197" s="1448"/>
      <c r="J197" s="1448"/>
      <c r="K197" s="1471"/>
      <c r="L197" s="61"/>
    </row>
    <row r="198" spans="3:12" ht="18.600000000000001">
      <c r="C198" s="1473" t="s">
        <v>1964</v>
      </c>
      <c r="D198" s="1472">
        <v>7.31</v>
      </c>
      <c r="E198" s="1472">
        <v>6.73</v>
      </c>
      <c r="I198" s="1448"/>
      <c r="J198" s="1448"/>
      <c r="K198" s="1471"/>
      <c r="L198" s="61"/>
    </row>
    <row r="199" spans="3:12" ht="18.600000000000001">
      <c r="C199" s="1473" t="s">
        <v>1963</v>
      </c>
      <c r="D199" s="1472">
        <v>6.86</v>
      </c>
      <c r="E199" s="1472">
        <v>6.31</v>
      </c>
      <c r="I199" s="1448"/>
      <c r="J199" s="1448"/>
      <c r="K199" s="1471"/>
      <c r="L199" s="61"/>
    </row>
    <row r="200" spans="3:12" ht="18.600000000000001">
      <c r="C200" s="1473" t="s">
        <v>1962</v>
      </c>
      <c r="D200" s="1472">
        <v>6.44</v>
      </c>
      <c r="E200" s="1472">
        <v>5.92</v>
      </c>
      <c r="I200" s="1448"/>
      <c r="J200" s="1448"/>
      <c r="K200" s="1471"/>
      <c r="L200" s="61"/>
    </row>
    <row r="201" spans="3:12" ht="18.600000000000001">
      <c r="C201" s="1473" t="s">
        <v>1961</v>
      </c>
      <c r="D201" s="1472">
        <v>6.04</v>
      </c>
      <c r="E201" s="1472">
        <v>5.55</v>
      </c>
      <c r="I201" s="1448"/>
      <c r="J201" s="1448"/>
      <c r="K201" s="1471"/>
      <c r="L201" s="61"/>
    </row>
    <row r="202" spans="3:12" ht="18.600000000000001">
      <c r="C202" s="1473" t="s">
        <v>1000</v>
      </c>
      <c r="D202" s="1472">
        <v>15.81</v>
      </c>
      <c r="E202" s="1472">
        <v>15.05</v>
      </c>
      <c r="I202" s="1448"/>
      <c r="J202" s="1448"/>
      <c r="K202" s="1471"/>
      <c r="L202" s="61"/>
    </row>
    <row r="203" spans="3:12" ht="18.600000000000001">
      <c r="C203" s="1473" t="s">
        <v>999</v>
      </c>
      <c r="D203" s="1472">
        <v>15.54</v>
      </c>
      <c r="E203" s="1472">
        <v>14.79</v>
      </c>
      <c r="I203" s="1448"/>
      <c r="J203" s="1448"/>
      <c r="K203" s="1471"/>
      <c r="L203" s="61"/>
    </row>
    <row r="204" spans="3:12" ht="18.600000000000001">
      <c r="C204" s="1473" t="s">
        <v>998</v>
      </c>
      <c r="D204" s="1472">
        <v>15.25</v>
      </c>
      <c r="E204" s="1472">
        <v>14.53</v>
      </c>
      <c r="I204" s="1448"/>
      <c r="J204" s="1448"/>
      <c r="K204" s="1471"/>
      <c r="L204" s="61"/>
    </row>
    <row r="205" spans="3:12" ht="18.600000000000001">
      <c r="C205" s="1473" t="s">
        <v>997</v>
      </c>
      <c r="D205" s="1472">
        <v>14.96</v>
      </c>
      <c r="E205" s="1472">
        <v>14.26</v>
      </c>
      <c r="I205" s="1448"/>
      <c r="J205" s="1448"/>
      <c r="K205" s="1471"/>
      <c r="L205" s="61"/>
    </row>
    <row r="206" spans="3:12" ht="18.600000000000001">
      <c r="C206" s="1473" t="s">
        <v>996</v>
      </c>
      <c r="D206" s="1472">
        <v>14.66</v>
      </c>
      <c r="E206" s="1472">
        <v>13.98</v>
      </c>
      <c r="I206" s="1448"/>
      <c r="J206" s="1448"/>
      <c r="K206" s="1471"/>
      <c r="L206" s="61"/>
    </row>
    <row r="207" spans="3:12" ht="18.600000000000001">
      <c r="C207" s="1473" t="s">
        <v>1960</v>
      </c>
      <c r="D207" s="1472">
        <v>14.34</v>
      </c>
      <c r="E207" s="1472">
        <v>13.7</v>
      </c>
      <c r="I207" s="1448"/>
      <c r="J207" s="1448"/>
      <c r="K207" s="1471"/>
      <c r="L207" s="61"/>
    </row>
    <row r="208" spans="3:12" ht="18.600000000000001">
      <c r="C208" s="1473" t="s">
        <v>1959</v>
      </c>
      <c r="D208" s="1472">
        <v>12.99</v>
      </c>
      <c r="E208" s="1472">
        <v>12.45</v>
      </c>
      <c r="I208" s="1448"/>
      <c r="J208" s="1448"/>
      <c r="K208" s="1471"/>
      <c r="L208" s="61"/>
    </row>
    <row r="209" spans="1:12">
      <c r="I209" s="1448"/>
      <c r="J209" s="1448"/>
      <c r="K209" s="1471"/>
      <c r="L209" s="61"/>
    </row>
    <row r="210" spans="1:12">
      <c r="I210" s="1448"/>
      <c r="J210" s="1448"/>
      <c r="K210" s="1471"/>
      <c r="L210" s="61"/>
    </row>
    <row r="211" spans="1:12">
      <c r="A211" s="1470" t="s">
        <v>38</v>
      </c>
      <c r="B211" s="1468"/>
      <c r="C211" s="1450" t="s">
        <v>1958</v>
      </c>
      <c r="D211" s="1443"/>
      <c r="E211" s="1450"/>
      <c r="F211" s="1443"/>
      <c r="G211" s="1443"/>
      <c r="H211" s="1443"/>
      <c r="I211" s="1443"/>
      <c r="J211" s="1443"/>
    </row>
    <row r="212" spans="1:12">
      <c r="A212" s="1447"/>
      <c r="B212" s="1454"/>
      <c r="C212" s="1443"/>
      <c r="D212" s="1443"/>
      <c r="E212" s="1443"/>
      <c r="F212" s="1443"/>
      <c r="G212" s="1443"/>
      <c r="H212" s="1443"/>
      <c r="I212" s="1443"/>
      <c r="J212" s="1443"/>
    </row>
    <row r="213" spans="1:12">
      <c r="A213" s="1447"/>
      <c r="B213" s="1454"/>
      <c r="C213" s="1466" t="s">
        <v>399</v>
      </c>
      <c r="D213" s="1465"/>
      <c r="E213" s="1465"/>
      <c r="F213" s="1465"/>
      <c r="G213" s="1465"/>
      <c r="H213" s="1464"/>
      <c r="I213" s="1463"/>
      <c r="J213" s="1443"/>
    </row>
    <row r="214" spans="1:12">
      <c r="A214" s="1447"/>
      <c r="B214" s="1454"/>
      <c r="C214" s="1443"/>
      <c r="D214" s="1443"/>
      <c r="E214" s="1443"/>
      <c r="F214" s="1443"/>
      <c r="G214" s="1443"/>
      <c r="H214" s="1443"/>
      <c r="I214" s="1443"/>
      <c r="J214" s="1443"/>
    </row>
    <row r="215" spans="1:12">
      <c r="A215" s="1447"/>
      <c r="B215" s="1454"/>
      <c r="C215" s="1450" t="s">
        <v>1957</v>
      </c>
      <c r="D215" s="1443"/>
      <c r="E215" s="1443"/>
      <c r="F215" s="668"/>
      <c r="G215" s="1469"/>
      <c r="H215" s="1443"/>
      <c r="I215" s="1443"/>
      <c r="J215" s="1443"/>
    </row>
    <row r="216" spans="1:12">
      <c r="A216" s="1447"/>
      <c r="B216" s="1454"/>
      <c r="C216" s="1443"/>
      <c r="D216" s="1443"/>
      <c r="E216" s="1443"/>
      <c r="F216" s="1443"/>
      <c r="G216" s="1443"/>
      <c r="H216" s="1443"/>
      <c r="I216" s="1443"/>
      <c r="J216" s="1443"/>
    </row>
    <row r="217" spans="1:12">
      <c r="A217" s="1447"/>
      <c r="B217" s="1454"/>
      <c r="C217" s="1450" t="s">
        <v>1131</v>
      </c>
      <c r="D217" s="1443"/>
      <c r="E217" s="1443"/>
      <c r="F217" s="1462"/>
      <c r="G217" s="1443"/>
      <c r="H217" s="1443"/>
      <c r="I217" s="1443"/>
      <c r="J217" s="1443"/>
    </row>
    <row r="218" spans="1:12">
      <c r="A218" s="1447"/>
      <c r="B218" s="1454"/>
      <c r="C218" s="1443" t="s">
        <v>348</v>
      </c>
      <c r="D218" s="1443"/>
      <c r="E218" s="1443"/>
      <c r="F218" s="1462"/>
      <c r="G218" s="1443"/>
      <c r="H218" s="1443"/>
      <c r="I218" s="1443"/>
      <c r="J218" s="1443"/>
    </row>
    <row r="219" spans="1:12">
      <c r="A219" s="1447"/>
      <c r="B219" s="1454"/>
      <c r="C219" s="1450" t="s">
        <v>347</v>
      </c>
      <c r="D219" s="1443"/>
      <c r="E219" s="1443"/>
      <c r="F219" s="1461">
        <f>F218+F217</f>
        <v>0</v>
      </c>
      <c r="G219" s="1443"/>
      <c r="H219" s="1443"/>
      <c r="I219" s="1443"/>
      <c r="J219" s="1443"/>
    </row>
    <row r="220" spans="1:12">
      <c r="A220" s="1447"/>
      <c r="B220" s="1454"/>
      <c r="C220" s="1443"/>
      <c r="D220" s="1443"/>
      <c r="E220" s="1443"/>
      <c r="F220" s="1443"/>
      <c r="G220" s="1443"/>
      <c r="H220" s="1443"/>
      <c r="I220" s="1443"/>
      <c r="J220" s="1443"/>
    </row>
    <row r="221" spans="1:12">
      <c r="A221" s="1447"/>
      <c r="B221" s="1454"/>
      <c r="C221" s="1450" t="s">
        <v>1956</v>
      </c>
      <c r="D221" s="1443"/>
      <c r="E221" s="1443"/>
      <c r="F221" s="1461">
        <f>F215-F219</f>
        <v>0</v>
      </c>
      <c r="G221" s="1443"/>
      <c r="H221" s="1443"/>
      <c r="I221" s="1443"/>
      <c r="J221" s="1444"/>
    </row>
    <row r="222" spans="1:12">
      <c r="A222" s="1447"/>
      <c r="B222" s="1454"/>
      <c r="C222" s="1447"/>
      <c r="D222" s="1443"/>
      <c r="E222" s="1443"/>
      <c r="F222" s="1443"/>
      <c r="G222" s="1443"/>
      <c r="H222" s="1443"/>
      <c r="I222" s="1443"/>
      <c r="J222" s="1444"/>
    </row>
    <row r="223" spans="1:12">
      <c r="A223" s="1447"/>
      <c r="B223" s="1454"/>
      <c r="C223" s="1443"/>
      <c r="D223" s="1443"/>
      <c r="E223" s="1443"/>
      <c r="F223" s="1443"/>
      <c r="G223" s="1443"/>
      <c r="H223" s="1443"/>
      <c r="I223" s="1443"/>
      <c r="J223" s="1444"/>
    </row>
    <row r="224" spans="1:12">
      <c r="A224" s="1447"/>
      <c r="B224" s="1454"/>
      <c r="C224" s="1450" t="s">
        <v>409</v>
      </c>
      <c r="D224" s="1443"/>
      <c r="E224" s="1443"/>
      <c r="F224" s="668"/>
      <c r="G224" s="1443"/>
      <c r="H224" s="1443"/>
      <c r="I224" s="1443"/>
      <c r="J224" s="1444"/>
    </row>
    <row r="225" spans="1:10">
      <c r="A225" s="1447"/>
      <c r="B225" s="1454"/>
      <c r="C225" s="1450" t="s">
        <v>408</v>
      </c>
      <c r="D225" s="1443"/>
      <c r="E225" s="1450"/>
      <c r="F225" s="668"/>
      <c r="G225" s="1443"/>
      <c r="H225" s="1443"/>
      <c r="I225" s="1443"/>
      <c r="J225" s="1444"/>
    </row>
    <row r="226" spans="1:10">
      <c r="A226" s="1447"/>
      <c r="B226" s="1454"/>
      <c r="C226" s="1443"/>
      <c r="D226" s="1443"/>
      <c r="E226" s="1443"/>
      <c r="F226" s="1443"/>
      <c r="G226" s="1443"/>
      <c r="H226" s="1443"/>
      <c r="I226" s="1443"/>
      <c r="J226" s="1444"/>
    </row>
    <row r="227" spans="1:10">
      <c r="A227" s="1447"/>
      <c r="B227" s="1454"/>
      <c r="C227" s="1450" t="s">
        <v>407</v>
      </c>
      <c r="D227" s="1443"/>
      <c r="E227" s="1443"/>
      <c r="F227" s="1461">
        <f>F224-F225</f>
        <v>0</v>
      </c>
      <c r="G227" s="1447"/>
      <c r="H227" s="1443"/>
      <c r="I227" s="1443"/>
      <c r="J227" s="1444"/>
    </row>
    <row r="228" spans="1:10">
      <c r="A228" s="1447"/>
      <c r="B228" s="1454"/>
      <c r="C228" s="1447"/>
      <c r="D228" s="1443"/>
      <c r="E228" s="1447"/>
      <c r="F228" s="1447"/>
      <c r="G228" s="1447"/>
      <c r="H228" s="1443"/>
      <c r="I228" s="1443"/>
      <c r="J228" s="1444"/>
    </row>
    <row r="229" spans="1:10">
      <c r="A229" s="1447"/>
      <c r="B229" s="1454"/>
      <c r="C229" s="1447"/>
      <c r="D229" s="1443"/>
      <c r="E229" s="1447"/>
      <c r="F229" s="1447"/>
      <c r="G229" s="1447"/>
      <c r="H229" s="1443"/>
      <c r="I229" s="1443"/>
      <c r="J229" s="1443"/>
    </row>
    <row r="230" spans="1:10">
      <c r="A230" s="1453" t="s">
        <v>211</v>
      </c>
      <c r="B230" s="1468"/>
      <c r="C230" s="1450" t="s">
        <v>1955</v>
      </c>
      <c r="D230" s="1443"/>
      <c r="E230" s="1467"/>
      <c r="F230" s="1467"/>
      <c r="G230" s="1467"/>
      <c r="H230" s="1443"/>
      <c r="I230" s="1443"/>
      <c r="J230" s="1443"/>
    </row>
    <row r="231" spans="1:10">
      <c r="A231" s="1447"/>
      <c r="B231" s="1454"/>
      <c r="C231" s="1450"/>
      <c r="D231" s="1443"/>
      <c r="E231" s="1447"/>
      <c r="F231" s="1447"/>
      <c r="G231" s="1447"/>
      <c r="H231" s="1443"/>
      <c r="I231" s="1443"/>
      <c r="J231" s="1443"/>
    </row>
    <row r="232" spans="1:10">
      <c r="A232" s="1447"/>
      <c r="B232" s="1454"/>
      <c r="C232" s="1467"/>
      <c r="D232" s="1443"/>
      <c r="E232" s="1447"/>
      <c r="F232" s="1447"/>
      <c r="G232" s="1447"/>
      <c r="H232" s="1443"/>
      <c r="I232" s="1443"/>
      <c r="J232" s="1443"/>
    </row>
    <row r="233" spans="1:10">
      <c r="A233" s="1447"/>
      <c r="B233" s="1454"/>
      <c r="C233" s="1466" t="s">
        <v>399</v>
      </c>
      <c r="D233" s="1465"/>
      <c r="E233" s="1465"/>
      <c r="F233" s="1465"/>
      <c r="G233" s="1465"/>
      <c r="H233" s="1464"/>
      <c r="I233" s="1463"/>
      <c r="J233" s="1443"/>
    </row>
    <row r="234" spans="1:10">
      <c r="A234" s="1447"/>
      <c r="B234" s="1454"/>
      <c r="C234" s="1443"/>
      <c r="D234" s="1443"/>
      <c r="E234" s="1443"/>
      <c r="F234" s="1443"/>
      <c r="G234" s="1443"/>
      <c r="H234" s="1443"/>
      <c r="I234" s="1443"/>
      <c r="J234" s="1443"/>
    </row>
    <row r="235" spans="1:10">
      <c r="A235" s="1447"/>
      <c r="B235" s="1454"/>
      <c r="C235" s="1450" t="s">
        <v>1954</v>
      </c>
      <c r="D235" s="1443"/>
      <c r="E235" s="1450"/>
      <c r="F235" s="1443"/>
      <c r="G235" s="1443"/>
      <c r="H235" s="1443"/>
      <c r="I235" s="1443"/>
      <c r="J235" s="1443"/>
    </row>
    <row r="236" spans="1:10">
      <c r="A236" s="1447"/>
      <c r="B236" s="1454"/>
      <c r="C236" s="1443" t="s">
        <v>394</v>
      </c>
      <c r="D236" s="1443"/>
      <c r="E236" s="1443"/>
      <c r="F236" s="1462"/>
      <c r="G236" s="1443"/>
      <c r="H236" s="1443"/>
      <c r="I236" s="1443"/>
      <c r="J236" s="1443"/>
    </row>
    <row r="237" spans="1:10">
      <c r="A237" s="1447"/>
      <c r="B237" s="1454"/>
      <c r="C237" s="1443" t="s">
        <v>393</v>
      </c>
      <c r="D237" s="1443"/>
      <c r="E237" s="1443"/>
      <c r="F237" s="1462"/>
      <c r="G237" s="1443"/>
      <c r="H237" s="1443"/>
      <c r="I237" s="1443"/>
      <c r="J237" s="1444"/>
    </row>
    <row r="238" spans="1:10">
      <c r="A238" s="1447"/>
      <c r="B238" s="1454"/>
      <c r="C238" s="1450" t="s">
        <v>347</v>
      </c>
      <c r="D238" s="1443"/>
      <c r="E238" s="1450"/>
      <c r="F238" s="1461">
        <f>SUM(F236:F237)</f>
        <v>0</v>
      </c>
      <c r="G238" s="1443"/>
      <c r="H238" s="1443"/>
      <c r="I238" s="1443"/>
      <c r="J238" s="1444"/>
    </row>
    <row r="239" spans="1:10">
      <c r="A239" s="1447"/>
      <c r="B239" s="1454"/>
      <c r="C239" s="1450"/>
      <c r="D239" s="1443"/>
      <c r="E239" s="1450"/>
      <c r="F239" s="1460"/>
      <c r="H239" s="1443"/>
      <c r="I239" s="1443"/>
      <c r="J239" s="1444"/>
    </row>
    <row r="240" spans="1:10">
      <c r="A240" s="1447"/>
      <c r="B240" s="1454"/>
      <c r="C240" s="1450" t="s">
        <v>1805</v>
      </c>
      <c r="D240" s="1450"/>
      <c r="E240" s="1450"/>
      <c r="F240" s="1450"/>
      <c r="G240" s="1450"/>
      <c r="H240" s="1447"/>
      <c r="I240" s="1443"/>
      <c r="J240" s="1444"/>
    </row>
    <row r="241" spans="1:14">
      <c r="A241" s="1447"/>
      <c r="B241" s="1454"/>
      <c r="C241" s="1450"/>
      <c r="D241" s="1450"/>
      <c r="E241" s="1450"/>
      <c r="F241" s="1450"/>
      <c r="G241" s="1450"/>
      <c r="H241" s="1447"/>
      <c r="I241" s="1443"/>
      <c r="J241" s="1444"/>
    </row>
    <row r="242" spans="1:14">
      <c r="A242" s="1447"/>
      <c r="B242" s="1454"/>
      <c r="C242" s="1454"/>
      <c r="D242" s="1456" t="s">
        <v>459</v>
      </c>
      <c r="E242" s="1459" t="s">
        <v>632</v>
      </c>
      <c r="F242" s="1456" t="s">
        <v>1953</v>
      </c>
      <c r="G242" s="1456" t="s">
        <v>1952</v>
      </c>
      <c r="H242" s="1456" t="s">
        <v>1951</v>
      </c>
      <c r="I242" s="1443"/>
      <c r="J242" s="1444"/>
    </row>
    <row r="243" spans="1:14">
      <c r="A243" s="1447"/>
      <c r="B243" s="1454"/>
      <c r="C243" s="1454"/>
      <c r="D243" s="1456" t="s">
        <v>1950</v>
      </c>
      <c r="E243" s="1458"/>
      <c r="F243" s="1457"/>
      <c r="G243" s="1457"/>
      <c r="H243" s="1457"/>
      <c r="I243" s="1443"/>
      <c r="J243" s="1444"/>
    </row>
    <row r="244" spans="1:14">
      <c r="A244" s="1447"/>
      <c r="B244" s="1454"/>
      <c r="C244" s="1454"/>
      <c r="D244" s="1456" t="s">
        <v>1949</v>
      </c>
      <c r="E244" s="1458"/>
      <c r="F244" s="1457"/>
      <c r="G244" s="1457"/>
      <c r="H244" s="1457"/>
      <c r="I244" s="1443"/>
      <c r="J244" s="1444"/>
    </row>
    <row r="245" spans="1:14">
      <c r="A245" s="1447"/>
      <c r="B245" s="1454"/>
      <c r="C245" s="1454"/>
      <c r="D245" s="1456" t="s">
        <v>1948</v>
      </c>
      <c r="E245" s="1455"/>
      <c r="F245" s="1455"/>
      <c r="G245" s="1455"/>
      <c r="H245" s="1455"/>
      <c r="I245" s="1443"/>
      <c r="J245" s="1444"/>
    </row>
    <row r="246" spans="1:14">
      <c r="A246" s="1447"/>
      <c r="B246" s="1454"/>
      <c r="C246" s="1454"/>
      <c r="D246" s="1456" t="s">
        <v>452</v>
      </c>
      <c r="E246" s="3"/>
      <c r="F246" s="1455"/>
      <c r="G246" s="1455"/>
      <c r="H246" s="1455"/>
      <c r="I246" s="1443"/>
      <c r="J246" s="1444"/>
    </row>
    <row r="247" spans="1:14">
      <c r="A247" s="1447"/>
      <c r="B247" s="1454"/>
      <c r="C247" s="1454"/>
      <c r="D247" s="1456" t="s">
        <v>451</v>
      </c>
      <c r="E247" s="1455"/>
      <c r="F247" s="1455"/>
      <c r="G247" s="1455"/>
      <c r="H247" s="1455"/>
      <c r="I247" s="1443"/>
      <c r="J247" s="1444"/>
    </row>
    <row r="248" spans="1:14">
      <c r="A248" s="1447"/>
      <c r="B248" s="1454"/>
      <c r="C248" s="1454"/>
      <c r="D248" s="1456" t="s">
        <v>1947</v>
      </c>
      <c r="E248" s="1455"/>
      <c r="F248" s="1455"/>
      <c r="G248" s="1455"/>
      <c r="H248" s="1455"/>
      <c r="I248" s="1443"/>
      <c r="J248" s="1444"/>
    </row>
    <row r="249" spans="1:14">
      <c r="A249" s="1447"/>
      <c r="B249" s="1454"/>
      <c r="C249" s="1447"/>
      <c r="D249" s="1443"/>
      <c r="E249" s="1450"/>
      <c r="F249" s="1443"/>
      <c r="G249" s="1443"/>
      <c r="H249" s="1443"/>
      <c r="I249" s="1443"/>
      <c r="J249" s="1444"/>
    </row>
    <row r="250" spans="1:14">
      <c r="A250" s="1453" t="s">
        <v>345</v>
      </c>
      <c r="B250" s="1443"/>
      <c r="C250" s="1450" t="s">
        <v>1946</v>
      </c>
      <c r="D250" s="1450"/>
      <c r="E250" s="1450"/>
      <c r="F250" s="1443"/>
      <c r="G250" s="1443"/>
      <c r="H250" s="1443"/>
      <c r="I250" s="1443"/>
      <c r="J250" s="1444"/>
      <c r="N250" s="1452"/>
    </row>
    <row r="251" spans="1:14">
      <c r="A251" s="1447"/>
      <c r="B251" s="1443"/>
      <c r="C251" s="1443"/>
      <c r="D251" s="1450"/>
      <c r="E251" s="1450"/>
      <c r="F251" s="1443"/>
      <c r="G251" s="1443"/>
      <c r="H251" s="1443"/>
      <c r="I251" s="1443"/>
      <c r="J251" s="1444"/>
      <c r="N251" s="1451"/>
    </row>
    <row r="252" spans="1:14">
      <c r="A252" s="1447"/>
      <c r="B252" s="1443"/>
      <c r="C252" s="1443"/>
      <c r="D252" s="1450" t="s">
        <v>1945</v>
      </c>
      <c r="E252" s="1450" t="s">
        <v>1944</v>
      </c>
      <c r="F252" s="1450" t="s">
        <v>1943</v>
      </c>
      <c r="G252" s="1449"/>
      <c r="H252" s="1443"/>
      <c r="I252" s="1448"/>
      <c r="J252" s="1444"/>
    </row>
    <row r="253" spans="1:14">
      <c r="A253" s="1447"/>
      <c r="B253" s="1443"/>
      <c r="C253" s="1443"/>
      <c r="D253" s="1446" t="s">
        <v>580</v>
      </c>
      <c r="E253" s="1445">
        <v>127000</v>
      </c>
      <c r="F253" s="2305"/>
      <c r="G253" s="2306"/>
      <c r="H253" s="2307"/>
      <c r="I253" s="1443"/>
      <c r="J253" s="1444"/>
    </row>
    <row r="254" spans="1:14">
      <c r="A254" s="1447"/>
      <c r="B254" s="1443"/>
      <c r="C254" s="1443"/>
      <c r="D254" s="1446" t="s">
        <v>579</v>
      </c>
      <c r="E254" s="1445">
        <v>500000</v>
      </c>
      <c r="F254" s="2305"/>
      <c r="G254" s="2306"/>
      <c r="H254" s="2307"/>
      <c r="I254" s="1443"/>
      <c r="J254" s="1444"/>
    </row>
    <row r="255" spans="1:14">
      <c r="A255" s="1447"/>
      <c r="B255" s="1443"/>
      <c r="C255" s="1443"/>
      <c r="D255" s="1446" t="s">
        <v>796</v>
      </c>
      <c r="E255" s="1445">
        <v>70000</v>
      </c>
      <c r="F255" s="2305"/>
      <c r="G255" s="2306"/>
      <c r="H255" s="2307"/>
      <c r="I255" s="1443"/>
      <c r="J255" s="1444"/>
    </row>
    <row r="256" spans="1:14">
      <c r="A256" s="1447"/>
      <c r="B256" s="1443"/>
      <c r="C256" s="1443"/>
      <c r="D256" s="1446" t="s">
        <v>807</v>
      </c>
      <c r="E256" s="1445">
        <v>-130000</v>
      </c>
      <c r="F256" s="2305"/>
      <c r="G256" s="2306"/>
      <c r="H256" s="2307"/>
      <c r="I256" s="1443"/>
      <c r="J256" s="1444"/>
    </row>
    <row r="257" spans="1:12">
      <c r="A257" s="1447"/>
      <c r="B257" s="1443"/>
      <c r="C257" s="1443"/>
      <c r="D257" s="1446" t="s">
        <v>319</v>
      </c>
      <c r="E257" s="1445">
        <v>-10000</v>
      </c>
      <c r="F257" s="2305"/>
      <c r="G257" s="2306"/>
      <c r="H257" s="2307"/>
      <c r="I257" s="1443"/>
      <c r="J257" s="1444"/>
    </row>
    <row r="258" spans="1:12">
      <c r="B258" s="1443"/>
      <c r="C258" s="1443"/>
      <c r="D258" s="1443"/>
      <c r="E258" s="1443"/>
      <c r="F258" s="1443"/>
      <c r="G258" s="1443"/>
      <c r="H258" s="1443"/>
      <c r="I258" s="1443"/>
      <c r="J258" s="1443"/>
      <c r="K258" s="1442"/>
      <c r="L258"/>
    </row>
    <row r="259" spans="1:12">
      <c r="B259" s="1443"/>
      <c r="C259" s="1443"/>
      <c r="D259" s="1443"/>
      <c r="E259" s="1443"/>
      <c r="F259" s="1443"/>
      <c r="G259" s="1443"/>
      <c r="H259" s="1443"/>
      <c r="I259" s="1443"/>
      <c r="J259" s="1443"/>
      <c r="K259" s="1442"/>
      <c r="L259"/>
    </row>
    <row r="260" spans="1:12">
      <c r="B260" s="1443"/>
      <c r="C260" s="1443"/>
      <c r="D260" s="1443"/>
      <c r="E260" s="1443"/>
      <c r="F260" s="1443"/>
      <c r="G260" s="1443"/>
      <c r="H260" s="1443"/>
      <c r="I260" s="1443"/>
      <c r="J260" s="1443"/>
      <c r="K260" s="1442"/>
    </row>
    <row r="261" spans="1:12">
      <c r="B261" s="1443"/>
      <c r="C261" s="1443"/>
      <c r="D261" s="1443"/>
      <c r="E261" s="1443"/>
      <c r="F261" s="1443"/>
      <c r="G261" s="1443"/>
      <c r="H261" s="1443"/>
      <c r="I261" s="1443"/>
      <c r="J261" s="1443"/>
      <c r="K261" s="1442"/>
    </row>
    <row r="262" spans="1:12">
      <c r="B262" s="1443"/>
      <c r="C262" s="1443"/>
      <c r="D262" s="1443"/>
      <c r="E262" s="1443"/>
      <c r="F262" s="1443"/>
      <c r="G262" s="1443"/>
      <c r="H262" s="1443"/>
      <c r="I262" s="1443"/>
      <c r="J262" s="1443"/>
      <c r="K262" s="1442"/>
    </row>
  </sheetData>
  <mergeCells count="28">
    <mergeCell ref="F254:H254"/>
    <mergeCell ref="F255:H255"/>
    <mergeCell ref="F256:H256"/>
    <mergeCell ref="F257:H257"/>
    <mergeCell ref="C146:E146"/>
    <mergeCell ref="C147:E147"/>
    <mergeCell ref="F147:G147"/>
    <mergeCell ref="C148:E148"/>
    <mergeCell ref="C154:D154"/>
    <mergeCell ref="F253:H253"/>
    <mergeCell ref="C145:E145"/>
    <mergeCell ref="C45:D45"/>
    <mergeCell ref="C46:D46"/>
    <mergeCell ref="F46:G46"/>
    <mergeCell ref="C47:E47"/>
    <mergeCell ref="F47:G47"/>
    <mergeCell ref="F48:G48"/>
    <mergeCell ref="F49:G49"/>
    <mergeCell ref="F50:G50"/>
    <mergeCell ref="F51:G51"/>
    <mergeCell ref="F52:G52"/>
    <mergeCell ref="C75:D75"/>
    <mergeCell ref="F41:G41"/>
    <mergeCell ref="F28:G28"/>
    <mergeCell ref="F30:G30"/>
    <mergeCell ref="F31:G31"/>
    <mergeCell ref="F39:G39"/>
    <mergeCell ref="F40:G40"/>
  </mergeCells>
  <pageMargins left="0.7" right="0.7" top="0.75" bottom="0.75" header="0.3" footer="0.3"/>
  <pageSetup scale="55" fitToHeight="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BCFA9-9B49-43CC-85B0-BEB114D111B2}">
  <dimension ref="A1:M72"/>
  <sheetViews>
    <sheetView zoomScale="80" zoomScaleNormal="80" workbookViewId="0">
      <selection activeCell="O14" sqref="O14"/>
    </sheetView>
  </sheetViews>
  <sheetFormatPr defaultColWidth="8.88671875" defaultRowHeight="15.6"/>
  <cols>
    <col min="1" max="1" width="3.5546875" style="90" customWidth="1"/>
    <col min="2" max="2" width="11.109375" style="90" customWidth="1"/>
    <col min="3" max="3" width="10.6640625" style="90" customWidth="1"/>
    <col min="4" max="4" width="13.5546875" style="90" customWidth="1"/>
    <col min="5" max="9" width="10.6640625" style="90" customWidth="1"/>
    <col min="10" max="10" width="11.5546875" style="90" customWidth="1"/>
    <col min="11" max="12" width="8.88671875" style="3"/>
    <col min="13" max="13" width="14.109375" style="3" bestFit="1" customWidth="1"/>
    <col min="14" max="16384" width="8.88671875" style="3"/>
  </cols>
  <sheetData>
    <row r="1" spans="1:13">
      <c r="A1" s="90" t="s">
        <v>205</v>
      </c>
      <c r="K1" s="3" t="s">
        <v>205</v>
      </c>
    </row>
    <row r="2" spans="1:13">
      <c r="A2" s="90" t="s">
        <v>204</v>
      </c>
      <c r="K2" s="3" t="s">
        <v>204</v>
      </c>
    </row>
    <row r="3" spans="1:13" ht="18.45" customHeight="1">
      <c r="A3" s="106"/>
    </row>
    <row r="4" spans="1:13" ht="18.45" customHeight="1">
      <c r="A4" s="105"/>
      <c r="K4" s="3" t="s">
        <v>203</v>
      </c>
    </row>
    <row r="5" spans="1:13">
      <c r="A5" s="105"/>
      <c r="B5" s="91" t="s">
        <v>202</v>
      </c>
      <c r="C5" s="90" t="s">
        <v>201</v>
      </c>
    </row>
    <row r="6" spans="1:13">
      <c r="C6" s="90" t="s">
        <v>200</v>
      </c>
    </row>
    <row r="8" spans="1:13">
      <c r="C8" s="94" t="s">
        <v>199</v>
      </c>
    </row>
    <row r="9" spans="1:13">
      <c r="C9" s="102" t="s">
        <v>198</v>
      </c>
      <c r="D9" s="100"/>
      <c r="E9" s="1648" t="s">
        <v>197</v>
      </c>
      <c r="F9" s="1649"/>
      <c r="M9" s="104"/>
    </row>
    <row r="10" spans="1:13">
      <c r="C10" s="102" t="s">
        <v>196</v>
      </c>
      <c r="D10" s="100"/>
      <c r="E10" s="1648" t="s">
        <v>195</v>
      </c>
      <c r="F10" s="1649"/>
    </row>
    <row r="11" spans="1:13">
      <c r="C11" s="102" t="s">
        <v>194</v>
      </c>
      <c r="D11" s="100"/>
      <c r="E11" s="1645">
        <v>10</v>
      </c>
      <c r="F11" s="1647"/>
    </row>
    <row r="12" spans="1:13">
      <c r="C12" s="102" t="s">
        <v>193</v>
      </c>
      <c r="D12" s="100"/>
      <c r="E12" s="1645">
        <v>11</v>
      </c>
      <c r="F12" s="1647"/>
    </row>
    <row r="13" spans="1:13">
      <c r="C13" s="102" t="s">
        <v>192</v>
      </c>
      <c r="D13" s="100"/>
      <c r="E13" s="1650">
        <v>25000</v>
      </c>
      <c r="F13" s="1651"/>
    </row>
    <row r="15" spans="1:13">
      <c r="C15" s="94" t="s">
        <v>191</v>
      </c>
    </row>
    <row r="16" spans="1:13">
      <c r="C16" s="1643" t="s">
        <v>190</v>
      </c>
      <c r="D16" s="1643"/>
      <c r="E16" s="1643"/>
      <c r="F16" s="1645" t="s">
        <v>127</v>
      </c>
      <c r="G16" s="1646"/>
      <c r="H16" s="1646"/>
      <c r="I16" s="1646"/>
      <c r="J16" s="1647"/>
    </row>
    <row r="17" spans="3:10">
      <c r="C17" s="1643" t="s">
        <v>189</v>
      </c>
      <c r="D17" s="1643"/>
      <c r="E17" s="1643"/>
      <c r="F17" s="1644" t="s">
        <v>188</v>
      </c>
      <c r="G17" s="1644"/>
      <c r="H17" s="1644"/>
      <c r="I17" s="1644"/>
      <c r="J17" s="1644"/>
    </row>
    <row r="18" spans="3:10">
      <c r="C18" s="1643"/>
      <c r="D18" s="1643"/>
      <c r="E18" s="1643"/>
      <c r="F18" s="1644"/>
      <c r="G18" s="1644"/>
      <c r="H18" s="1644"/>
      <c r="I18" s="1644"/>
      <c r="J18" s="1644"/>
    </row>
    <row r="19" spans="3:10">
      <c r="C19" s="1643" t="s">
        <v>187</v>
      </c>
      <c r="D19" s="1643"/>
      <c r="E19" s="1643"/>
      <c r="F19" s="1645" t="s">
        <v>135</v>
      </c>
      <c r="G19" s="1646"/>
      <c r="H19" s="1646"/>
      <c r="I19" s="1646"/>
      <c r="J19" s="1647"/>
    </row>
    <row r="20" spans="3:10">
      <c r="C20" s="1643" t="s">
        <v>186</v>
      </c>
      <c r="D20" s="1643"/>
      <c r="E20" s="1643"/>
      <c r="F20" s="1644" t="s">
        <v>185</v>
      </c>
      <c r="G20" s="1644"/>
      <c r="H20" s="1644"/>
      <c r="I20" s="1644"/>
      <c r="J20" s="1644"/>
    </row>
    <row r="21" spans="3:10">
      <c r="C21" s="1643"/>
      <c r="D21" s="1643"/>
      <c r="E21" s="1643"/>
      <c r="F21" s="1644"/>
      <c r="G21" s="1644"/>
      <c r="H21" s="1644"/>
      <c r="I21" s="1644"/>
      <c r="J21" s="1644"/>
    </row>
    <row r="22" spans="3:10">
      <c r="C22" s="1643"/>
      <c r="D22" s="1643"/>
      <c r="E22" s="1643"/>
      <c r="F22" s="1644"/>
      <c r="G22" s="1644"/>
      <c r="H22" s="1644"/>
      <c r="I22" s="1644"/>
      <c r="J22" s="1644"/>
    </row>
    <row r="23" spans="3:10">
      <c r="C23" s="1643" t="s">
        <v>184</v>
      </c>
      <c r="D23" s="1643"/>
      <c r="E23" s="1643"/>
      <c r="F23" s="1644" t="s">
        <v>183</v>
      </c>
      <c r="G23" s="1644"/>
      <c r="H23" s="1644"/>
      <c r="I23" s="1644"/>
      <c r="J23" s="1644"/>
    </row>
    <row r="24" spans="3:10">
      <c r="C24" s="1643"/>
      <c r="D24" s="1643"/>
      <c r="E24" s="1643"/>
      <c r="F24" s="1644"/>
      <c r="G24" s="1644"/>
      <c r="H24" s="1644"/>
      <c r="I24" s="1644"/>
      <c r="J24" s="1644"/>
    </row>
    <row r="25" spans="3:10">
      <c r="C25" s="1643"/>
      <c r="D25" s="1643"/>
      <c r="E25" s="1643"/>
      <c r="F25" s="1644"/>
      <c r="G25" s="1644"/>
      <c r="H25" s="1644"/>
      <c r="I25" s="1644"/>
      <c r="J25" s="1644"/>
    </row>
    <row r="26" spans="3:10">
      <c r="C26" s="1643"/>
      <c r="D26" s="1643"/>
      <c r="E26" s="1643"/>
      <c r="F26" s="1644"/>
      <c r="G26" s="1644"/>
      <c r="H26" s="1644"/>
      <c r="I26" s="1644"/>
      <c r="J26" s="1644"/>
    </row>
    <row r="27" spans="3:10">
      <c r="C27" s="1643" t="s">
        <v>182</v>
      </c>
      <c r="D27" s="1643"/>
      <c r="E27" s="1643"/>
      <c r="F27" s="1644" t="s">
        <v>181</v>
      </c>
      <c r="G27" s="1644"/>
      <c r="H27" s="1644"/>
      <c r="I27" s="1644"/>
      <c r="J27" s="1644"/>
    </row>
    <row r="28" spans="3:10">
      <c r="C28" s="1643"/>
      <c r="D28" s="1643"/>
      <c r="E28" s="1643"/>
      <c r="F28" s="1644"/>
      <c r="G28" s="1644"/>
      <c r="H28" s="1644"/>
      <c r="I28" s="1644"/>
      <c r="J28" s="1644"/>
    </row>
    <row r="29" spans="3:10">
      <c r="C29" s="1643"/>
      <c r="D29" s="1643"/>
      <c r="E29" s="1643"/>
      <c r="F29" s="1644"/>
      <c r="G29" s="1644"/>
      <c r="H29" s="1644"/>
      <c r="I29" s="1644"/>
      <c r="J29" s="1644"/>
    </row>
    <row r="30" spans="3:10">
      <c r="C30" s="1643" t="s">
        <v>180</v>
      </c>
      <c r="D30" s="1643"/>
      <c r="E30" s="1643"/>
      <c r="F30" s="1644" t="s">
        <v>179</v>
      </c>
      <c r="G30" s="1644"/>
      <c r="H30" s="1644"/>
      <c r="I30" s="1644"/>
      <c r="J30" s="1644"/>
    </row>
    <row r="32" spans="3:10">
      <c r="C32" s="94" t="s">
        <v>178</v>
      </c>
    </row>
    <row r="33" spans="3:10">
      <c r="C33" s="1642" t="s">
        <v>103</v>
      </c>
      <c r="D33" s="1636" t="s">
        <v>177</v>
      </c>
      <c r="E33" s="1636" t="s">
        <v>176</v>
      </c>
      <c r="F33" s="1636" t="s">
        <v>175</v>
      </c>
      <c r="G33" s="1636" t="s">
        <v>115</v>
      </c>
      <c r="H33" s="1636" t="s">
        <v>114</v>
      </c>
      <c r="I33" s="1636" t="s">
        <v>102</v>
      </c>
      <c r="J33" s="1636" t="s">
        <v>101</v>
      </c>
    </row>
    <row r="34" spans="3:10">
      <c r="C34" s="1642"/>
      <c r="D34" s="1636"/>
      <c r="E34" s="1636"/>
      <c r="F34" s="1636"/>
      <c r="G34" s="1636"/>
      <c r="H34" s="1636"/>
      <c r="I34" s="1636"/>
      <c r="J34" s="1636"/>
    </row>
    <row r="35" spans="3:10">
      <c r="C35" s="1642"/>
      <c r="D35" s="1636"/>
      <c r="E35" s="1636"/>
      <c r="F35" s="1636"/>
      <c r="G35" s="1636"/>
      <c r="H35" s="1636"/>
      <c r="I35" s="1636"/>
      <c r="J35" s="1636"/>
    </row>
    <row r="36" spans="3:10">
      <c r="C36" s="97" t="s">
        <v>174</v>
      </c>
      <c r="D36" s="98">
        <v>1.32E-2</v>
      </c>
      <c r="E36" s="98">
        <v>1.4500000000000001E-2</v>
      </c>
      <c r="F36" s="98">
        <v>1.5E-3</v>
      </c>
      <c r="G36" s="98">
        <v>1.8100000000000002E-2</v>
      </c>
      <c r="H36" s="98">
        <v>2.4199999999999999E-2</v>
      </c>
      <c r="I36" s="98">
        <v>2.2100000000000002E-2</v>
      </c>
      <c r="J36" s="98">
        <v>2.9399999999999999E-2</v>
      </c>
    </row>
    <row r="37" spans="3:10">
      <c r="C37" s="97" t="s">
        <v>173</v>
      </c>
      <c r="D37" s="98">
        <v>1.6299999999999999E-2</v>
      </c>
      <c r="E37" s="98">
        <v>1.67E-2</v>
      </c>
      <c r="F37" s="98">
        <v>3.2000000000000002E-3</v>
      </c>
      <c r="G37" s="98">
        <v>2.24E-2</v>
      </c>
      <c r="H37" s="98">
        <v>2.9899999999999999E-2</v>
      </c>
      <c r="I37" s="98">
        <v>2.5399999999999999E-2</v>
      </c>
      <c r="J37" s="98">
        <v>3.39E-2</v>
      </c>
    </row>
    <row r="38" spans="3:10">
      <c r="C38" s="97" t="s">
        <v>172</v>
      </c>
      <c r="D38" s="98">
        <v>1.4999999999999999E-2</v>
      </c>
      <c r="E38" s="98">
        <v>1.5800000000000002E-2</v>
      </c>
      <c r="F38" s="98">
        <v>3.0999999999999999E-3</v>
      </c>
      <c r="G38" s="98">
        <v>2.06E-2</v>
      </c>
      <c r="H38" s="98">
        <v>2.75E-2</v>
      </c>
      <c r="I38" s="98">
        <v>2.4E-2</v>
      </c>
      <c r="J38" s="98">
        <v>3.2099999999999997E-2</v>
      </c>
    </row>
    <row r="40" spans="3:10">
      <c r="C40" s="1636" t="s">
        <v>103</v>
      </c>
      <c r="D40" s="1636" t="s">
        <v>113</v>
      </c>
      <c r="E40" s="1639" t="s">
        <v>100</v>
      </c>
      <c r="F40" s="1640"/>
      <c r="G40" s="1641"/>
    </row>
    <row r="41" spans="3:10">
      <c r="C41" s="1636"/>
      <c r="D41" s="1636"/>
      <c r="E41" s="1639"/>
      <c r="F41" s="1640"/>
      <c r="G41" s="1641"/>
    </row>
    <row r="42" spans="3:10">
      <c r="C42" s="1636"/>
      <c r="D42" s="1636"/>
      <c r="E42" s="1639"/>
      <c r="F42" s="1640"/>
      <c r="G42" s="1641"/>
    </row>
    <row r="43" spans="3:10">
      <c r="C43" s="97" t="s">
        <v>174</v>
      </c>
      <c r="D43" s="96">
        <v>1.38E-2</v>
      </c>
      <c r="E43" s="1637">
        <v>1.5299999999999999E-2</v>
      </c>
      <c r="F43" s="1638"/>
      <c r="G43" s="95"/>
    </row>
    <row r="44" spans="3:10">
      <c r="C44" s="97" t="s">
        <v>173</v>
      </c>
      <c r="D44" s="96">
        <v>1.7100000000000001E-2</v>
      </c>
      <c r="E44" s="1637">
        <v>1.7600000000000001E-2</v>
      </c>
      <c r="F44" s="1638"/>
      <c r="G44" s="95"/>
    </row>
    <row r="45" spans="3:10">
      <c r="C45" s="97" t="s">
        <v>172</v>
      </c>
      <c r="D45" s="96">
        <v>1.5699999999999999E-2</v>
      </c>
      <c r="E45" s="1637">
        <v>1.67E-2</v>
      </c>
      <c r="F45" s="1638"/>
      <c r="G45" s="95"/>
    </row>
    <row r="47" spans="3:10">
      <c r="C47" s="94" t="s">
        <v>171</v>
      </c>
    </row>
    <row r="48" spans="3:10" ht="19.8">
      <c r="C48" s="93" t="s">
        <v>170</v>
      </c>
      <c r="D48" s="92">
        <v>23.9</v>
      </c>
    </row>
    <row r="49" spans="2:10" ht="19.8">
      <c r="C49" s="93" t="s">
        <v>169</v>
      </c>
      <c r="D49" s="92">
        <v>22.9</v>
      </c>
    </row>
    <row r="50" spans="2:10" ht="19.8">
      <c r="C50" s="93" t="s">
        <v>168</v>
      </c>
      <c r="D50" s="92">
        <v>22</v>
      </c>
    </row>
    <row r="51" spans="2:10" ht="19.8">
      <c r="C51" s="93" t="s">
        <v>167</v>
      </c>
      <c r="D51" s="92">
        <v>21</v>
      </c>
    </row>
    <row r="52" spans="2:10" ht="19.8">
      <c r="C52" s="93" t="s">
        <v>166</v>
      </c>
      <c r="D52" s="92">
        <v>20</v>
      </c>
    </row>
    <row r="53" spans="2:10" ht="19.8">
      <c r="C53" s="93" t="s">
        <v>165</v>
      </c>
      <c r="D53" s="92">
        <v>19.2</v>
      </c>
    </row>
    <row r="54" spans="2:10" ht="19.8">
      <c r="C54" s="93" t="s">
        <v>164</v>
      </c>
      <c r="D54" s="92">
        <v>18.3</v>
      </c>
    </row>
    <row r="55" spans="2:10" ht="19.8">
      <c r="C55" s="93" t="s">
        <v>163</v>
      </c>
      <c r="D55" s="92">
        <v>17.399999999999999</v>
      </c>
    </row>
    <row r="56" spans="2:10" ht="19.8">
      <c r="C56" s="93" t="s">
        <v>162</v>
      </c>
      <c r="D56" s="92">
        <v>16.5</v>
      </c>
    </row>
    <row r="57" spans="2:10" ht="19.8">
      <c r="C57" s="93" t="s">
        <v>161</v>
      </c>
      <c r="D57" s="92">
        <v>15.7</v>
      </c>
    </row>
    <row r="58" spans="2:10" ht="19.8">
      <c r="C58" s="93" t="s">
        <v>160</v>
      </c>
      <c r="D58" s="92">
        <v>14.9</v>
      </c>
    </row>
    <row r="61" spans="2:10">
      <c r="B61" s="90" t="s">
        <v>26</v>
      </c>
      <c r="C61" s="91" t="s">
        <v>71</v>
      </c>
      <c r="D61" s="90" t="s">
        <v>159</v>
      </c>
    </row>
    <row r="62" spans="2:10">
      <c r="D62" s="90" t="s">
        <v>158</v>
      </c>
    </row>
    <row r="64" spans="2:10">
      <c r="D64" s="1635" t="s">
        <v>153</v>
      </c>
      <c r="E64" s="1635"/>
      <c r="F64" s="1635"/>
      <c r="G64" s="1635"/>
      <c r="H64" s="1635"/>
      <c r="I64" s="1635"/>
      <c r="J64" s="1635"/>
    </row>
    <row r="66" spans="2:10">
      <c r="B66" s="90" t="s">
        <v>34</v>
      </c>
      <c r="C66" s="91" t="s">
        <v>71</v>
      </c>
      <c r="D66" s="90" t="s">
        <v>157</v>
      </c>
    </row>
    <row r="67" spans="2:10">
      <c r="D67" s="90" t="s">
        <v>156</v>
      </c>
    </row>
    <row r="69" spans="2:10">
      <c r="D69" s="90" t="s">
        <v>155</v>
      </c>
    </row>
    <row r="70" spans="2:10">
      <c r="D70" s="90" t="s">
        <v>154</v>
      </c>
    </row>
    <row r="72" spans="2:10">
      <c r="D72" s="1635" t="s">
        <v>153</v>
      </c>
      <c r="E72" s="1635"/>
      <c r="F72" s="1635"/>
      <c r="G72" s="1635"/>
      <c r="H72" s="1635"/>
      <c r="I72" s="1635"/>
      <c r="J72" s="1635"/>
    </row>
  </sheetData>
  <mergeCells count="36">
    <mergeCell ref="C16:E16"/>
    <mergeCell ref="F16:J16"/>
    <mergeCell ref="E9:F9"/>
    <mergeCell ref="E10:F10"/>
    <mergeCell ref="E11:F11"/>
    <mergeCell ref="E12:F12"/>
    <mergeCell ref="E13:F13"/>
    <mergeCell ref="C17:E18"/>
    <mergeCell ref="F17:J18"/>
    <mergeCell ref="C19:E19"/>
    <mergeCell ref="F19:J19"/>
    <mergeCell ref="C20:E22"/>
    <mergeCell ref="F20:J22"/>
    <mergeCell ref="C23:E26"/>
    <mergeCell ref="F23:J26"/>
    <mergeCell ref="C27:E29"/>
    <mergeCell ref="F27:J29"/>
    <mergeCell ref="C30:E30"/>
    <mergeCell ref="F30:J30"/>
    <mergeCell ref="C40:C42"/>
    <mergeCell ref="D40:D42"/>
    <mergeCell ref="E40:F42"/>
    <mergeCell ref="G40:G42"/>
    <mergeCell ref="C33:C35"/>
    <mergeCell ref="D33:D35"/>
    <mergeCell ref="E33:E35"/>
    <mergeCell ref="F33:F35"/>
    <mergeCell ref="D72:J72"/>
    <mergeCell ref="G33:G35"/>
    <mergeCell ref="H33:H35"/>
    <mergeCell ref="E43:F43"/>
    <mergeCell ref="E44:F44"/>
    <mergeCell ref="E45:F45"/>
    <mergeCell ref="D64:J64"/>
    <mergeCell ref="I33:I35"/>
    <mergeCell ref="J33:J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66A0D-2500-4FCD-B52A-48A8C26636BC}">
  <dimension ref="A1:K81"/>
  <sheetViews>
    <sheetView workbookViewId="0">
      <selection activeCell="O14" sqref="O14"/>
    </sheetView>
  </sheetViews>
  <sheetFormatPr defaultColWidth="8.88671875" defaultRowHeight="15.6"/>
  <cols>
    <col min="1" max="1" width="3.5546875" style="107" customWidth="1"/>
    <col min="2" max="2" width="11.109375" style="107" customWidth="1"/>
    <col min="3" max="3" width="16" style="107" customWidth="1"/>
    <col min="4" max="8" width="12.88671875" style="107" customWidth="1"/>
    <col min="9" max="9" width="13.6640625" style="107" customWidth="1"/>
    <col min="10" max="10" width="4.6640625" style="107" customWidth="1"/>
    <col min="11" max="16384" width="8.88671875" style="3"/>
  </cols>
  <sheetData>
    <row r="1" spans="1:11">
      <c r="A1" s="107" t="s">
        <v>274</v>
      </c>
      <c r="K1" s="3" t="s">
        <v>274</v>
      </c>
    </row>
    <row r="2" spans="1:11">
      <c r="A2" s="107" t="s">
        <v>273</v>
      </c>
      <c r="K2" s="3" t="s">
        <v>273</v>
      </c>
    </row>
    <row r="3" spans="1:11" ht="18.45" customHeight="1">
      <c r="A3" s="128"/>
    </row>
    <row r="4" spans="1:11" ht="18.45" customHeight="1">
      <c r="A4" s="128"/>
      <c r="K4" s="3" t="s">
        <v>272</v>
      </c>
    </row>
    <row r="5" spans="1:11">
      <c r="A5" s="128"/>
      <c r="B5" s="108" t="s">
        <v>271</v>
      </c>
      <c r="C5" s="107" t="s">
        <v>270</v>
      </c>
    </row>
    <row r="7" spans="1:11">
      <c r="C7" s="107" t="s">
        <v>269</v>
      </c>
    </row>
    <row r="9" spans="1:11">
      <c r="C9" s="115" t="s">
        <v>191</v>
      </c>
    </row>
    <row r="10" spans="1:11">
      <c r="C10" s="1667" t="s">
        <v>268</v>
      </c>
      <c r="D10" s="1668"/>
      <c r="E10" s="1667" t="s">
        <v>267</v>
      </c>
      <c r="F10" s="1669"/>
      <c r="G10" s="1669"/>
      <c r="H10" s="1669"/>
      <c r="I10" s="1669"/>
      <c r="J10" s="1668"/>
    </row>
    <row r="11" spans="1:11">
      <c r="C11" s="1673" t="s">
        <v>266</v>
      </c>
      <c r="D11" s="1674"/>
      <c r="E11" s="1677" t="s">
        <v>265</v>
      </c>
      <c r="F11" s="1678"/>
      <c r="G11" s="1678"/>
      <c r="H11" s="1678"/>
      <c r="I11" s="1678"/>
      <c r="J11" s="1679"/>
    </row>
    <row r="12" spans="1:11">
      <c r="C12" s="1675"/>
      <c r="D12" s="1676"/>
      <c r="E12" s="1680"/>
      <c r="F12" s="1681"/>
      <c r="G12" s="1681"/>
      <c r="H12" s="1681"/>
      <c r="I12" s="1681"/>
      <c r="J12" s="1682"/>
    </row>
    <row r="13" spans="1:11">
      <c r="C13" s="1667" t="s">
        <v>264</v>
      </c>
      <c r="D13" s="1668"/>
      <c r="E13" s="1667" t="s">
        <v>127</v>
      </c>
      <c r="F13" s="1669"/>
      <c r="G13" s="1669"/>
      <c r="H13" s="1669"/>
      <c r="I13" s="1669"/>
      <c r="J13" s="1668"/>
    </row>
    <row r="14" spans="1:11">
      <c r="C14" s="1667" t="s">
        <v>263</v>
      </c>
      <c r="D14" s="1668"/>
      <c r="E14" s="1667" t="s">
        <v>135</v>
      </c>
      <c r="F14" s="1669"/>
      <c r="G14" s="1669"/>
      <c r="H14" s="1669"/>
      <c r="I14" s="1669"/>
      <c r="J14" s="1668"/>
    </row>
    <row r="15" spans="1:11">
      <c r="C15" s="1667" t="s">
        <v>262</v>
      </c>
      <c r="D15" s="1668"/>
      <c r="E15" s="1667" t="s">
        <v>261</v>
      </c>
      <c r="F15" s="1669"/>
      <c r="G15" s="1669"/>
      <c r="H15" s="1669"/>
      <c r="I15" s="1669"/>
      <c r="J15" s="1668"/>
    </row>
    <row r="16" spans="1:11">
      <c r="C16" s="1667" t="s">
        <v>260</v>
      </c>
      <c r="D16" s="1668"/>
      <c r="E16" s="1667" t="s">
        <v>259</v>
      </c>
      <c r="F16" s="1669"/>
      <c r="G16" s="1669"/>
      <c r="H16" s="1669"/>
      <c r="I16" s="1669"/>
      <c r="J16" s="1668"/>
    </row>
    <row r="17" spans="3:10">
      <c r="C17" s="1667" t="s">
        <v>258</v>
      </c>
      <c r="D17" s="1668"/>
      <c r="E17" s="1667" t="s">
        <v>257</v>
      </c>
      <c r="F17" s="1669"/>
      <c r="G17" s="1669"/>
      <c r="H17" s="1669"/>
      <c r="I17" s="1669"/>
      <c r="J17" s="1668"/>
    </row>
    <row r="18" spans="3:10">
      <c r="C18" s="1667" t="s">
        <v>256</v>
      </c>
      <c r="D18" s="1668"/>
      <c r="E18" s="1670" t="s">
        <v>255</v>
      </c>
      <c r="F18" s="1671"/>
      <c r="G18" s="1671"/>
      <c r="H18" s="1671"/>
      <c r="I18" s="1671"/>
      <c r="J18" s="1672"/>
    </row>
    <row r="19" spans="3:10">
      <c r="C19" s="1667" t="s">
        <v>254</v>
      </c>
      <c r="D19" s="1668"/>
      <c r="E19" s="1667" t="s">
        <v>253</v>
      </c>
      <c r="F19" s="1669"/>
      <c r="G19" s="1669"/>
      <c r="H19" s="1669"/>
      <c r="I19" s="1669"/>
      <c r="J19" s="1668"/>
    </row>
    <row r="21" spans="3:10">
      <c r="C21" s="115" t="s">
        <v>199</v>
      </c>
    </row>
    <row r="22" spans="3:10">
      <c r="C22" s="125"/>
      <c r="D22" s="127" t="s">
        <v>246</v>
      </c>
      <c r="E22" s="127" t="s">
        <v>245</v>
      </c>
    </row>
    <row r="23" spans="3:10">
      <c r="C23" s="121" t="s">
        <v>252</v>
      </c>
      <c r="D23" s="125">
        <v>35</v>
      </c>
      <c r="E23" s="125">
        <v>45</v>
      </c>
    </row>
    <row r="24" spans="3:10">
      <c r="C24" s="121" t="s">
        <v>251</v>
      </c>
      <c r="D24" s="126">
        <v>85000</v>
      </c>
      <c r="E24" s="126">
        <v>102000</v>
      </c>
    </row>
    <row r="25" spans="3:10">
      <c r="C25" s="121" t="s">
        <v>250</v>
      </c>
      <c r="D25" s="126">
        <v>79000</v>
      </c>
      <c r="E25" s="126">
        <v>100000</v>
      </c>
    </row>
    <row r="26" spans="3:10">
      <c r="C26" s="121" t="s">
        <v>249</v>
      </c>
      <c r="D26" s="126">
        <v>75000</v>
      </c>
      <c r="E26" s="126">
        <v>97500</v>
      </c>
    </row>
    <row r="27" spans="3:10">
      <c r="C27" s="121" t="s">
        <v>248</v>
      </c>
      <c r="D27" s="125">
        <v>9</v>
      </c>
      <c r="E27" s="125">
        <v>11</v>
      </c>
    </row>
    <row r="29" spans="3:10">
      <c r="C29" s="115" t="s">
        <v>247</v>
      </c>
    </row>
    <row r="30" spans="3:10" ht="31.2">
      <c r="C30" s="123" t="s">
        <v>246</v>
      </c>
      <c r="D30" s="122" t="s">
        <v>244</v>
      </c>
      <c r="E30" s="121" t="s">
        <v>243</v>
      </c>
      <c r="F30" s="124"/>
      <c r="G30" s="123" t="s">
        <v>245</v>
      </c>
      <c r="H30" s="122" t="s">
        <v>244</v>
      </c>
      <c r="I30" s="121" t="s">
        <v>243</v>
      </c>
      <c r="J30" s="116"/>
    </row>
    <row r="31" spans="3:10" ht="18.600000000000001">
      <c r="C31" s="118" t="s">
        <v>242</v>
      </c>
      <c r="D31" s="117">
        <v>14.2</v>
      </c>
      <c r="E31" s="117"/>
      <c r="F31" s="119"/>
      <c r="G31" s="118" t="s">
        <v>241</v>
      </c>
      <c r="H31" s="117">
        <v>18.5</v>
      </c>
      <c r="I31" s="117"/>
      <c r="J31" s="116"/>
    </row>
    <row r="32" spans="3:10" ht="18.600000000000001">
      <c r="C32" s="118" t="s">
        <v>240</v>
      </c>
      <c r="D32" s="117">
        <v>13.5</v>
      </c>
      <c r="E32" s="117"/>
      <c r="F32" s="119"/>
      <c r="G32" s="118" t="s">
        <v>239</v>
      </c>
      <c r="H32" s="117">
        <v>17.600000000000001</v>
      </c>
      <c r="I32" s="117"/>
      <c r="J32" s="116"/>
    </row>
    <row r="33" spans="3:10" ht="18.600000000000001">
      <c r="C33" s="118" t="s">
        <v>238</v>
      </c>
      <c r="D33" s="120">
        <v>12.9</v>
      </c>
      <c r="E33" s="117"/>
      <c r="F33" s="119"/>
      <c r="G33" s="118" t="s">
        <v>237</v>
      </c>
      <c r="H33" s="117">
        <v>16.899999999999999</v>
      </c>
      <c r="I33" s="117"/>
      <c r="J33" s="116"/>
    </row>
    <row r="34" spans="3:10" ht="18.600000000000001">
      <c r="C34" s="118" t="s">
        <v>236</v>
      </c>
      <c r="D34" s="117">
        <v>12.4</v>
      </c>
      <c r="E34" s="117"/>
      <c r="F34" s="119"/>
      <c r="G34" s="118" t="s">
        <v>235</v>
      </c>
      <c r="H34" s="117">
        <v>16.100000000000001</v>
      </c>
      <c r="I34" s="117"/>
      <c r="J34" s="116"/>
    </row>
    <row r="35" spans="3:10" ht="18.600000000000001">
      <c r="C35" s="118" t="s">
        <v>234</v>
      </c>
      <c r="D35" s="120">
        <v>11.8</v>
      </c>
      <c r="E35" s="117"/>
      <c r="F35" s="119"/>
      <c r="G35" s="118" t="s">
        <v>233</v>
      </c>
      <c r="H35" s="117">
        <v>15.3</v>
      </c>
      <c r="I35" s="117"/>
      <c r="J35" s="116"/>
    </row>
    <row r="36" spans="3:10" ht="18.600000000000001">
      <c r="C36" s="118" t="s">
        <v>232</v>
      </c>
      <c r="D36" s="120">
        <v>11.2</v>
      </c>
      <c r="E36" s="117"/>
      <c r="F36" s="119"/>
      <c r="G36" s="118" t="s">
        <v>231</v>
      </c>
      <c r="H36" s="120">
        <v>14.6</v>
      </c>
      <c r="I36" s="117"/>
      <c r="J36" s="116"/>
    </row>
    <row r="37" spans="3:10" ht="18.600000000000001">
      <c r="C37" s="118" t="s">
        <v>230</v>
      </c>
      <c r="D37" s="117">
        <v>10.7</v>
      </c>
      <c r="E37" s="117"/>
      <c r="F37" s="119"/>
      <c r="G37" s="118" t="s">
        <v>229</v>
      </c>
      <c r="H37" s="120">
        <v>13.9</v>
      </c>
      <c r="I37" s="117"/>
      <c r="J37" s="116"/>
    </row>
    <row r="38" spans="3:10" ht="18.600000000000001">
      <c r="C38" s="118" t="s">
        <v>228</v>
      </c>
      <c r="D38" s="117">
        <v>10.199999999999999</v>
      </c>
      <c r="E38" s="117">
        <v>1.6</v>
      </c>
      <c r="F38" s="119"/>
      <c r="G38" s="118" t="s">
        <v>227</v>
      </c>
      <c r="H38" s="117">
        <v>13.3</v>
      </c>
      <c r="I38" s="117">
        <v>2.1</v>
      </c>
      <c r="J38" s="116"/>
    </row>
    <row r="39" spans="3:10" ht="18.600000000000001">
      <c r="C39" s="118" t="s">
        <v>226</v>
      </c>
      <c r="D39" s="117">
        <v>9.6999999999999993</v>
      </c>
      <c r="E39" s="117">
        <v>1.1000000000000001</v>
      </c>
      <c r="F39" s="119"/>
      <c r="G39" s="118" t="s">
        <v>225</v>
      </c>
      <c r="H39" s="117">
        <v>12.6</v>
      </c>
      <c r="I39" s="117">
        <v>1.4</v>
      </c>
      <c r="J39" s="116"/>
    </row>
    <row r="40" spans="3:10" ht="18.600000000000001">
      <c r="C40" s="118" t="s">
        <v>224</v>
      </c>
      <c r="D40" s="117">
        <v>9.1999999999999993</v>
      </c>
      <c r="E40" s="117">
        <v>0.5</v>
      </c>
      <c r="F40" s="119"/>
      <c r="G40" s="118" t="s">
        <v>223</v>
      </c>
      <c r="H40" s="120">
        <v>12</v>
      </c>
      <c r="I40" s="117">
        <v>0.7</v>
      </c>
      <c r="J40" s="116"/>
    </row>
    <row r="41" spans="3:10" ht="18.600000000000001">
      <c r="C41" s="118" t="s">
        <v>222</v>
      </c>
      <c r="D41" s="117">
        <v>8.6999999999999993</v>
      </c>
      <c r="E41" s="117">
        <v>0</v>
      </c>
      <c r="F41" s="119"/>
      <c r="G41" s="118" t="s">
        <v>221</v>
      </c>
      <c r="H41" s="117">
        <v>11.3</v>
      </c>
      <c r="I41" s="117">
        <v>0</v>
      </c>
      <c r="J41" s="116"/>
    </row>
    <row r="43" spans="3:10">
      <c r="C43" s="115" t="s">
        <v>178</v>
      </c>
    </row>
    <row r="44" spans="3:10">
      <c r="C44" s="1661" t="s">
        <v>103</v>
      </c>
      <c r="D44" s="1652" t="s">
        <v>220</v>
      </c>
      <c r="E44" s="1652" t="s">
        <v>176</v>
      </c>
      <c r="F44" s="1652" t="s">
        <v>175</v>
      </c>
      <c r="G44" s="113"/>
    </row>
    <row r="45" spans="3:10">
      <c r="C45" s="1662"/>
      <c r="D45" s="1653"/>
      <c r="E45" s="1653"/>
      <c r="F45" s="1653"/>
      <c r="G45" s="113"/>
    </row>
    <row r="46" spans="3:10">
      <c r="C46" s="1663"/>
      <c r="D46" s="1654"/>
      <c r="E46" s="1654"/>
      <c r="F46" s="1654"/>
      <c r="G46" s="113"/>
    </row>
    <row r="47" spans="3:10">
      <c r="C47" s="114">
        <v>44562</v>
      </c>
      <c r="D47" s="109">
        <v>5.1999999999999998E-3</v>
      </c>
      <c r="E47" s="109">
        <v>1.4500000000000001E-2</v>
      </c>
      <c r="F47" s="109">
        <v>-8.0000000000000004E-4</v>
      </c>
      <c r="G47" s="113"/>
    </row>
    <row r="48" spans="3:10">
      <c r="C48" s="114">
        <v>44531</v>
      </c>
      <c r="D48" s="109">
        <v>4.7999999999999996E-3</v>
      </c>
      <c r="E48" s="109">
        <v>1.24E-2</v>
      </c>
      <c r="F48" s="109">
        <v>-2.3999999999999998E-3</v>
      </c>
      <c r="G48" s="113"/>
    </row>
    <row r="49" spans="2:10">
      <c r="C49" s="114">
        <v>44501</v>
      </c>
      <c r="D49" s="109">
        <v>5.1000000000000004E-3</v>
      </c>
      <c r="E49" s="109">
        <v>1.2200000000000001E-2</v>
      </c>
      <c r="F49" s="109">
        <v>-2.5999999999999999E-3</v>
      </c>
      <c r="G49" s="113"/>
    </row>
    <row r="50" spans="2:10">
      <c r="C50" s="112"/>
    </row>
    <row r="51" spans="2:10">
      <c r="C51" s="1664" t="s">
        <v>103</v>
      </c>
      <c r="D51" s="1652" t="s">
        <v>115</v>
      </c>
      <c r="E51" s="1652" t="s">
        <v>102</v>
      </c>
      <c r="F51" s="1652" t="s">
        <v>114</v>
      </c>
      <c r="G51" s="1652" t="s">
        <v>219</v>
      </c>
      <c r="H51" s="1652" t="s">
        <v>113</v>
      </c>
      <c r="I51" s="1652" t="s">
        <v>218</v>
      </c>
    </row>
    <row r="52" spans="2:10">
      <c r="C52" s="1665"/>
      <c r="D52" s="1653"/>
      <c r="E52" s="1653"/>
      <c r="F52" s="1653"/>
      <c r="G52" s="1653"/>
      <c r="H52" s="1653"/>
      <c r="I52" s="1653"/>
    </row>
    <row r="53" spans="2:10">
      <c r="C53" s="1665"/>
      <c r="D53" s="1653"/>
      <c r="E53" s="1653"/>
      <c r="F53" s="1653"/>
      <c r="G53" s="1653"/>
      <c r="H53" s="1653"/>
      <c r="I53" s="1653"/>
    </row>
    <row r="54" spans="2:10">
      <c r="C54" s="1666"/>
      <c r="D54" s="1654"/>
      <c r="E54" s="1654"/>
      <c r="F54" s="1654"/>
      <c r="G54" s="1654"/>
      <c r="H54" s="1654"/>
      <c r="I54" s="1654"/>
    </row>
    <row r="55" spans="2:10">
      <c r="C55" s="111">
        <v>44562</v>
      </c>
      <c r="D55" s="110">
        <v>1.149E-2</v>
      </c>
      <c r="E55" s="110">
        <v>2.1649999999999999E-2</v>
      </c>
      <c r="F55" s="110">
        <v>1.8020000000000001E-2</v>
      </c>
      <c r="G55" s="110">
        <v>2.9940000000000001E-2</v>
      </c>
      <c r="H55" s="109">
        <v>6.8300000000000001E-3</v>
      </c>
      <c r="I55" s="109">
        <v>1.316E-2</v>
      </c>
    </row>
    <row r="56" spans="2:10">
      <c r="C56" s="111">
        <v>44531</v>
      </c>
      <c r="D56" s="110">
        <v>1.1039999999999999E-2</v>
      </c>
      <c r="E56" s="110">
        <v>2.01E-2</v>
      </c>
      <c r="F56" s="110">
        <v>1.8429999999999998E-2</v>
      </c>
      <c r="G56" s="110">
        <v>2.878E-2</v>
      </c>
      <c r="H56" s="109">
        <v>6.1399999999999996E-3</v>
      </c>
      <c r="I56" s="109">
        <v>1.124E-2</v>
      </c>
    </row>
    <row r="57" spans="2:10">
      <c r="C57" s="111">
        <v>44501</v>
      </c>
      <c r="D57" s="110">
        <v>1.191E-2</v>
      </c>
      <c r="E57" s="110">
        <v>2.051E-2</v>
      </c>
      <c r="F57" s="110">
        <v>1.9959999999999999E-2</v>
      </c>
      <c r="G57" s="110">
        <v>2.9569999999999999E-2</v>
      </c>
      <c r="H57" s="109">
        <v>6.0800000000000003E-3</v>
      </c>
      <c r="I57" s="109">
        <v>1.06E-2</v>
      </c>
    </row>
    <row r="59" spans="2:10">
      <c r="B59" s="107" t="s">
        <v>26</v>
      </c>
      <c r="C59" s="108" t="s">
        <v>27</v>
      </c>
      <c r="D59" s="107" t="s">
        <v>217</v>
      </c>
    </row>
    <row r="60" spans="2:10">
      <c r="C60" s="108"/>
      <c r="D60" s="107" t="s">
        <v>216</v>
      </c>
    </row>
    <row r="61" spans="2:10">
      <c r="C61" s="108"/>
    </row>
    <row r="62" spans="2:10">
      <c r="C62" s="108"/>
      <c r="D62" s="1655" t="s">
        <v>29</v>
      </c>
      <c r="E62" s="1656"/>
      <c r="F62" s="1656"/>
      <c r="G62" s="1656"/>
      <c r="H62" s="1656"/>
      <c r="I62" s="1656"/>
      <c r="J62" s="1657"/>
    </row>
    <row r="63" spans="2:10">
      <c r="C63" s="108"/>
      <c r="D63" s="1658"/>
      <c r="E63" s="1659"/>
      <c r="F63" s="1659"/>
      <c r="G63" s="1659"/>
      <c r="H63" s="1659"/>
      <c r="I63" s="1659"/>
      <c r="J63" s="1660"/>
    </row>
    <row r="64" spans="2:10">
      <c r="C64" s="108"/>
    </row>
    <row r="65" spans="2:10">
      <c r="B65" s="107" t="s">
        <v>34</v>
      </c>
      <c r="C65" s="108" t="s">
        <v>27</v>
      </c>
      <c r="D65" s="107" t="s">
        <v>215</v>
      </c>
    </row>
    <row r="66" spans="2:10">
      <c r="D66" s="107" t="s">
        <v>214</v>
      </c>
    </row>
    <row r="68" spans="2:10">
      <c r="D68" s="1655" t="s">
        <v>29</v>
      </c>
      <c r="E68" s="1656"/>
      <c r="F68" s="1656"/>
      <c r="G68" s="1656"/>
      <c r="H68" s="1656"/>
      <c r="I68" s="1656"/>
      <c r="J68" s="1657"/>
    </row>
    <row r="69" spans="2:10">
      <c r="D69" s="1658"/>
      <c r="E69" s="1659"/>
      <c r="F69" s="1659"/>
      <c r="G69" s="1659"/>
      <c r="H69" s="1659"/>
      <c r="I69" s="1659"/>
      <c r="J69" s="1660"/>
    </row>
    <row r="71" spans="2:10">
      <c r="B71" s="107" t="s">
        <v>38</v>
      </c>
      <c r="C71" s="108" t="s">
        <v>27</v>
      </c>
      <c r="D71" s="107" t="s">
        <v>213</v>
      </c>
    </row>
    <row r="72" spans="2:10">
      <c r="D72" s="107" t="s">
        <v>212</v>
      </c>
    </row>
    <row r="74" spans="2:10">
      <c r="D74" s="1655" t="s">
        <v>29</v>
      </c>
      <c r="E74" s="1656"/>
      <c r="F74" s="1656"/>
      <c r="G74" s="1656"/>
      <c r="H74" s="1656"/>
      <c r="I74" s="1656"/>
      <c r="J74" s="1657"/>
    </row>
    <row r="75" spans="2:10">
      <c r="D75" s="1658"/>
      <c r="E75" s="1659"/>
      <c r="F75" s="1659"/>
      <c r="G75" s="1659"/>
      <c r="H75" s="1659"/>
      <c r="I75" s="1659"/>
      <c r="J75" s="1660"/>
    </row>
    <row r="77" spans="2:10">
      <c r="B77" s="107" t="s">
        <v>211</v>
      </c>
      <c r="C77" s="108" t="s">
        <v>210</v>
      </c>
      <c r="D77" s="107" t="s">
        <v>209</v>
      </c>
    </row>
    <row r="78" spans="2:10">
      <c r="D78" s="107" t="s">
        <v>208</v>
      </c>
    </row>
    <row r="79" spans="2:10">
      <c r="D79" s="107" t="s">
        <v>207</v>
      </c>
    </row>
    <row r="81" spans="4:10">
      <c r="D81" s="1635" t="s">
        <v>206</v>
      </c>
      <c r="E81" s="1635"/>
      <c r="F81" s="1635"/>
      <c r="G81" s="1635"/>
      <c r="H81" s="1635"/>
      <c r="I81" s="1635"/>
      <c r="J81" s="1635"/>
    </row>
  </sheetData>
  <mergeCells count="33">
    <mergeCell ref="C10:D10"/>
    <mergeCell ref="E10:J10"/>
    <mergeCell ref="C11:D12"/>
    <mergeCell ref="E11:J12"/>
    <mergeCell ref="C13:D13"/>
    <mergeCell ref="E13:J13"/>
    <mergeCell ref="C14:D14"/>
    <mergeCell ref="E14:J14"/>
    <mergeCell ref="C15:D15"/>
    <mergeCell ref="E15:J15"/>
    <mergeCell ref="C16:D16"/>
    <mergeCell ref="E16:J16"/>
    <mergeCell ref="C17:D17"/>
    <mergeCell ref="E17:J17"/>
    <mergeCell ref="C18:D18"/>
    <mergeCell ref="E18:J18"/>
    <mergeCell ref="C19:D19"/>
    <mergeCell ref="E19:J19"/>
    <mergeCell ref="C44:C46"/>
    <mergeCell ref="D44:D46"/>
    <mergeCell ref="E44:E46"/>
    <mergeCell ref="F44:F46"/>
    <mergeCell ref="C51:C54"/>
    <mergeCell ref="D51:D54"/>
    <mergeCell ref="E51:E54"/>
    <mergeCell ref="F51:F54"/>
    <mergeCell ref="D81:J81"/>
    <mergeCell ref="G51:G54"/>
    <mergeCell ref="H51:H54"/>
    <mergeCell ref="I51:I54"/>
    <mergeCell ref="D62:J63"/>
    <mergeCell ref="D68:J69"/>
    <mergeCell ref="D74:J7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D2826-BD30-4CFC-BDB5-BA4B3FB97498}">
  <dimension ref="A1:K92"/>
  <sheetViews>
    <sheetView workbookViewId="0">
      <selection activeCell="O14" sqref="O14"/>
    </sheetView>
  </sheetViews>
  <sheetFormatPr defaultColWidth="8.88671875" defaultRowHeight="15.6"/>
  <cols>
    <col min="1" max="1" width="3.5546875" style="2" customWidth="1"/>
    <col min="2" max="2" width="11.109375" style="2" customWidth="1"/>
    <col min="3" max="3" width="29.88671875" style="2" customWidth="1"/>
    <col min="4" max="9" width="15.6640625" style="2" customWidth="1"/>
    <col min="10" max="10" width="4.5546875" style="2" customWidth="1"/>
    <col min="11" max="16384" width="8.88671875" style="3"/>
  </cols>
  <sheetData>
    <row r="1" spans="1:11">
      <c r="A1" s="1" t="s">
        <v>329</v>
      </c>
      <c r="K1" s="3" t="s">
        <v>329</v>
      </c>
    </row>
    <row r="2" spans="1:11">
      <c r="A2" s="1" t="s">
        <v>204</v>
      </c>
      <c r="K2" s="3" t="s">
        <v>204</v>
      </c>
    </row>
    <row r="3" spans="1:11" ht="18.600000000000001" customHeight="1">
      <c r="A3" s="1"/>
    </row>
    <row r="4" spans="1:11" ht="18.600000000000001" customHeight="1">
      <c r="A4" s="1"/>
      <c r="K4" s="3" t="s">
        <v>2</v>
      </c>
    </row>
    <row r="5" spans="1:11">
      <c r="A5" s="1"/>
      <c r="B5" s="5" t="s">
        <v>3</v>
      </c>
      <c r="C5" s="1684" t="s">
        <v>328</v>
      </c>
      <c r="D5" s="1684"/>
      <c r="E5" s="1684"/>
      <c r="F5" s="1684"/>
      <c r="G5" s="1684"/>
      <c r="H5" s="1684"/>
      <c r="I5" s="1684"/>
    </row>
    <row r="6" spans="1:11">
      <c r="A6" s="1"/>
      <c r="B6" s="5"/>
      <c r="C6" s="1684"/>
      <c r="D6" s="1684"/>
      <c r="E6" s="1684"/>
      <c r="F6" s="1684"/>
      <c r="G6" s="1684"/>
      <c r="H6" s="1684"/>
      <c r="I6" s="1684"/>
    </row>
    <row r="7" spans="1:11">
      <c r="A7" s="1"/>
      <c r="B7" s="5"/>
    </row>
    <row r="8" spans="1:11">
      <c r="A8" s="1"/>
      <c r="B8" s="5"/>
      <c r="C8" s="32" t="s">
        <v>199</v>
      </c>
    </row>
    <row r="9" spans="1:11">
      <c r="A9" s="1"/>
      <c r="B9" s="5"/>
      <c r="C9" s="163"/>
      <c r="D9" s="158" t="s">
        <v>96</v>
      </c>
      <c r="E9" s="158" t="s">
        <v>66</v>
      </c>
    </row>
    <row r="10" spans="1:11">
      <c r="A10" s="1"/>
      <c r="B10" s="5"/>
      <c r="C10" s="147" t="s">
        <v>327</v>
      </c>
      <c r="D10" s="162">
        <v>26665</v>
      </c>
      <c r="E10" s="162">
        <v>32143</v>
      </c>
    </row>
    <row r="11" spans="1:11">
      <c r="A11" s="1"/>
      <c r="B11" s="5"/>
      <c r="C11" s="147" t="s">
        <v>326</v>
      </c>
      <c r="D11" s="162">
        <v>44927</v>
      </c>
      <c r="E11" s="162">
        <v>44927</v>
      </c>
    </row>
    <row r="12" spans="1:11">
      <c r="A12" s="1"/>
      <c r="B12" s="5"/>
      <c r="C12" s="147" t="s">
        <v>325</v>
      </c>
      <c r="D12" s="158">
        <v>4</v>
      </c>
      <c r="E12" s="158">
        <v>10.5</v>
      </c>
    </row>
    <row r="13" spans="1:11">
      <c r="A13" s="1"/>
      <c r="B13" s="5"/>
      <c r="C13" s="147" t="s">
        <v>324</v>
      </c>
      <c r="D13" s="158">
        <v>5</v>
      </c>
      <c r="E13" s="158">
        <v>10.5</v>
      </c>
    </row>
    <row r="14" spans="1:11">
      <c r="A14" s="1"/>
      <c r="B14" s="5"/>
    </row>
    <row r="15" spans="1:11">
      <c r="A15" s="1"/>
      <c r="B15" s="5"/>
      <c r="C15" s="32" t="s">
        <v>323</v>
      </c>
    </row>
    <row r="16" spans="1:11">
      <c r="A16" s="1"/>
      <c r="B16" s="5"/>
      <c r="C16" s="1688" t="s">
        <v>322</v>
      </c>
      <c r="D16" s="1689" t="s">
        <v>96</v>
      </c>
      <c r="E16" s="1689"/>
      <c r="F16" s="1689" t="s">
        <v>66</v>
      </c>
      <c r="G16" s="1689"/>
      <c r="H16" s="1690" t="s">
        <v>321</v>
      </c>
    </row>
    <row r="17" spans="1:10">
      <c r="A17" s="1"/>
      <c r="B17" s="5"/>
      <c r="C17" s="1688"/>
      <c r="D17" s="1689" t="s">
        <v>320</v>
      </c>
      <c r="E17" s="1689" t="s">
        <v>319</v>
      </c>
      <c r="F17" s="1689" t="s">
        <v>320</v>
      </c>
      <c r="G17" s="1690" t="s">
        <v>319</v>
      </c>
      <c r="H17" s="1690"/>
      <c r="I17" s="160"/>
    </row>
    <row r="18" spans="1:10">
      <c r="A18" s="1"/>
      <c r="B18" s="5"/>
      <c r="C18" s="1688"/>
      <c r="D18" s="1689"/>
      <c r="E18" s="1689"/>
      <c r="F18" s="1689"/>
      <c r="G18" s="1690"/>
      <c r="H18" s="1690"/>
      <c r="I18" s="160"/>
    </row>
    <row r="19" spans="1:10">
      <c r="A19" s="1"/>
      <c r="B19" s="5"/>
      <c r="C19" s="159">
        <v>2012</v>
      </c>
      <c r="D19" s="158">
        <v>0</v>
      </c>
      <c r="E19" s="158"/>
      <c r="F19" s="158">
        <v>0.5</v>
      </c>
      <c r="G19" s="157">
        <v>28000</v>
      </c>
      <c r="H19" s="156">
        <v>2646.67</v>
      </c>
      <c r="I19" s="155"/>
    </row>
    <row r="20" spans="1:10">
      <c r="A20" s="1"/>
      <c r="B20" s="5"/>
      <c r="C20" s="159">
        <v>2013</v>
      </c>
      <c r="D20" s="158">
        <v>0</v>
      </c>
      <c r="E20" s="158"/>
      <c r="F20" s="158">
        <v>1</v>
      </c>
      <c r="G20" s="157">
        <v>61000</v>
      </c>
      <c r="H20" s="156">
        <v>2696.67</v>
      </c>
      <c r="I20" s="155"/>
    </row>
    <row r="21" spans="1:10">
      <c r="A21" s="1"/>
      <c r="B21" s="5"/>
      <c r="C21" s="159">
        <v>2014</v>
      </c>
      <c r="D21" s="158">
        <v>0</v>
      </c>
      <c r="E21" s="158"/>
      <c r="F21" s="158">
        <v>1</v>
      </c>
      <c r="G21" s="157">
        <v>62000</v>
      </c>
      <c r="H21" s="156">
        <v>2770</v>
      </c>
      <c r="I21" s="155"/>
    </row>
    <row r="22" spans="1:10">
      <c r="A22" s="1"/>
      <c r="B22" s="5"/>
      <c r="C22" s="159">
        <v>2015</v>
      </c>
      <c r="D22" s="158">
        <v>0</v>
      </c>
      <c r="E22" s="158"/>
      <c r="F22" s="158">
        <v>1</v>
      </c>
      <c r="G22" s="157">
        <v>64000</v>
      </c>
      <c r="H22" s="156">
        <v>2818.89</v>
      </c>
      <c r="I22" s="155"/>
    </row>
    <row r="23" spans="1:10">
      <c r="A23" s="1"/>
      <c r="B23" s="5"/>
      <c r="C23" s="159">
        <v>2016</v>
      </c>
      <c r="D23" s="158">
        <v>0</v>
      </c>
      <c r="E23" s="158"/>
      <c r="F23" s="158">
        <v>1</v>
      </c>
      <c r="G23" s="157">
        <v>64500</v>
      </c>
      <c r="H23" s="156">
        <v>2890</v>
      </c>
      <c r="I23" s="155"/>
    </row>
    <row r="24" spans="1:10">
      <c r="A24" s="1"/>
      <c r="B24" s="5"/>
      <c r="C24" s="159">
        <v>2017</v>
      </c>
      <c r="D24" s="158">
        <v>0</v>
      </c>
      <c r="E24" s="158"/>
      <c r="F24" s="158">
        <v>1</v>
      </c>
      <c r="G24" s="157">
        <v>67000</v>
      </c>
      <c r="H24" s="156">
        <v>2914.44</v>
      </c>
      <c r="I24" s="155"/>
    </row>
    <row r="25" spans="1:10">
      <c r="A25" s="1"/>
      <c r="B25" s="5"/>
      <c r="C25" s="159">
        <v>2018</v>
      </c>
      <c r="D25" s="158">
        <v>0</v>
      </c>
      <c r="E25" s="157">
        <v>147000</v>
      </c>
      <c r="F25" s="158">
        <v>1</v>
      </c>
      <c r="G25" s="157">
        <v>68000</v>
      </c>
      <c r="H25" s="156">
        <v>2944.44</v>
      </c>
      <c r="I25" s="155"/>
    </row>
    <row r="26" spans="1:10">
      <c r="A26" s="1"/>
      <c r="B26" s="5"/>
      <c r="C26" s="159">
        <v>2019</v>
      </c>
      <c r="D26" s="158">
        <v>1</v>
      </c>
      <c r="E26" s="157">
        <v>158000</v>
      </c>
      <c r="F26" s="158">
        <v>1</v>
      </c>
      <c r="G26" s="157">
        <v>70500</v>
      </c>
      <c r="H26" s="156">
        <v>3025.56</v>
      </c>
      <c r="I26" s="155"/>
    </row>
    <row r="27" spans="1:10">
      <c r="A27" s="1"/>
      <c r="B27" s="5"/>
      <c r="C27" s="159">
        <v>2020</v>
      </c>
      <c r="D27" s="158">
        <v>1</v>
      </c>
      <c r="E27" s="157">
        <v>161000</v>
      </c>
      <c r="F27" s="158">
        <v>1</v>
      </c>
      <c r="G27" s="157">
        <v>69500</v>
      </c>
      <c r="H27" s="156">
        <v>3092.22</v>
      </c>
      <c r="I27" s="155"/>
    </row>
    <row r="28" spans="1:10">
      <c r="A28" s="1"/>
      <c r="B28" s="5"/>
      <c r="C28" s="159">
        <v>2021</v>
      </c>
      <c r="D28" s="158">
        <v>1</v>
      </c>
      <c r="E28" s="157">
        <v>167000</v>
      </c>
      <c r="F28" s="158">
        <v>1</v>
      </c>
      <c r="G28" s="157">
        <v>71500</v>
      </c>
      <c r="H28" s="156">
        <v>3245.56</v>
      </c>
      <c r="I28" s="155"/>
    </row>
    <row r="29" spans="1:10">
      <c r="A29" s="1"/>
      <c r="B29" s="5"/>
      <c r="C29" s="159">
        <v>2022</v>
      </c>
      <c r="D29" s="158">
        <v>1</v>
      </c>
      <c r="E29" s="157">
        <v>172000</v>
      </c>
      <c r="F29" s="158">
        <v>1</v>
      </c>
      <c r="G29" s="157">
        <v>71500</v>
      </c>
      <c r="H29" s="156">
        <v>3420</v>
      </c>
      <c r="I29" s="155"/>
    </row>
    <row r="30" spans="1:10">
      <c r="A30" s="1"/>
      <c r="B30" s="5"/>
    </row>
    <row r="31" spans="1:10">
      <c r="A31" s="1"/>
      <c r="B31" s="5"/>
      <c r="C31" s="137" t="s">
        <v>191</v>
      </c>
    </row>
    <row r="32" spans="1:10">
      <c r="A32" s="1"/>
      <c r="B32" s="5"/>
      <c r="C32" s="151" t="s">
        <v>264</v>
      </c>
      <c r="D32" s="150" t="s">
        <v>127</v>
      </c>
      <c r="E32" s="149"/>
      <c r="F32" s="149"/>
      <c r="G32" s="149"/>
      <c r="H32" s="149"/>
      <c r="I32" s="149"/>
      <c r="J32" s="148"/>
    </row>
    <row r="33" spans="1:10">
      <c r="A33" s="1"/>
      <c r="B33" s="5"/>
      <c r="C33" s="151" t="s">
        <v>268</v>
      </c>
      <c r="D33" s="150" t="s">
        <v>318</v>
      </c>
      <c r="E33" s="149"/>
      <c r="F33" s="149"/>
      <c r="G33" s="149"/>
      <c r="H33" s="149"/>
      <c r="I33" s="149"/>
      <c r="J33" s="148"/>
    </row>
    <row r="34" spans="1:10">
      <c r="A34" s="1"/>
      <c r="B34" s="5"/>
      <c r="C34" s="151" t="s">
        <v>317</v>
      </c>
      <c r="D34" s="150" t="s">
        <v>135</v>
      </c>
      <c r="E34" s="149"/>
      <c r="F34" s="149"/>
      <c r="G34" s="149"/>
      <c r="H34" s="149"/>
      <c r="I34" s="149"/>
      <c r="J34" s="148"/>
    </row>
    <row r="35" spans="1:10">
      <c r="A35" s="1"/>
      <c r="B35" s="5"/>
      <c r="C35" s="151" t="s">
        <v>316</v>
      </c>
      <c r="D35" s="150" t="s">
        <v>315</v>
      </c>
      <c r="E35" s="149"/>
      <c r="F35" s="149"/>
      <c r="G35" s="149"/>
      <c r="H35" s="149"/>
      <c r="I35" s="149"/>
      <c r="J35" s="148"/>
    </row>
    <row r="36" spans="1:10">
      <c r="A36" s="1"/>
      <c r="B36" s="5"/>
      <c r="C36" s="154" t="s">
        <v>256</v>
      </c>
      <c r="D36" s="55" t="s">
        <v>314</v>
      </c>
      <c r="E36" s="56"/>
      <c r="F36" s="56"/>
      <c r="G36" s="56"/>
      <c r="H36" s="56"/>
      <c r="I36" s="56"/>
      <c r="J36" s="57"/>
    </row>
    <row r="37" spans="1:10">
      <c r="A37" s="1"/>
      <c r="B37" s="5"/>
      <c r="C37" s="153"/>
      <c r="D37" s="152" t="s">
        <v>313</v>
      </c>
      <c r="E37" s="59"/>
      <c r="F37" s="59"/>
      <c r="G37" s="59"/>
      <c r="H37" s="59"/>
      <c r="I37" s="59"/>
      <c r="J37" s="60"/>
    </row>
    <row r="38" spans="1:10">
      <c r="A38" s="1"/>
      <c r="B38" s="5"/>
      <c r="C38" s="151" t="s">
        <v>312</v>
      </c>
      <c r="D38" s="150" t="s">
        <v>181</v>
      </c>
      <c r="E38" s="149"/>
      <c r="F38" s="149"/>
      <c r="G38" s="149"/>
      <c r="H38" s="149"/>
      <c r="I38" s="149"/>
      <c r="J38" s="148"/>
    </row>
    <row r="39" spans="1:10">
      <c r="A39" s="1"/>
      <c r="B39" s="5"/>
      <c r="C39" s="151" t="s">
        <v>311</v>
      </c>
      <c r="D39" s="150" t="s">
        <v>310</v>
      </c>
      <c r="E39" s="149"/>
      <c r="F39" s="149"/>
      <c r="G39" s="149"/>
      <c r="H39" s="149"/>
      <c r="I39" s="149"/>
      <c r="J39" s="148"/>
    </row>
    <row r="40" spans="1:10">
      <c r="A40" s="1"/>
      <c r="B40" s="5"/>
      <c r="C40" s="151" t="s">
        <v>309</v>
      </c>
      <c r="D40" s="150" t="s">
        <v>308</v>
      </c>
      <c r="E40" s="149"/>
      <c r="F40" s="149"/>
      <c r="G40" s="149"/>
      <c r="H40" s="149"/>
      <c r="I40" s="149"/>
      <c r="J40" s="148"/>
    </row>
    <row r="41" spans="1:10">
      <c r="A41" s="1"/>
      <c r="B41" s="5"/>
    </row>
    <row r="42" spans="1:10">
      <c r="A42" s="1"/>
      <c r="B42" s="5"/>
      <c r="C42" s="137" t="s">
        <v>178</v>
      </c>
      <c r="D42" s="130"/>
      <c r="E42" s="130"/>
      <c r="F42" s="130"/>
      <c r="G42" s="130"/>
      <c r="H42" s="130"/>
      <c r="I42" s="130"/>
    </row>
    <row r="43" spans="1:10">
      <c r="A43" s="1"/>
      <c r="B43" s="5"/>
      <c r="C43" s="1685" t="s">
        <v>103</v>
      </c>
      <c r="D43" s="146" t="s">
        <v>307</v>
      </c>
      <c r="E43" s="1686" t="s">
        <v>176</v>
      </c>
      <c r="F43" s="1686" t="s">
        <v>175</v>
      </c>
      <c r="G43" s="130"/>
      <c r="H43" s="130"/>
      <c r="I43" s="130"/>
    </row>
    <row r="44" spans="1:10">
      <c r="A44" s="1"/>
      <c r="B44" s="5"/>
      <c r="C44" s="1685"/>
      <c r="D44" s="146" t="s">
        <v>306</v>
      </c>
      <c r="E44" s="1686"/>
      <c r="F44" s="1686"/>
      <c r="G44" s="130"/>
      <c r="H44" s="130"/>
      <c r="I44" s="130"/>
    </row>
    <row r="45" spans="1:10">
      <c r="A45" s="1"/>
      <c r="B45" s="5"/>
      <c r="C45" s="145">
        <v>44927</v>
      </c>
      <c r="D45" s="144">
        <v>5.1999999999999998E-3</v>
      </c>
      <c r="E45" s="144">
        <v>1.4500000000000001E-2</v>
      </c>
      <c r="F45" s="144">
        <v>-8.0000000000000004E-4</v>
      </c>
      <c r="G45" s="130"/>
      <c r="H45" s="130"/>
      <c r="I45" s="130"/>
    </row>
    <row r="46" spans="1:10">
      <c r="A46" s="1"/>
      <c r="B46" s="5"/>
      <c r="C46" s="145">
        <v>44896</v>
      </c>
      <c r="D46" s="144">
        <v>4.7999999999999996E-3</v>
      </c>
      <c r="E46" s="144">
        <v>1.24E-2</v>
      </c>
      <c r="F46" s="144">
        <v>-2.3999999999999998E-3</v>
      </c>
      <c r="G46" s="130"/>
      <c r="H46" s="130"/>
      <c r="I46" s="130"/>
    </row>
    <row r="47" spans="1:10">
      <c r="A47" s="1"/>
      <c r="B47" s="5"/>
      <c r="C47" s="145">
        <v>44866</v>
      </c>
      <c r="D47" s="144">
        <v>5.1000000000000004E-3</v>
      </c>
      <c r="E47" s="144">
        <v>1.2200000000000001E-2</v>
      </c>
      <c r="F47" s="144">
        <v>-2.5999999999999999E-3</v>
      </c>
      <c r="G47" s="130"/>
      <c r="H47" s="130"/>
      <c r="I47" s="130"/>
    </row>
    <row r="48" spans="1:10">
      <c r="A48" s="1"/>
      <c r="B48" s="5"/>
      <c r="C48" s="138"/>
      <c r="D48" s="130"/>
      <c r="E48" s="130"/>
      <c r="F48" s="130"/>
      <c r="G48" s="130"/>
      <c r="H48" s="130"/>
      <c r="I48" s="130"/>
    </row>
    <row r="49" spans="1:9" ht="41.4">
      <c r="A49" s="1"/>
      <c r="B49" s="5"/>
      <c r="C49" s="1687" t="s">
        <v>103</v>
      </c>
      <c r="D49" s="1683" t="s">
        <v>115</v>
      </c>
      <c r="E49" s="1683" t="s">
        <v>102</v>
      </c>
      <c r="F49" s="1683" t="s">
        <v>114</v>
      </c>
      <c r="G49" s="1683" t="s">
        <v>101</v>
      </c>
      <c r="H49" s="143" t="s">
        <v>305</v>
      </c>
      <c r="I49" s="143" t="s">
        <v>304</v>
      </c>
    </row>
    <row r="50" spans="1:9">
      <c r="A50" s="1"/>
      <c r="B50" s="5"/>
      <c r="C50" s="1687"/>
      <c r="D50" s="1683"/>
      <c r="E50" s="1683"/>
      <c r="F50" s="1683"/>
      <c r="G50" s="1683"/>
      <c r="H50" s="142" t="s">
        <v>303</v>
      </c>
      <c r="I50" s="142" t="s">
        <v>303</v>
      </c>
    </row>
    <row r="51" spans="1:9">
      <c r="A51" s="1"/>
      <c r="B51" s="5"/>
      <c r="C51" s="141">
        <v>44927</v>
      </c>
      <c r="D51" s="140">
        <v>1.149E-2</v>
      </c>
      <c r="E51" s="140">
        <v>2.1649999999999999E-2</v>
      </c>
      <c r="F51" s="140">
        <v>1.8020000000000001E-2</v>
      </c>
      <c r="G51" s="140">
        <v>2.9940000000000001E-2</v>
      </c>
      <c r="H51" s="139">
        <v>6.8300000000000001E-3</v>
      </c>
      <c r="I51" s="139">
        <v>1.316E-2</v>
      </c>
    </row>
    <row r="52" spans="1:9">
      <c r="A52" s="1"/>
      <c r="B52" s="5"/>
      <c r="C52" s="141">
        <v>44896</v>
      </c>
      <c r="D52" s="140">
        <v>1.1039999999999999E-2</v>
      </c>
      <c r="E52" s="140">
        <v>2.01E-2</v>
      </c>
      <c r="F52" s="140">
        <v>1.8429999999999998E-2</v>
      </c>
      <c r="G52" s="140">
        <v>2.878E-2</v>
      </c>
      <c r="H52" s="139">
        <v>6.1399999999999996E-3</v>
      </c>
      <c r="I52" s="139">
        <v>1.124E-2</v>
      </c>
    </row>
    <row r="53" spans="1:9">
      <c r="A53" s="1"/>
      <c r="B53" s="5"/>
      <c r="C53" s="141">
        <v>44866</v>
      </c>
      <c r="D53" s="140">
        <v>1.191E-2</v>
      </c>
      <c r="E53" s="140">
        <v>2.051E-2</v>
      </c>
      <c r="F53" s="140">
        <v>1.9959999999999999E-2</v>
      </c>
      <c r="G53" s="140">
        <v>2.9569999999999999E-2</v>
      </c>
      <c r="H53" s="139">
        <v>6.0800000000000003E-3</v>
      </c>
      <c r="I53" s="139">
        <v>1.06E-2</v>
      </c>
    </row>
    <row r="54" spans="1:9">
      <c r="A54" s="1"/>
      <c r="B54" s="5"/>
      <c r="C54" s="138"/>
      <c r="D54" s="130"/>
      <c r="E54" s="130"/>
      <c r="F54" s="130"/>
      <c r="G54" s="130"/>
      <c r="H54" s="130"/>
      <c r="I54" s="130"/>
    </row>
    <row r="55" spans="1:9">
      <c r="A55" s="1"/>
      <c r="B55" s="5"/>
      <c r="C55" s="137" t="s">
        <v>171</v>
      </c>
      <c r="D55" s="130"/>
      <c r="E55" s="130"/>
      <c r="F55" s="130"/>
      <c r="G55" s="130"/>
      <c r="H55" s="130"/>
      <c r="I55" s="130"/>
    </row>
    <row r="56" spans="1:9">
      <c r="A56" s="1"/>
      <c r="B56" s="5"/>
      <c r="C56" s="21" t="s">
        <v>302</v>
      </c>
      <c r="D56" s="130"/>
      <c r="E56" s="130"/>
      <c r="F56" s="130"/>
      <c r="G56" s="130"/>
      <c r="H56" s="130"/>
      <c r="I56" s="130"/>
    </row>
    <row r="57" spans="1:9" ht="19.8">
      <c r="A57" s="1"/>
      <c r="B57" s="5"/>
      <c r="C57" s="134" t="s">
        <v>301</v>
      </c>
      <c r="D57" s="133">
        <v>23.2</v>
      </c>
      <c r="E57" s="132" t="s">
        <v>300</v>
      </c>
      <c r="F57" s="131">
        <v>16.399999999999999</v>
      </c>
      <c r="G57" s="130"/>
      <c r="H57" s="130"/>
      <c r="I57" s="130"/>
    </row>
    <row r="58" spans="1:9" ht="19.8">
      <c r="A58" s="1"/>
      <c r="B58" s="5"/>
      <c r="C58" s="134" t="s">
        <v>299</v>
      </c>
      <c r="D58" s="133">
        <v>22.3</v>
      </c>
      <c r="E58" s="132" t="s">
        <v>298</v>
      </c>
      <c r="F58" s="131">
        <v>15.7</v>
      </c>
      <c r="G58" s="130"/>
      <c r="H58" s="130"/>
      <c r="I58" s="130"/>
    </row>
    <row r="59" spans="1:9" ht="19.8">
      <c r="A59" s="1"/>
      <c r="B59" s="5"/>
      <c r="C59" s="134" t="s">
        <v>297</v>
      </c>
      <c r="D59" s="133">
        <v>21.5</v>
      </c>
      <c r="E59" s="132" t="s">
        <v>296</v>
      </c>
      <c r="F59" s="131">
        <v>14.9</v>
      </c>
      <c r="G59" s="130"/>
      <c r="H59" s="130"/>
      <c r="I59" s="130"/>
    </row>
    <row r="60" spans="1:9" ht="19.8">
      <c r="A60" s="1"/>
      <c r="B60" s="5"/>
      <c r="C60" s="134" t="s">
        <v>295</v>
      </c>
      <c r="D60" s="133">
        <v>20.6</v>
      </c>
      <c r="E60" s="132" t="s">
        <v>294</v>
      </c>
      <c r="F60" s="131">
        <v>14.2</v>
      </c>
      <c r="G60" s="130"/>
      <c r="H60" s="130"/>
      <c r="I60" s="130"/>
    </row>
    <row r="61" spans="1:9" ht="19.8">
      <c r="A61" s="1"/>
      <c r="B61" s="5"/>
      <c r="C61" s="134" t="s">
        <v>293</v>
      </c>
      <c r="D61" s="133">
        <v>19.8</v>
      </c>
      <c r="E61" s="132" t="s">
        <v>292</v>
      </c>
      <c r="F61" s="131">
        <v>13.5</v>
      </c>
      <c r="G61" s="130"/>
      <c r="H61" s="130"/>
      <c r="I61" s="130"/>
    </row>
    <row r="62" spans="1:9" ht="19.8">
      <c r="A62" s="1"/>
      <c r="B62" s="5"/>
      <c r="C62" s="134" t="s">
        <v>291</v>
      </c>
      <c r="D62" s="136">
        <v>19</v>
      </c>
      <c r="E62" s="132" t="s">
        <v>290</v>
      </c>
      <c r="F62" s="131">
        <v>12.8</v>
      </c>
      <c r="G62" s="130"/>
      <c r="H62" s="130"/>
      <c r="I62" s="130"/>
    </row>
    <row r="63" spans="1:9" ht="19.8">
      <c r="A63" s="1"/>
      <c r="B63" s="5"/>
      <c r="C63" s="134" t="s">
        <v>289</v>
      </c>
      <c r="D63" s="136">
        <v>18</v>
      </c>
      <c r="E63" s="132" t="s">
        <v>288</v>
      </c>
      <c r="F63" s="131">
        <v>12.2</v>
      </c>
      <c r="G63" s="130"/>
      <c r="H63" s="130"/>
      <c r="I63" s="130"/>
    </row>
    <row r="64" spans="1:9" ht="19.8">
      <c r="A64" s="1"/>
      <c r="B64" s="5"/>
      <c r="C64" s="134" t="s">
        <v>287</v>
      </c>
      <c r="D64" s="133">
        <v>17.100000000000001</v>
      </c>
      <c r="E64" s="132" t="s">
        <v>286</v>
      </c>
      <c r="F64" s="131">
        <v>11.6</v>
      </c>
      <c r="G64" s="130"/>
      <c r="H64" s="130"/>
      <c r="I64" s="130"/>
    </row>
    <row r="65" spans="1:10" ht="19.8">
      <c r="A65" s="1"/>
      <c r="B65" s="5"/>
      <c r="C65" s="134" t="s">
        <v>285</v>
      </c>
      <c r="D65" s="133">
        <v>16.2</v>
      </c>
      <c r="E65" s="132" t="s">
        <v>284</v>
      </c>
      <c r="F65" s="135">
        <v>11</v>
      </c>
      <c r="G65" s="130"/>
      <c r="H65" s="130"/>
      <c r="I65" s="130"/>
    </row>
    <row r="66" spans="1:10" ht="19.8">
      <c r="A66" s="1"/>
      <c r="B66" s="5"/>
      <c r="C66" s="134" t="s">
        <v>283</v>
      </c>
      <c r="D66" s="133">
        <v>15.3</v>
      </c>
      <c r="E66" s="132" t="s">
        <v>282</v>
      </c>
      <c r="F66" s="131">
        <v>10.4</v>
      </c>
      <c r="G66" s="130"/>
      <c r="H66" s="130"/>
      <c r="I66" s="130"/>
    </row>
    <row r="67" spans="1:10" ht="19.8">
      <c r="A67" s="1"/>
      <c r="B67" s="5"/>
      <c r="C67" s="134" t="s">
        <v>281</v>
      </c>
      <c r="D67" s="133">
        <v>14.5</v>
      </c>
      <c r="E67" s="132" t="s">
        <v>280</v>
      </c>
      <c r="F67" s="131">
        <v>9.8000000000000007</v>
      </c>
      <c r="G67" s="130"/>
      <c r="H67" s="130"/>
      <c r="I67" s="130"/>
    </row>
    <row r="68" spans="1:10">
      <c r="A68" s="1"/>
      <c r="B68" s="5"/>
    </row>
    <row r="69" spans="1:10">
      <c r="A69" s="1"/>
      <c r="B69" s="5"/>
    </row>
    <row r="70" spans="1:10">
      <c r="A70" s="1"/>
      <c r="B70" s="5"/>
    </row>
    <row r="72" spans="1:10">
      <c r="B72" s="2" t="s">
        <v>26</v>
      </c>
      <c r="C72" s="5" t="s">
        <v>27</v>
      </c>
      <c r="D72" s="1684" t="s">
        <v>279</v>
      </c>
      <c r="E72" s="1684"/>
      <c r="F72" s="1684"/>
      <c r="G72" s="1684"/>
      <c r="H72" s="1684"/>
      <c r="I72" s="1684"/>
      <c r="J72" s="1684"/>
    </row>
    <row r="73" spans="1:10">
      <c r="C73" s="5"/>
      <c r="D73" s="1684"/>
      <c r="E73" s="1684"/>
      <c r="F73" s="1684"/>
      <c r="G73" s="1684"/>
      <c r="H73" s="1684"/>
      <c r="I73" s="1684"/>
      <c r="J73" s="1684"/>
    </row>
    <row r="74" spans="1:10">
      <c r="C74" s="5"/>
    </row>
    <row r="75" spans="1:10">
      <c r="C75" s="5"/>
      <c r="D75" s="1629" t="s">
        <v>29</v>
      </c>
      <c r="E75" s="1630"/>
      <c r="F75" s="1630"/>
      <c r="G75" s="1630"/>
      <c r="H75" s="1630"/>
      <c r="I75" s="1630"/>
      <c r="J75" s="1631"/>
    </row>
    <row r="76" spans="1:10">
      <c r="C76" s="5"/>
      <c r="D76" s="1632"/>
      <c r="E76" s="1633"/>
      <c r="F76" s="1633"/>
      <c r="G76" s="1633"/>
      <c r="H76" s="1633"/>
      <c r="I76" s="1633"/>
      <c r="J76" s="1634"/>
    </row>
    <row r="77" spans="1:10">
      <c r="C77" s="5"/>
    </row>
    <row r="78" spans="1:10">
      <c r="B78" s="2" t="s">
        <v>34</v>
      </c>
      <c r="C78" s="5" t="s">
        <v>71</v>
      </c>
      <c r="D78" s="2" t="s">
        <v>278</v>
      </c>
    </row>
    <row r="79" spans="1:10">
      <c r="C79" s="5"/>
    </row>
    <row r="80" spans="1:10">
      <c r="C80" s="5"/>
      <c r="D80" s="2" t="s">
        <v>54</v>
      </c>
    </row>
    <row r="81" spans="2:10">
      <c r="C81" s="5"/>
    </row>
    <row r="82" spans="2:10">
      <c r="D82" s="2" t="s">
        <v>277</v>
      </c>
    </row>
    <row r="84" spans="2:10">
      <c r="D84" s="1629" t="s">
        <v>29</v>
      </c>
      <c r="E84" s="1630"/>
      <c r="F84" s="1630"/>
      <c r="G84" s="1630"/>
      <c r="H84" s="1630"/>
      <c r="I84" s="1630"/>
      <c r="J84" s="1631"/>
    </row>
    <row r="85" spans="2:10">
      <c r="D85" s="1632"/>
      <c r="E85" s="1633"/>
      <c r="F85" s="1633"/>
      <c r="G85" s="1633"/>
      <c r="H85" s="1633"/>
      <c r="I85" s="1633"/>
      <c r="J85" s="1634"/>
    </row>
    <row r="87" spans="2:10">
      <c r="B87" s="2" t="s">
        <v>38</v>
      </c>
      <c r="C87" s="5" t="s">
        <v>210</v>
      </c>
      <c r="D87" s="2" t="s">
        <v>276</v>
      </c>
    </row>
    <row r="89" spans="2:10">
      <c r="D89" s="2" t="s">
        <v>275</v>
      </c>
    </row>
    <row r="91" spans="2:10">
      <c r="D91" s="1629" t="s">
        <v>29</v>
      </c>
      <c r="E91" s="1630"/>
      <c r="F91" s="1630"/>
      <c r="G91" s="1630"/>
      <c r="H91" s="1630"/>
      <c r="I91" s="1630"/>
      <c r="J91" s="1631"/>
    </row>
    <row r="92" spans="2:10">
      <c r="D92" s="1632"/>
      <c r="E92" s="1633"/>
      <c r="F92" s="1633"/>
      <c r="G92" s="1633"/>
      <c r="H92" s="1633"/>
      <c r="I92" s="1633"/>
      <c r="J92" s="1634"/>
    </row>
  </sheetData>
  <mergeCells count="21">
    <mergeCell ref="C5:I6"/>
    <mergeCell ref="C16:C18"/>
    <mergeCell ref="D16:E16"/>
    <mergeCell ref="F16:G16"/>
    <mergeCell ref="H16:H18"/>
    <mergeCell ref="D17:D18"/>
    <mergeCell ref="E17:E18"/>
    <mergeCell ref="F17:F18"/>
    <mergeCell ref="G17:G18"/>
    <mergeCell ref="C43:C44"/>
    <mergeCell ref="E43:E44"/>
    <mergeCell ref="F43:F44"/>
    <mergeCell ref="C49:C50"/>
    <mergeCell ref="D49:D50"/>
    <mergeCell ref="E49:E50"/>
    <mergeCell ref="F49:F50"/>
    <mergeCell ref="G49:G50"/>
    <mergeCell ref="D72:J73"/>
    <mergeCell ref="D75:J76"/>
    <mergeCell ref="D84:J85"/>
    <mergeCell ref="D91:J9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4D76E-02C6-41D9-ABB4-70C1FED6F579}">
  <dimension ref="A1:K346"/>
  <sheetViews>
    <sheetView zoomScale="112" zoomScaleNormal="112" workbookViewId="0">
      <selection activeCell="O14" sqref="O14"/>
    </sheetView>
  </sheetViews>
  <sheetFormatPr defaultColWidth="8.5546875" defaultRowHeight="15.6"/>
  <cols>
    <col min="1" max="1" width="2.88671875" style="164" customWidth="1"/>
    <col min="2" max="2" width="14.109375" style="165" customWidth="1"/>
    <col min="3" max="3" width="21.44140625" style="165" customWidth="1"/>
    <col min="4" max="4" width="32.5546875" style="165" customWidth="1"/>
    <col min="5" max="5" width="28.44140625" style="165" customWidth="1"/>
    <col min="6" max="6" width="31" style="165" customWidth="1"/>
    <col min="7" max="7" width="29" style="165" customWidth="1"/>
    <col min="8" max="8" width="19.5546875" style="165" customWidth="1"/>
    <col min="9" max="10" width="17.109375" style="165" customWidth="1"/>
    <col min="11" max="16384" width="8.5546875" style="164"/>
  </cols>
  <sheetData>
    <row r="1" spans="1:11">
      <c r="A1" s="1" t="s">
        <v>152</v>
      </c>
      <c r="B1" s="1"/>
      <c r="C1" s="166"/>
      <c r="D1" s="166"/>
      <c r="E1" s="166"/>
      <c r="F1" s="166"/>
      <c r="G1" s="166"/>
      <c r="H1" s="166"/>
      <c r="I1" s="166"/>
      <c r="J1" s="166"/>
      <c r="K1" s="3" t="s">
        <v>152</v>
      </c>
    </row>
    <row r="2" spans="1:11">
      <c r="A2" s="1" t="s">
        <v>1</v>
      </c>
      <c r="B2" s="1"/>
      <c r="C2" s="166"/>
      <c r="D2" s="166"/>
      <c r="E2" s="166"/>
      <c r="F2" s="166"/>
      <c r="G2" s="166"/>
      <c r="H2" s="166"/>
      <c r="I2" s="166"/>
      <c r="J2" s="166"/>
      <c r="K2" s="3" t="s">
        <v>1</v>
      </c>
    </row>
    <row r="3" spans="1:11">
      <c r="A3" s="1"/>
      <c r="B3" s="2"/>
      <c r="C3" s="166"/>
      <c r="D3" s="166"/>
      <c r="E3" s="166"/>
      <c r="F3" s="166"/>
      <c r="G3" s="166"/>
      <c r="H3" s="166"/>
      <c r="I3" s="166"/>
      <c r="J3" s="166"/>
      <c r="K3" s="3"/>
    </row>
    <row r="4" spans="1:11">
      <c r="A4" s="166"/>
      <c r="B4" s="2"/>
      <c r="C4" s="166"/>
      <c r="D4" s="166"/>
      <c r="E4" s="166"/>
      <c r="F4" s="166"/>
      <c r="G4" s="166"/>
      <c r="H4" s="166"/>
      <c r="I4" s="166"/>
      <c r="J4" s="166"/>
      <c r="K4" s="3"/>
    </row>
    <row r="5" spans="1:11" s="3" customFormat="1">
      <c r="A5" s="166"/>
      <c r="B5" s="308" t="s">
        <v>524</v>
      </c>
      <c r="C5" s="1747" t="s">
        <v>523</v>
      </c>
      <c r="D5" s="1747"/>
      <c r="E5" s="1747"/>
      <c r="F5" s="1747"/>
      <c r="G5" s="1747"/>
      <c r="H5" s="129"/>
      <c r="I5" s="129"/>
      <c r="J5" s="129"/>
      <c r="K5" s="3" t="s">
        <v>2</v>
      </c>
    </row>
    <row r="6" spans="1:11">
      <c r="A6" s="166"/>
      <c r="B6" s="166"/>
      <c r="C6" s="166"/>
      <c r="D6" s="166"/>
      <c r="E6" s="166"/>
      <c r="F6" s="166"/>
      <c r="G6" s="166"/>
      <c r="H6" s="166"/>
      <c r="I6" s="166"/>
      <c r="J6" s="166"/>
    </row>
    <row r="7" spans="1:11">
      <c r="A7" s="166"/>
      <c r="B7" s="166"/>
      <c r="C7" s="32" t="s">
        <v>522</v>
      </c>
      <c r="D7" s="166"/>
      <c r="E7" s="166"/>
      <c r="F7" s="166"/>
      <c r="G7" s="166"/>
      <c r="H7" s="166"/>
      <c r="I7" s="166"/>
      <c r="J7" s="166"/>
    </row>
    <row r="8" spans="1:11">
      <c r="A8" s="166"/>
      <c r="B8" s="166"/>
      <c r="C8" s="1691" t="s">
        <v>521</v>
      </c>
      <c r="D8" s="1692"/>
      <c r="E8" s="212" t="s">
        <v>520</v>
      </c>
      <c r="F8" s="149"/>
      <c r="G8" s="149"/>
      <c r="H8" s="166"/>
      <c r="I8" s="166"/>
      <c r="J8" s="166"/>
    </row>
    <row r="9" spans="1:11">
      <c r="A9" s="166"/>
      <c r="B9" s="166"/>
      <c r="C9" s="1721" t="s">
        <v>519</v>
      </c>
      <c r="D9" s="1722"/>
      <c r="E9" s="1748" t="s">
        <v>518</v>
      </c>
      <c r="F9" s="1749"/>
      <c r="G9" s="1750"/>
      <c r="H9" s="166"/>
      <c r="I9" s="166"/>
      <c r="J9" s="166"/>
    </row>
    <row r="10" spans="1:11">
      <c r="A10" s="166"/>
      <c r="B10" s="166"/>
      <c r="C10" s="1743"/>
      <c r="D10" s="1744"/>
      <c r="E10" s="1751"/>
      <c r="F10" s="1752"/>
      <c r="G10" s="1753"/>
      <c r="H10" s="166"/>
      <c r="I10" s="166"/>
      <c r="J10" s="166"/>
    </row>
    <row r="11" spans="1:11">
      <c r="A11" s="166"/>
      <c r="B11" s="166"/>
      <c r="C11" s="1691" t="s">
        <v>517</v>
      </c>
      <c r="D11" s="1693"/>
      <c r="E11" s="1691" t="s">
        <v>127</v>
      </c>
      <c r="F11" s="1692"/>
      <c r="G11" s="1693"/>
      <c r="H11" s="166"/>
      <c r="I11" s="166"/>
      <c r="J11" s="166"/>
    </row>
    <row r="12" spans="1:11">
      <c r="A12" s="166"/>
      <c r="B12" s="166"/>
      <c r="C12" s="1691" t="s">
        <v>263</v>
      </c>
      <c r="D12" s="1693"/>
      <c r="E12" s="1691" t="s">
        <v>135</v>
      </c>
      <c r="F12" s="1692"/>
      <c r="G12" s="1693"/>
      <c r="H12" s="166"/>
      <c r="I12" s="166"/>
      <c r="J12" s="166"/>
    </row>
    <row r="13" spans="1:11">
      <c r="A13" s="166"/>
      <c r="B13" s="166"/>
      <c r="C13" s="1691" t="s">
        <v>516</v>
      </c>
      <c r="D13" s="1693"/>
      <c r="E13" s="1691" t="s">
        <v>515</v>
      </c>
      <c r="F13" s="1692"/>
      <c r="G13" s="1693"/>
      <c r="H13" s="166"/>
      <c r="I13" s="166"/>
      <c r="J13" s="166"/>
    </row>
    <row r="14" spans="1:11">
      <c r="A14" s="166"/>
      <c r="B14" s="166"/>
      <c r="C14" s="1721" t="s">
        <v>260</v>
      </c>
      <c r="D14" s="1722"/>
      <c r="E14" s="1725" t="s">
        <v>514</v>
      </c>
      <c r="F14" s="1741"/>
      <c r="G14" s="1726"/>
      <c r="H14" s="166"/>
      <c r="I14" s="166"/>
      <c r="J14" s="166"/>
    </row>
    <row r="15" spans="1:11">
      <c r="A15" s="166"/>
      <c r="B15" s="166"/>
      <c r="C15" s="1743"/>
      <c r="D15" s="1744"/>
      <c r="E15" s="1727" t="s">
        <v>513</v>
      </c>
      <c r="F15" s="1742"/>
      <c r="G15" s="1728"/>
      <c r="H15" s="166"/>
      <c r="I15" s="166"/>
      <c r="J15" s="166"/>
    </row>
    <row r="16" spans="1:11">
      <c r="A16" s="166"/>
      <c r="B16" s="166"/>
      <c r="C16" s="1725" t="s">
        <v>512</v>
      </c>
      <c r="D16" s="1726"/>
      <c r="E16" s="1725" t="s">
        <v>511</v>
      </c>
      <c r="F16" s="1741"/>
      <c r="G16" s="1726"/>
      <c r="H16" s="166"/>
      <c r="I16" s="166"/>
      <c r="J16" s="166"/>
    </row>
    <row r="17" spans="1:10">
      <c r="A17" s="166"/>
      <c r="B17" s="166"/>
      <c r="C17" s="1727"/>
      <c r="D17" s="1728"/>
      <c r="E17" s="1727" t="s">
        <v>510</v>
      </c>
      <c r="F17" s="1742"/>
      <c r="G17" s="1728"/>
      <c r="H17" s="166"/>
      <c r="I17" s="166"/>
      <c r="J17" s="166"/>
    </row>
    <row r="18" spans="1:10">
      <c r="A18" s="166"/>
      <c r="B18" s="166"/>
      <c r="C18" s="212" t="s">
        <v>509</v>
      </c>
      <c r="D18" s="210"/>
      <c r="E18" s="212" t="s">
        <v>430</v>
      </c>
      <c r="F18" s="211"/>
      <c r="G18" s="210"/>
      <c r="H18" s="166"/>
      <c r="I18" s="166"/>
      <c r="J18" s="166"/>
    </row>
    <row r="19" spans="1:10">
      <c r="A19" s="166"/>
      <c r="B19" s="166"/>
      <c r="C19" s="1691" t="s">
        <v>508</v>
      </c>
      <c r="D19" s="1693"/>
      <c r="E19" s="1691" t="s">
        <v>498</v>
      </c>
      <c r="F19" s="1692"/>
      <c r="G19" s="1693"/>
      <c r="H19" s="166"/>
      <c r="I19" s="166"/>
      <c r="J19" s="166"/>
    </row>
    <row r="20" spans="1:10" ht="15.6" customHeight="1">
      <c r="A20" s="166"/>
      <c r="B20" s="166"/>
      <c r="C20" s="1733" t="s">
        <v>507</v>
      </c>
      <c r="D20" s="1734"/>
      <c r="E20" s="1691" t="s">
        <v>506</v>
      </c>
      <c r="F20" s="1692"/>
      <c r="G20" s="1693"/>
      <c r="H20" s="166"/>
      <c r="I20" s="166"/>
      <c r="J20" s="166"/>
    </row>
    <row r="21" spans="1:10">
      <c r="A21" s="166"/>
      <c r="B21" s="166"/>
      <c r="C21" s="166"/>
      <c r="D21" s="166"/>
      <c r="E21" s="307"/>
      <c r="F21" s="307"/>
      <c r="G21" s="307"/>
      <c r="H21" s="166"/>
      <c r="I21" s="166"/>
      <c r="J21" s="166"/>
    </row>
    <row r="22" spans="1:10">
      <c r="A22" s="166"/>
      <c r="B22" s="166"/>
      <c r="C22" s="2" t="s">
        <v>505</v>
      </c>
      <c r="D22" s="166"/>
      <c r="E22" s="166"/>
      <c r="F22" s="166"/>
      <c r="G22" s="166"/>
      <c r="H22" s="166"/>
      <c r="I22" s="166"/>
      <c r="J22" s="166"/>
    </row>
    <row r="23" spans="1:10">
      <c r="A23" s="166"/>
      <c r="B23" s="166"/>
      <c r="C23" s="183"/>
      <c r="D23" s="166"/>
      <c r="E23" s="166"/>
      <c r="F23" s="166"/>
      <c r="G23" s="166"/>
      <c r="H23" s="166"/>
      <c r="I23" s="166"/>
      <c r="J23" s="166"/>
    </row>
    <row r="24" spans="1:10">
      <c r="A24" s="166"/>
      <c r="B24" s="166"/>
      <c r="C24" s="32" t="s">
        <v>504</v>
      </c>
      <c r="D24" s="166"/>
      <c r="E24" s="166"/>
      <c r="F24" s="166"/>
      <c r="G24" s="166"/>
      <c r="H24" s="166"/>
      <c r="I24" s="166"/>
      <c r="J24" s="166"/>
    </row>
    <row r="25" spans="1:10">
      <c r="A25" s="166"/>
      <c r="B25" s="284"/>
      <c r="C25" s="32" t="s">
        <v>503</v>
      </c>
      <c r="D25" s="166"/>
      <c r="E25" s="166"/>
      <c r="F25" s="166"/>
      <c r="G25" s="166"/>
      <c r="H25" s="166"/>
      <c r="I25" s="166"/>
      <c r="J25" s="166"/>
    </row>
    <row r="26" spans="1:10">
      <c r="A26" s="166"/>
      <c r="B26" s="284"/>
      <c r="C26" s="306"/>
      <c r="D26" s="166"/>
      <c r="E26" s="166"/>
      <c r="F26" s="166"/>
      <c r="G26" s="166"/>
      <c r="H26" s="166"/>
      <c r="I26" s="166"/>
      <c r="J26" s="166"/>
    </row>
    <row r="27" spans="1:10">
      <c r="A27" s="166"/>
      <c r="B27" s="166"/>
      <c r="C27" s="150" t="s">
        <v>373</v>
      </c>
      <c r="D27" s="148"/>
      <c r="E27" s="305">
        <v>0.05</v>
      </c>
      <c r="F27" s="148" t="s">
        <v>370</v>
      </c>
      <c r="G27" s="68"/>
      <c r="H27" s="166"/>
      <c r="I27" s="166"/>
      <c r="J27" s="166"/>
    </row>
    <row r="28" spans="1:10">
      <c r="A28" s="166"/>
      <c r="B28" s="166"/>
      <c r="C28" s="150" t="s">
        <v>502</v>
      </c>
      <c r="D28" s="148"/>
      <c r="E28" s="305">
        <v>0.02</v>
      </c>
      <c r="F28" s="148" t="s">
        <v>370</v>
      </c>
      <c r="G28" s="68"/>
      <c r="H28" s="166"/>
      <c r="I28" s="166"/>
      <c r="J28" s="166"/>
    </row>
    <row r="29" spans="1:10">
      <c r="A29" s="166"/>
      <c r="B29" s="166"/>
      <c r="C29" s="150" t="s">
        <v>501</v>
      </c>
      <c r="D29" s="148"/>
      <c r="E29" s="305">
        <v>3.5000000000000003E-2</v>
      </c>
      <c r="F29" s="148" t="s">
        <v>370</v>
      </c>
      <c r="G29" s="68"/>
      <c r="H29" s="166"/>
      <c r="I29" s="166"/>
      <c r="J29" s="166"/>
    </row>
    <row r="30" spans="1:10">
      <c r="A30" s="166"/>
      <c r="B30" s="166"/>
      <c r="C30" s="150" t="s">
        <v>500</v>
      </c>
      <c r="D30" s="148"/>
      <c r="E30" s="304">
        <v>50000</v>
      </c>
      <c r="F30" s="148"/>
      <c r="G30" s="68"/>
      <c r="H30" s="166"/>
      <c r="I30" s="166"/>
      <c r="J30" s="166"/>
    </row>
    <row r="31" spans="1:10">
      <c r="A31" s="166"/>
      <c r="B31" s="166"/>
      <c r="C31" s="150" t="s">
        <v>499</v>
      </c>
      <c r="D31" s="148"/>
      <c r="E31" s="303" t="s">
        <v>498</v>
      </c>
      <c r="F31" s="148"/>
      <c r="G31" s="68"/>
      <c r="H31" s="166"/>
      <c r="I31" s="166"/>
      <c r="J31" s="166"/>
    </row>
    <row r="32" spans="1:10">
      <c r="A32" s="166"/>
      <c r="B32" s="166"/>
      <c r="C32" s="150" t="s">
        <v>497</v>
      </c>
      <c r="D32" s="148"/>
      <c r="E32" s="302" t="s">
        <v>496</v>
      </c>
      <c r="F32" s="148"/>
      <c r="G32" s="68"/>
      <c r="H32" s="166"/>
      <c r="I32" s="166"/>
      <c r="J32" s="166"/>
    </row>
    <row r="33" spans="1:10">
      <c r="A33" s="166"/>
      <c r="B33" s="166"/>
      <c r="C33" s="1721" t="s">
        <v>495</v>
      </c>
      <c r="D33" s="1722"/>
      <c r="E33" s="301" t="s">
        <v>252</v>
      </c>
      <c r="F33" s="300" t="s">
        <v>491</v>
      </c>
      <c r="G33" s="68"/>
      <c r="H33" s="166"/>
      <c r="I33" s="166"/>
      <c r="J33" s="166"/>
    </row>
    <row r="34" spans="1:10">
      <c r="A34" s="166"/>
      <c r="B34" s="166"/>
      <c r="C34" s="1723"/>
      <c r="D34" s="1724"/>
      <c r="E34" s="299">
        <v>62</v>
      </c>
      <c r="F34" s="297">
        <v>0.6</v>
      </c>
      <c r="G34" s="68"/>
      <c r="H34" s="166"/>
      <c r="I34" s="166"/>
      <c r="J34" s="166"/>
    </row>
    <row r="35" spans="1:10">
      <c r="A35" s="166"/>
      <c r="B35" s="166"/>
      <c r="C35" s="1743"/>
      <c r="D35" s="1744"/>
      <c r="E35" s="298">
        <v>65</v>
      </c>
      <c r="F35" s="297">
        <v>1</v>
      </c>
      <c r="G35" s="68"/>
      <c r="H35" s="166"/>
      <c r="I35" s="166"/>
      <c r="J35" s="166"/>
    </row>
    <row r="36" spans="1:10">
      <c r="A36" s="166"/>
      <c r="B36" s="166"/>
      <c r="C36" s="1745" t="s">
        <v>494</v>
      </c>
      <c r="D36" s="1746"/>
      <c r="E36" s="212" t="s">
        <v>493</v>
      </c>
      <c r="F36" s="297"/>
      <c r="G36" s="68"/>
      <c r="H36" s="166"/>
      <c r="I36" s="166"/>
      <c r="J36" s="166"/>
    </row>
    <row r="37" spans="1:10">
      <c r="A37" s="166"/>
      <c r="B37" s="166"/>
      <c r="C37" s="1721" t="s">
        <v>492</v>
      </c>
      <c r="D37" s="1722"/>
      <c r="E37" s="301" t="s">
        <v>252</v>
      </c>
      <c r="F37" s="300" t="s">
        <v>491</v>
      </c>
      <c r="G37" s="68"/>
      <c r="H37" s="166"/>
      <c r="I37" s="166"/>
      <c r="J37" s="166"/>
    </row>
    <row r="38" spans="1:10">
      <c r="A38" s="166"/>
      <c r="B38" s="166"/>
      <c r="C38" s="1723"/>
      <c r="D38" s="1724"/>
      <c r="E38" s="299" t="s">
        <v>490</v>
      </c>
      <c r="F38" s="297">
        <v>0.05</v>
      </c>
      <c r="G38" s="68"/>
      <c r="H38" s="166"/>
      <c r="I38" s="166"/>
      <c r="J38" s="166"/>
    </row>
    <row r="39" spans="1:10">
      <c r="A39" s="166"/>
      <c r="B39" s="166"/>
      <c r="C39" s="1723"/>
      <c r="D39" s="1724"/>
      <c r="E39" s="298" t="s">
        <v>489</v>
      </c>
      <c r="F39" s="297">
        <v>0</v>
      </c>
      <c r="G39" s="68"/>
      <c r="H39" s="166"/>
      <c r="I39" s="166"/>
      <c r="J39" s="166"/>
    </row>
    <row r="40" spans="1:10" ht="15.6" customHeight="1">
      <c r="A40" s="166"/>
      <c r="B40" s="166"/>
      <c r="C40" s="1725" t="s">
        <v>488</v>
      </c>
      <c r="D40" s="1726"/>
      <c r="E40" s="1729" t="s">
        <v>487</v>
      </c>
      <c r="F40" s="1730"/>
      <c r="G40" s="68"/>
      <c r="H40" s="166"/>
      <c r="I40" s="166"/>
      <c r="J40" s="166"/>
    </row>
    <row r="41" spans="1:10" ht="15.6" customHeight="1">
      <c r="A41" s="166"/>
      <c r="B41" s="166"/>
      <c r="C41" s="1727"/>
      <c r="D41" s="1728"/>
      <c r="E41" s="1731"/>
      <c r="F41" s="1732"/>
      <c r="G41" s="68"/>
      <c r="H41" s="166"/>
      <c r="I41" s="166"/>
      <c r="J41" s="166"/>
    </row>
    <row r="42" spans="1:10" ht="15.6" customHeight="1">
      <c r="A42" s="166"/>
      <c r="B42" s="166"/>
      <c r="C42" s="295" t="s">
        <v>486</v>
      </c>
      <c r="D42" s="294"/>
      <c r="E42" s="1733" t="s">
        <v>485</v>
      </c>
      <c r="F42" s="1734"/>
      <c r="G42" s="68"/>
      <c r="H42" s="166"/>
      <c r="I42" s="166"/>
      <c r="J42" s="166"/>
    </row>
    <row r="43" spans="1:10" ht="15.6" customHeight="1">
      <c r="A43" s="166"/>
      <c r="B43" s="166"/>
      <c r="C43" s="1691" t="s">
        <v>484</v>
      </c>
      <c r="D43" s="1693"/>
      <c r="E43" s="1733" t="s">
        <v>483</v>
      </c>
      <c r="F43" s="1734"/>
      <c r="G43" s="68"/>
      <c r="H43" s="166"/>
      <c r="I43" s="166"/>
      <c r="J43" s="166"/>
    </row>
    <row r="44" spans="1:10">
      <c r="A44" s="166"/>
      <c r="B44" s="166"/>
      <c r="C44" s="166"/>
      <c r="D44" s="166"/>
      <c r="E44" s="293"/>
      <c r="F44" s="292"/>
      <c r="G44" s="68"/>
      <c r="H44" s="166"/>
      <c r="I44" s="166"/>
      <c r="J44" s="166"/>
    </row>
    <row r="45" spans="1:10">
      <c r="A45" s="166"/>
      <c r="B45" s="166"/>
      <c r="C45" s="137" t="s">
        <v>482</v>
      </c>
      <c r="D45" s="2"/>
      <c r="E45" s="2"/>
      <c r="F45" s="285"/>
      <c r="G45" s="68"/>
      <c r="H45" s="166"/>
      <c r="I45" s="166"/>
      <c r="J45" s="68"/>
    </row>
    <row r="46" spans="1:10">
      <c r="A46" s="166"/>
      <c r="B46" s="166"/>
      <c r="C46" s="291" t="s">
        <v>481</v>
      </c>
      <c r="D46" s="148"/>
      <c r="E46" s="290">
        <v>0.05</v>
      </c>
      <c r="F46" s="68"/>
      <c r="G46" s="68"/>
      <c r="H46" s="68"/>
      <c r="I46" s="68"/>
      <c r="J46" s="166"/>
    </row>
    <row r="47" spans="1:10">
      <c r="A47" s="166"/>
      <c r="B47" s="166"/>
      <c r="C47" s="1735" t="s">
        <v>480</v>
      </c>
      <c r="D47" s="1736"/>
      <c r="E47" s="1739">
        <v>7.0000000000000007E-2</v>
      </c>
      <c r="F47" s="68"/>
      <c r="G47" s="68"/>
      <c r="H47" s="68"/>
      <c r="I47" s="68"/>
      <c r="J47" s="166"/>
    </row>
    <row r="48" spans="1:10">
      <c r="A48" s="166"/>
      <c r="B48" s="166"/>
      <c r="C48" s="1737"/>
      <c r="D48" s="1738"/>
      <c r="E48" s="1740"/>
      <c r="F48" s="68"/>
      <c r="G48" s="68"/>
      <c r="H48" s="68"/>
      <c r="I48" s="68"/>
      <c r="J48" s="166"/>
    </row>
    <row r="49" spans="1:10">
      <c r="A49" s="166"/>
      <c r="B49" s="166"/>
      <c r="C49" s="289" t="s">
        <v>371</v>
      </c>
      <c r="D49" s="148"/>
      <c r="E49" s="288">
        <v>5.8999999999999997E-2</v>
      </c>
      <c r="F49" s="285"/>
      <c r="G49" s="68"/>
      <c r="H49" s="68"/>
      <c r="I49" s="68"/>
      <c r="J49" s="166"/>
    </row>
    <row r="50" spans="1:10">
      <c r="A50" s="166"/>
      <c r="B50" s="166"/>
      <c r="C50" s="205"/>
      <c r="D50" s="68"/>
      <c r="E50" s="287"/>
      <c r="F50" s="285"/>
      <c r="G50" s="68"/>
      <c r="H50" s="68"/>
      <c r="I50" s="68"/>
      <c r="J50" s="166"/>
    </row>
    <row r="51" spans="1:10">
      <c r="A51" s="166"/>
      <c r="B51" s="166"/>
      <c r="C51" s="32" t="s">
        <v>479</v>
      </c>
      <c r="D51" s="2"/>
      <c r="E51" s="286"/>
      <c r="F51" s="285"/>
      <c r="G51" s="68"/>
      <c r="H51" s="68"/>
      <c r="I51" s="68"/>
      <c r="J51" s="166"/>
    </row>
    <row r="52" spans="1:10">
      <c r="A52" s="166"/>
      <c r="B52" s="166"/>
      <c r="C52" s="1720" t="s">
        <v>478</v>
      </c>
      <c r="D52" s="1720"/>
      <c r="E52" s="1718" t="s">
        <v>477</v>
      </c>
      <c r="F52" s="1718"/>
      <c r="G52" s="68"/>
      <c r="H52" s="68"/>
      <c r="I52" s="68"/>
      <c r="J52" s="166"/>
    </row>
    <row r="53" spans="1:10">
      <c r="A53" s="166"/>
      <c r="B53" s="166"/>
      <c r="C53" s="1719" t="s">
        <v>476</v>
      </c>
      <c r="D53" s="1719"/>
      <c r="E53" s="1719"/>
      <c r="F53" s="1719"/>
      <c r="G53" s="68"/>
      <c r="H53" s="68"/>
      <c r="I53" s="68"/>
      <c r="J53" s="166"/>
    </row>
    <row r="54" spans="1:10">
      <c r="A54" s="166"/>
      <c r="B54" s="166"/>
      <c r="C54" s="1714" t="s">
        <v>475</v>
      </c>
      <c r="D54" s="1714"/>
      <c r="E54" s="1718" t="s">
        <v>474</v>
      </c>
      <c r="F54" s="1718"/>
      <c r="G54" s="68"/>
      <c r="H54" s="68"/>
      <c r="I54" s="68"/>
      <c r="J54" s="166"/>
    </row>
    <row r="55" spans="1:10">
      <c r="A55" s="166"/>
      <c r="B55" s="166"/>
      <c r="C55" s="1714" t="s">
        <v>473</v>
      </c>
      <c r="D55" s="1714"/>
      <c r="E55" s="1718" t="s">
        <v>472</v>
      </c>
      <c r="F55" s="1718"/>
      <c r="G55" s="68"/>
      <c r="H55" s="68"/>
      <c r="I55" s="68"/>
      <c r="J55" s="166"/>
    </row>
    <row r="56" spans="1:10">
      <c r="A56" s="166"/>
      <c r="B56" s="166"/>
      <c r="C56" s="1719" t="s">
        <v>471</v>
      </c>
      <c r="D56" s="1719"/>
      <c r="E56" s="1719"/>
      <c r="F56" s="1719"/>
      <c r="G56" s="68"/>
      <c r="H56" s="68"/>
      <c r="I56" s="68"/>
      <c r="J56" s="166"/>
    </row>
    <row r="57" spans="1:10">
      <c r="A57" s="166"/>
      <c r="B57" s="166"/>
      <c r="C57" s="1714" t="s">
        <v>470</v>
      </c>
      <c r="D57" s="1714"/>
      <c r="E57" s="1718" t="s">
        <v>469</v>
      </c>
      <c r="F57" s="1718"/>
      <c r="G57" s="279"/>
      <c r="H57" s="68"/>
      <c r="I57" s="68"/>
      <c r="J57" s="166"/>
    </row>
    <row r="58" spans="1:10">
      <c r="A58" s="166"/>
      <c r="B58" s="166"/>
      <c r="C58" s="1714" t="s">
        <v>468</v>
      </c>
      <c r="D58" s="1714"/>
      <c r="E58" s="1718" t="s">
        <v>467</v>
      </c>
      <c r="F58" s="1718"/>
      <c r="G58" s="279"/>
      <c r="H58" s="68"/>
      <c r="I58" s="68"/>
      <c r="J58" s="166"/>
    </row>
    <row r="59" spans="1:10">
      <c r="A59" s="166"/>
      <c r="B59" s="166"/>
      <c r="C59" s="1719" t="s">
        <v>466</v>
      </c>
      <c r="D59" s="1719"/>
      <c r="E59" s="1719"/>
      <c r="F59" s="1719"/>
      <c r="G59" s="68"/>
      <c r="H59" s="68"/>
      <c r="I59" s="68"/>
      <c r="J59" s="166"/>
    </row>
    <row r="60" spans="1:10">
      <c r="A60" s="166"/>
      <c r="B60" s="166"/>
      <c r="C60" s="1714" t="s">
        <v>465</v>
      </c>
      <c r="D60" s="1714"/>
      <c r="E60" s="1718">
        <v>2.7E-2</v>
      </c>
      <c r="F60" s="1718"/>
      <c r="G60" s="68"/>
      <c r="H60" s="68"/>
      <c r="I60" s="68"/>
      <c r="J60" s="166"/>
    </row>
    <row r="61" spans="1:10">
      <c r="A61" s="166"/>
      <c r="B61" s="166"/>
      <c r="C61" s="1714" t="s">
        <v>464</v>
      </c>
      <c r="D61" s="1714"/>
      <c r="E61" s="1718">
        <v>2.1999999999999999E-2</v>
      </c>
      <c r="F61" s="1718"/>
      <c r="G61" s="68"/>
      <c r="H61" s="68"/>
      <c r="I61" s="68"/>
      <c r="J61" s="166"/>
    </row>
    <row r="62" spans="1:10">
      <c r="A62" s="166"/>
      <c r="B62" s="166"/>
      <c r="C62" s="1714" t="s">
        <v>463</v>
      </c>
      <c r="D62" s="1714"/>
      <c r="E62" s="1715">
        <v>100000</v>
      </c>
      <c r="F62" s="1715"/>
      <c r="G62" s="68"/>
      <c r="H62" s="68"/>
      <c r="I62" s="68"/>
      <c r="J62" s="166"/>
    </row>
    <row r="63" spans="1:10">
      <c r="A63" s="166"/>
      <c r="B63" s="166"/>
      <c r="C63" s="1716" t="s">
        <v>462</v>
      </c>
      <c r="D63" s="1716"/>
      <c r="E63" s="1717" t="s">
        <v>461</v>
      </c>
      <c r="F63" s="1717"/>
      <c r="G63" s="68"/>
      <c r="H63" s="68"/>
      <c r="I63" s="68"/>
      <c r="J63" s="166"/>
    </row>
    <row r="64" spans="1:10">
      <c r="A64" s="166"/>
      <c r="B64" s="166"/>
      <c r="C64" s="166"/>
      <c r="D64" s="166"/>
      <c r="E64" s="166"/>
      <c r="F64" s="166"/>
      <c r="G64" s="166"/>
      <c r="H64" s="166"/>
      <c r="I64" s="166"/>
      <c r="J64" s="166"/>
    </row>
    <row r="65" spans="1:10">
      <c r="A65" s="166"/>
      <c r="B65" s="284"/>
      <c r="C65" s="32" t="s">
        <v>460</v>
      </c>
      <c r="D65" s="166"/>
      <c r="E65" s="166"/>
      <c r="F65" s="166"/>
      <c r="G65" s="166"/>
      <c r="H65" s="166"/>
      <c r="I65" s="166"/>
      <c r="J65" s="166"/>
    </row>
    <row r="66" spans="1:10">
      <c r="A66" s="166"/>
      <c r="B66" s="166"/>
      <c r="C66" s="151" t="s">
        <v>459</v>
      </c>
      <c r="D66" s="158" t="s">
        <v>458</v>
      </c>
      <c r="E66" s="158" t="s">
        <v>457</v>
      </c>
      <c r="F66" s="158" t="s">
        <v>456</v>
      </c>
      <c r="G66" s="158" t="s">
        <v>455</v>
      </c>
      <c r="H66" s="166"/>
      <c r="I66" s="166"/>
      <c r="J66" s="166"/>
    </row>
    <row r="67" spans="1:10">
      <c r="A67" s="166"/>
      <c r="B67" s="166"/>
      <c r="C67" s="147" t="s">
        <v>454</v>
      </c>
      <c r="D67" s="283">
        <v>5500</v>
      </c>
      <c r="E67" s="281">
        <v>44196</v>
      </c>
      <c r="F67" s="282">
        <v>44197</v>
      </c>
      <c r="G67" s="281">
        <v>44561</v>
      </c>
      <c r="H67" s="280"/>
      <c r="I67" s="166"/>
      <c r="J67" s="166"/>
    </row>
    <row r="68" spans="1:10">
      <c r="A68" s="166"/>
      <c r="B68" s="166"/>
      <c r="C68" s="147" t="s">
        <v>453</v>
      </c>
      <c r="D68" s="283">
        <v>750</v>
      </c>
      <c r="E68" s="281">
        <v>44196</v>
      </c>
      <c r="F68" s="282">
        <v>44562</v>
      </c>
      <c r="G68" s="281">
        <v>48214</v>
      </c>
      <c r="H68" s="280"/>
      <c r="I68" s="166"/>
      <c r="J68" s="166"/>
    </row>
    <row r="69" spans="1:10">
      <c r="A69" s="166"/>
      <c r="B69" s="166"/>
      <c r="C69" s="147" t="s">
        <v>452</v>
      </c>
      <c r="D69" s="283">
        <v>1000</v>
      </c>
      <c r="E69" s="281">
        <v>43100</v>
      </c>
      <c r="F69" s="282">
        <v>43101</v>
      </c>
      <c r="G69" s="281">
        <v>44926</v>
      </c>
      <c r="H69" s="280"/>
      <c r="I69" s="166"/>
      <c r="J69" s="166"/>
    </row>
    <row r="70" spans="1:10">
      <c r="A70" s="166"/>
      <c r="B70" s="166"/>
      <c r="C70" s="147" t="s">
        <v>451</v>
      </c>
      <c r="D70" s="283">
        <v>2000</v>
      </c>
      <c r="E70" s="281">
        <v>44196</v>
      </c>
      <c r="F70" s="282">
        <v>44562</v>
      </c>
      <c r="G70" s="281">
        <v>46387</v>
      </c>
      <c r="H70" s="280"/>
      <c r="I70" s="166"/>
      <c r="J70" s="166"/>
    </row>
    <row r="71" spans="1:10">
      <c r="A71" s="166"/>
      <c r="B71" s="166"/>
      <c r="C71" s="166"/>
      <c r="D71" s="280"/>
      <c r="E71" s="166"/>
      <c r="F71" s="166"/>
      <c r="G71" s="166"/>
      <c r="H71" s="166"/>
      <c r="I71" s="166"/>
      <c r="J71" s="166"/>
    </row>
    <row r="72" spans="1:10">
      <c r="A72" s="166"/>
      <c r="B72" s="166"/>
      <c r="C72" s="32" t="s">
        <v>450</v>
      </c>
      <c r="D72" s="166"/>
      <c r="E72" s="166"/>
      <c r="F72" s="166"/>
      <c r="G72" s="166"/>
      <c r="H72" s="166"/>
      <c r="I72" s="166"/>
      <c r="J72" s="166"/>
    </row>
    <row r="73" spans="1:10">
      <c r="A73" s="166"/>
      <c r="B73" s="166"/>
      <c r="C73" s="166"/>
      <c r="D73" s="163" t="s">
        <v>449</v>
      </c>
      <c r="E73" s="275" t="s">
        <v>388</v>
      </c>
      <c r="F73" s="275" t="s">
        <v>377</v>
      </c>
      <c r="G73" s="279"/>
      <c r="H73" s="166"/>
      <c r="I73" s="166"/>
      <c r="J73" s="166"/>
    </row>
    <row r="74" spans="1:10">
      <c r="A74" s="166"/>
      <c r="B74" s="166"/>
      <c r="C74" s="166"/>
      <c r="D74" s="208" t="s">
        <v>437</v>
      </c>
      <c r="E74" s="131">
        <v>43</v>
      </c>
      <c r="F74" s="131">
        <v>60</v>
      </c>
      <c r="G74" s="279"/>
      <c r="H74" s="166"/>
      <c r="I74" s="166"/>
      <c r="J74" s="166"/>
    </row>
    <row r="75" spans="1:10">
      <c r="A75" s="166"/>
      <c r="B75" s="166"/>
      <c r="C75" s="166"/>
      <c r="D75" s="208" t="s">
        <v>448</v>
      </c>
      <c r="E75" s="273">
        <v>49000</v>
      </c>
      <c r="F75" s="273">
        <v>78000</v>
      </c>
      <c r="G75" s="166"/>
      <c r="H75" s="166"/>
      <c r="I75" s="166"/>
      <c r="J75" s="166"/>
    </row>
    <row r="76" spans="1:10">
      <c r="A76" s="166"/>
      <c r="B76" s="166"/>
      <c r="C76" s="166"/>
      <c r="D76" s="208" t="s">
        <v>447</v>
      </c>
      <c r="E76" s="273">
        <v>50000</v>
      </c>
      <c r="F76" s="273">
        <v>78000</v>
      </c>
      <c r="G76" s="166"/>
      <c r="H76" s="166"/>
      <c r="I76" s="166"/>
      <c r="J76" s="166"/>
    </row>
    <row r="77" spans="1:10">
      <c r="A77" s="166"/>
      <c r="B77" s="166"/>
      <c r="C77" s="166"/>
      <c r="D77" s="208" t="s">
        <v>446</v>
      </c>
      <c r="E77" s="273">
        <v>65000</v>
      </c>
      <c r="F77" s="273">
        <v>83000</v>
      </c>
      <c r="G77" s="278"/>
      <c r="H77" s="166"/>
      <c r="I77" s="166"/>
      <c r="J77" s="166"/>
    </row>
    <row r="78" spans="1:10">
      <c r="A78" s="166"/>
      <c r="B78" s="166"/>
      <c r="C78" s="166"/>
      <c r="D78" s="208" t="s">
        <v>445</v>
      </c>
      <c r="E78" s="135">
        <v>12</v>
      </c>
      <c r="F78" s="135">
        <v>5</v>
      </c>
      <c r="G78" s="277"/>
      <c r="H78" s="166"/>
      <c r="I78" s="166"/>
      <c r="J78" s="166"/>
    </row>
    <row r="79" spans="1:10">
      <c r="A79" s="166"/>
      <c r="B79" s="166"/>
      <c r="C79" s="166"/>
      <c r="D79" s="208" t="s">
        <v>444</v>
      </c>
      <c r="E79" s="135" t="s">
        <v>443</v>
      </c>
      <c r="F79" s="135" t="s">
        <v>443</v>
      </c>
      <c r="G79" s="166"/>
      <c r="H79" s="166"/>
      <c r="I79" s="166"/>
      <c r="J79" s="166"/>
    </row>
    <row r="80" spans="1:10">
      <c r="A80" s="166"/>
      <c r="B80" s="166"/>
      <c r="C80" s="166"/>
      <c r="D80" s="166"/>
      <c r="E80" s="276"/>
      <c r="F80" s="276"/>
      <c r="G80" s="166"/>
      <c r="H80" s="166"/>
      <c r="I80" s="166"/>
      <c r="J80" s="166"/>
    </row>
    <row r="81" spans="1:10">
      <c r="A81" s="166"/>
      <c r="B81" s="166"/>
      <c r="C81" s="166"/>
      <c r="D81" s="163" t="s">
        <v>442</v>
      </c>
      <c r="E81" s="275" t="s">
        <v>385</v>
      </c>
      <c r="F81" s="275" t="s">
        <v>384</v>
      </c>
      <c r="G81" s="166"/>
      <c r="H81" s="166"/>
      <c r="I81" s="166"/>
      <c r="J81" s="166"/>
    </row>
    <row r="82" spans="1:10">
      <c r="A82" s="166"/>
      <c r="B82" s="166"/>
      <c r="C82" s="166"/>
      <c r="D82" s="208" t="s">
        <v>437</v>
      </c>
      <c r="E82" s="131">
        <v>58</v>
      </c>
      <c r="F82" s="131">
        <v>35</v>
      </c>
      <c r="G82" s="166"/>
      <c r="H82" s="277"/>
      <c r="I82" s="166"/>
      <c r="J82" s="166"/>
    </row>
    <row r="83" spans="1:10">
      <c r="A83" s="166"/>
      <c r="B83" s="166"/>
      <c r="C83" s="166"/>
      <c r="D83" s="208" t="s">
        <v>441</v>
      </c>
      <c r="E83" s="131" t="s">
        <v>440</v>
      </c>
      <c r="F83" s="131" t="s">
        <v>440</v>
      </c>
      <c r="G83" s="166"/>
      <c r="H83" s="277"/>
      <c r="I83" s="166"/>
      <c r="J83" s="166"/>
    </row>
    <row r="84" spans="1:10">
      <c r="A84" s="166"/>
      <c r="B84" s="166"/>
      <c r="C84" s="166"/>
      <c r="D84" s="208" t="s">
        <v>439</v>
      </c>
      <c r="E84" s="273">
        <v>25000</v>
      </c>
      <c r="F84" s="273">
        <v>10000</v>
      </c>
      <c r="G84" s="166"/>
      <c r="H84" s="166"/>
      <c r="I84" s="166"/>
      <c r="J84" s="166"/>
    </row>
    <row r="85" spans="1:10">
      <c r="A85" s="166"/>
      <c r="B85" s="166"/>
      <c r="C85" s="166"/>
      <c r="D85" s="166"/>
      <c r="E85" s="276"/>
      <c r="F85" s="276"/>
      <c r="G85" s="166"/>
      <c r="H85" s="166"/>
      <c r="I85" s="166"/>
      <c r="J85" s="166"/>
    </row>
    <row r="86" spans="1:10">
      <c r="A86" s="166"/>
      <c r="B86" s="166"/>
      <c r="C86" s="2"/>
      <c r="D86" s="163" t="s">
        <v>438</v>
      </c>
      <c r="E86" s="275" t="s">
        <v>382</v>
      </c>
      <c r="F86" s="275" t="s">
        <v>380</v>
      </c>
      <c r="G86" s="2"/>
      <c r="H86" s="166"/>
      <c r="I86" s="166"/>
      <c r="J86" s="166"/>
    </row>
    <row r="87" spans="1:10">
      <c r="A87" s="166"/>
      <c r="B87" s="166"/>
      <c r="C87" s="2"/>
      <c r="D87" s="208" t="s">
        <v>437</v>
      </c>
      <c r="E87" s="131">
        <v>72</v>
      </c>
      <c r="F87" s="131">
        <v>68</v>
      </c>
      <c r="G87" s="2"/>
      <c r="H87" s="166"/>
      <c r="I87" s="166"/>
      <c r="J87" s="166"/>
    </row>
    <row r="88" spans="1:10">
      <c r="A88" s="166"/>
      <c r="B88" s="166"/>
      <c r="C88" s="2"/>
      <c r="D88" s="208" t="s">
        <v>436</v>
      </c>
      <c r="E88" s="131">
        <v>70</v>
      </c>
      <c r="F88" s="131" t="s">
        <v>435</v>
      </c>
      <c r="G88" s="2"/>
      <c r="H88" s="166"/>
      <c r="I88" s="166"/>
      <c r="J88" s="166"/>
    </row>
    <row r="89" spans="1:10">
      <c r="A89" s="166"/>
      <c r="B89" s="166"/>
      <c r="C89" s="2"/>
      <c r="D89" s="208" t="s">
        <v>434</v>
      </c>
      <c r="E89" s="274">
        <v>40909</v>
      </c>
      <c r="F89" s="274">
        <v>42005</v>
      </c>
      <c r="G89" s="2"/>
      <c r="H89" s="166"/>
      <c r="I89" s="166"/>
      <c r="J89" s="166"/>
    </row>
    <row r="90" spans="1:10">
      <c r="A90" s="166"/>
      <c r="B90" s="166"/>
      <c r="C90" s="2"/>
      <c r="D90" s="208" t="s">
        <v>433</v>
      </c>
      <c r="E90" s="273">
        <v>50000</v>
      </c>
      <c r="F90" s="273">
        <v>36000</v>
      </c>
      <c r="G90" s="222"/>
      <c r="H90" s="166"/>
      <c r="I90" s="166"/>
      <c r="J90" s="166"/>
    </row>
    <row r="91" spans="1:10">
      <c r="A91" s="166"/>
      <c r="B91" s="166"/>
      <c r="C91" s="2"/>
      <c r="D91" s="208" t="s">
        <v>432</v>
      </c>
      <c r="E91" s="272" t="s">
        <v>431</v>
      </c>
      <c r="F91" s="272" t="s">
        <v>430</v>
      </c>
      <c r="G91" s="2"/>
      <c r="H91" s="166"/>
      <c r="I91" s="166"/>
      <c r="J91" s="166"/>
    </row>
    <row r="92" spans="1:10">
      <c r="A92" s="166"/>
      <c r="B92" s="166"/>
      <c r="C92" s="2"/>
      <c r="D92" s="2"/>
      <c r="E92" s="2"/>
      <c r="F92" s="2"/>
      <c r="G92" s="2"/>
      <c r="H92" s="166"/>
      <c r="I92" s="166"/>
      <c r="J92" s="166"/>
    </row>
    <row r="93" spans="1:10">
      <c r="A93" s="166"/>
      <c r="B93" s="166"/>
      <c r="C93" s="32" t="s">
        <v>429</v>
      </c>
      <c r="D93" s="2"/>
      <c r="E93" s="2"/>
      <c r="F93" s="2"/>
      <c r="G93" s="2"/>
      <c r="H93" s="166"/>
      <c r="I93" s="166"/>
      <c r="J93" s="166"/>
    </row>
    <row r="94" spans="1:10">
      <c r="A94" s="166"/>
      <c r="B94" s="166"/>
      <c r="C94" s="2" t="s">
        <v>428</v>
      </c>
      <c r="D94" s="2"/>
      <c r="E94" s="271">
        <v>1287780</v>
      </c>
      <c r="F94" s="2"/>
      <c r="G94" s="2"/>
      <c r="H94" s="166"/>
      <c r="I94" s="166"/>
      <c r="J94" s="166"/>
    </row>
    <row r="95" spans="1:10">
      <c r="A95" s="166"/>
      <c r="B95" s="166"/>
      <c r="C95" s="2"/>
      <c r="D95" s="2"/>
      <c r="E95" s="270"/>
      <c r="F95" s="2"/>
      <c r="G95" s="2"/>
      <c r="H95" s="166"/>
      <c r="I95" s="166"/>
      <c r="J95" s="166"/>
    </row>
    <row r="96" spans="1:10">
      <c r="A96" s="166"/>
      <c r="B96" s="166"/>
      <c r="C96" s="2" t="s">
        <v>427</v>
      </c>
      <c r="D96" s="2"/>
      <c r="E96" s="2"/>
      <c r="F96" s="2"/>
      <c r="G96" s="2"/>
      <c r="H96" s="166"/>
      <c r="I96" s="166"/>
      <c r="J96" s="166"/>
    </row>
    <row r="97" spans="1:10">
      <c r="A97" s="166"/>
      <c r="B97" s="166"/>
      <c r="C97" s="68"/>
      <c r="D97" s="68"/>
      <c r="E97" s="2"/>
      <c r="F97" s="2"/>
      <c r="G97" s="2"/>
      <c r="H97" s="166"/>
      <c r="I97" s="166"/>
      <c r="J97" s="166"/>
    </row>
    <row r="98" spans="1:10">
      <c r="A98" s="166"/>
      <c r="B98" s="166"/>
      <c r="C98" s="68"/>
      <c r="D98" s="68"/>
      <c r="E98" s="2"/>
      <c r="F98" s="2"/>
      <c r="G98" s="2"/>
      <c r="H98" s="166"/>
      <c r="I98" s="166"/>
      <c r="J98" s="166"/>
    </row>
    <row r="99" spans="1:10">
      <c r="A99" s="166"/>
      <c r="B99" s="32"/>
      <c r="C99" s="166"/>
      <c r="D99" s="166"/>
      <c r="E99" s="166"/>
      <c r="F99" s="166"/>
      <c r="G99" s="166"/>
      <c r="H99" s="166"/>
      <c r="I99" s="166"/>
      <c r="J99" s="166"/>
    </row>
    <row r="100" spans="1:10">
      <c r="A100" s="166"/>
      <c r="B100" s="269" t="s">
        <v>426</v>
      </c>
    </row>
    <row r="101" spans="1:10">
      <c r="A101" s="166"/>
      <c r="B101" s="250" t="s">
        <v>425</v>
      </c>
    </row>
    <row r="102" spans="1:10">
      <c r="A102" s="166"/>
      <c r="F102" s="268"/>
    </row>
    <row r="103" spans="1:10">
      <c r="A103" s="166"/>
      <c r="B103" s="250" t="s">
        <v>424</v>
      </c>
      <c r="C103" s="229"/>
      <c r="D103" s="229"/>
      <c r="E103" s="249"/>
      <c r="F103" s="249"/>
      <c r="G103" s="229"/>
      <c r="H103" s="229"/>
      <c r="I103" s="225"/>
      <c r="J103" s="225"/>
    </row>
    <row r="104" spans="1:10">
      <c r="A104" s="166"/>
      <c r="B104" s="266"/>
      <c r="C104" s="1711" t="s">
        <v>422</v>
      </c>
      <c r="D104" s="1711"/>
      <c r="E104" s="1711"/>
      <c r="F104" s="1711"/>
      <c r="G104" s="1711"/>
      <c r="H104" s="1711"/>
      <c r="J104" s="225"/>
    </row>
    <row r="105" spans="1:10">
      <c r="A105" s="166"/>
      <c r="B105" s="265" t="s">
        <v>421</v>
      </c>
      <c r="C105" s="261">
        <v>60</v>
      </c>
      <c r="D105" s="261">
        <v>61</v>
      </c>
      <c r="E105" s="261">
        <v>62</v>
      </c>
      <c r="F105" s="261">
        <v>63</v>
      </c>
      <c r="G105" s="261">
        <v>64</v>
      </c>
      <c r="H105" s="261">
        <v>65</v>
      </c>
      <c r="I105" s="225"/>
      <c r="J105" s="225"/>
    </row>
    <row r="106" spans="1:10">
      <c r="A106" s="166"/>
      <c r="B106" s="259">
        <f>'FRC-Fall22-Q3'!E27</f>
        <v>0.05</v>
      </c>
      <c r="C106" s="258">
        <v>17.7</v>
      </c>
      <c r="D106" s="258">
        <v>17.3</v>
      </c>
      <c r="E106" s="258">
        <v>16.899999999999999</v>
      </c>
      <c r="F106" s="258">
        <v>16.5</v>
      </c>
      <c r="G106" s="258">
        <v>16.100000000000001</v>
      </c>
      <c r="H106" s="258">
        <v>15.6</v>
      </c>
      <c r="I106" s="225"/>
    </row>
    <row r="107" spans="1:10">
      <c r="A107" s="166"/>
      <c r="B107" s="259">
        <f>'FRC-Fall22-Q3'!D271</f>
        <v>5.1999999999999998E-2</v>
      </c>
      <c r="C107" s="258">
        <v>17.3</v>
      </c>
      <c r="D107" s="258">
        <v>16.899999999999999</v>
      </c>
      <c r="E107" s="258">
        <v>16.5</v>
      </c>
      <c r="F107" s="258">
        <v>16.100000000000001</v>
      </c>
      <c r="G107" s="258">
        <v>15.7</v>
      </c>
      <c r="H107" s="258">
        <v>15.3</v>
      </c>
      <c r="I107" s="225"/>
      <c r="J107" s="225"/>
    </row>
    <row r="108" spans="1:10">
      <c r="A108" s="166"/>
      <c r="B108" s="263"/>
      <c r="C108" s="264"/>
      <c r="D108" s="264"/>
      <c r="E108" s="264"/>
      <c r="F108" s="264"/>
      <c r="G108" s="264"/>
      <c r="H108" s="264"/>
      <c r="I108" s="225"/>
      <c r="J108" s="225"/>
    </row>
    <row r="109" spans="1:10">
      <c r="A109" s="166"/>
      <c r="B109" s="263"/>
      <c r="C109" s="1711" t="s">
        <v>422</v>
      </c>
      <c r="D109" s="1711"/>
      <c r="E109" s="1711"/>
      <c r="F109" s="1711"/>
      <c r="G109" s="1711"/>
      <c r="H109" s="1711"/>
      <c r="I109" s="225"/>
      <c r="J109" s="225"/>
    </row>
    <row r="110" spans="1:10">
      <c r="A110" s="166"/>
      <c r="B110" s="262" t="s">
        <v>421</v>
      </c>
      <c r="C110" s="261">
        <v>68</v>
      </c>
      <c r="D110" s="261">
        <v>69</v>
      </c>
      <c r="E110" s="261">
        <v>70</v>
      </c>
      <c r="F110" s="261">
        <v>71</v>
      </c>
      <c r="G110" s="260" t="s">
        <v>420</v>
      </c>
      <c r="H110" s="260" t="s">
        <v>419</v>
      </c>
      <c r="I110" s="225"/>
      <c r="J110" s="225"/>
    </row>
    <row r="111" spans="1:10">
      <c r="A111" s="166"/>
      <c r="B111" s="259">
        <v>0.05</v>
      </c>
      <c r="C111" s="258">
        <v>14.2</v>
      </c>
      <c r="D111" s="258">
        <v>13.7</v>
      </c>
      <c r="E111" s="258">
        <v>13.2</v>
      </c>
      <c r="F111" s="258">
        <v>12.7</v>
      </c>
      <c r="G111" s="258">
        <v>14.6</v>
      </c>
      <c r="H111" s="258">
        <v>14.1</v>
      </c>
      <c r="I111" s="225"/>
      <c r="J111" s="267"/>
    </row>
    <row r="112" spans="1:10">
      <c r="A112" s="166"/>
      <c r="B112" s="259">
        <v>5.1999999999999998E-2</v>
      </c>
      <c r="C112" s="258">
        <v>13.9</v>
      </c>
      <c r="D112" s="258">
        <v>13.4</v>
      </c>
      <c r="E112" s="258">
        <v>13</v>
      </c>
      <c r="F112" s="258">
        <v>12.5</v>
      </c>
      <c r="G112" s="258">
        <v>14.3</v>
      </c>
      <c r="H112" s="258">
        <v>13.8</v>
      </c>
      <c r="I112" s="225"/>
      <c r="J112" s="267"/>
    </row>
    <row r="113" spans="1:10">
      <c r="A113" s="166"/>
      <c r="B113" s="257"/>
      <c r="C113" s="225"/>
      <c r="D113" s="225"/>
      <c r="E113" s="225"/>
      <c r="F113" s="225"/>
      <c r="G113" s="225"/>
      <c r="H113" s="225"/>
      <c r="I113" s="225"/>
      <c r="J113" s="225"/>
    </row>
    <row r="114" spans="1:10">
      <c r="A114" s="166"/>
      <c r="B114" s="250" t="s">
        <v>423</v>
      </c>
      <c r="C114" s="229"/>
      <c r="D114" s="229"/>
      <c r="E114" s="249"/>
      <c r="F114" s="249"/>
      <c r="G114" s="229"/>
      <c r="H114" s="229"/>
      <c r="I114" s="225"/>
      <c r="J114" s="225"/>
    </row>
    <row r="115" spans="1:10">
      <c r="A115" s="166"/>
      <c r="B115" s="266"/>
      <c r="C115" s="1711" t="s">
        <v>422</v>
      </c>
      <c r="D115" s="1711"/>
      <c r="E115" s="1711"/>
      <c r="F115" s="1711"/>
      <c r="G115" s="1711"/>
      <c r="H115" s="1711"/>
      <c r="I115" s="225"/>
      <c r="J115" s="225"/>
    </row>
    <row r="116" spans="1:10">
      <c r="A116" s="166"/>
      <c r="B116" s="265" t="s">
        <v>421</v>
      </c>
      <c r="C116" s="261">
        <v>60</v>
      </c>
      <c r="D116" s="261">
        <v>61</v>
      </c>
      <c r="E116" s="261">
        <v>62</v>
      </c>
      <c r="F116" s="261">
        <v>63</v>
      </c>
      <c r="G116" s="261">
        <v>64</v>
      </c>
      <c r="H116" s="261">
        <v>65</v>
      </c>
      <c r="I116" s="225"/>
      <c r="J116" s="225"/>
    </row>
    <row r="117" spans="1:10">
      <c r="A117" s="166"/>
      <c r="B117" s="259">
        <v>0.05</v>
      </c>
      <c r="C117" s="258">
        <v>14.2</v>
      </c>
      <c r="D117" s="258">
        <v>14</v>
      </c>
      <c r="E117" s="258">
        <v>13.7</v>
      </c>
      <c r="F117" s="258">
        <v>13.5</v>
      </c>
      <c r="G117" s="258">
        <v>13.2</v>
      </c>
      <c r="H117" s="258">
        <v>12.9</v>
      </c>
      <c r="I117" s="225"/>
      <c r="J117" s="225"/>
    </row>
    <row r="118" spans="1:10">
      <c r="A118" s="166"/>
      <c r="B118" s="259">
        <v>5.1999999999999998E-2</v>
      </c>
      <c r="C118" s="258">
        <v>13.9</v>
      </c>
      <c r="D118" s="258">
        <v>13.7</v>
      </c>
      <c r="E118" s="258">
        <v>13.5</v>
      </c>
      <c r="F118" s="258">
        <v>13.2</v>
      </c>
      <c r="G118" s="258">
        <v>13</v>
      </c>
      <c r="H118" s="258">
        <v>12.7</v>
      </c>
      <c r="I118" s="225"/>
      <c r="J118" s="225"/>
    </row>
    <row r="119" spans="1:10">
      <c r="A119" s="166"/>
      <c r="B119" s="263"/>
      <c r="C119" s="264"/>
      <c r="D119" s="264"/>
      <c r="E119" s="264"/>
      <c r="F119" s="264"/>
      <c r="G119" s="264"/>
      <c r="H119" s="264"/>
      <c r="I119" s="225"/>
      <c r="J119" s="225"/>
    </row>
    <row r="120" spans="1:10">
      <c r="A120" s="166"/>
      <c r="B120" s="263"/>
      <c r="C120" s="1711" t="s">
        <v>422</v>
      </c>
      <c r="D120" s="1711"/>
      <c r="E120" s="1711"/>
      <c r="F120" s="1711"/>
      <c r="G120" s="1711"/>
      <c r="H120" s="1711"/>
      <c r="I120" s="225"/>
      <c r="J120" s="225"/>
    </row>
    <row r="121" spans="1:10">
      <c r="A121" s="166"/>
      <c r="B121" s="262" t="s">
        <v>421</v>
      </c>
      <c r="C121" s="261">
        <v>68</v>
      </c>
      <c r="D121" s="261">
        <v>69</v>
      </c>
      <c r="E121" s="261">
        <v>70</v>
      </c>
      <c r="F121" s="261">
        <v>71</v>
      </c>
      <c r="G121" s="260" t="s">
        <v>420</v>
      </c>
      <c r="H121" s="260" t="s">
        <v>419</v>
      </c>
      <c r="I121" s="225"/>
      <c r="J121" s="225"/>
    </row>
    <row r="122" spans="1:10">
      <c r="A122" s="166"/>
      <c r="B122" s="259">
        <v>0.05</v>
      </c>
      <c r="C122" s="258">
        <v>11.9</v>
      </c>
      <c r="D122" s="258">
        <v>11.6</v>
      </c>
      <c r="E122" s="258">
        <v>11.2</v>
      </c>
      <c r="F122" s="258">
        <v>10.9</v>
      </c>
      <c r="G122" s="258">
        <v>12.2</v>
      </c>
      <c r="H122" s="258">
        <v>11.9</v>
      </c>
      <c r="I122" s="225"/>
      <c r="J122" s="225"/>
    </row>
    <row r="123" spans="1:10">
      <c r="A123" s="166"/>
      <c r="B123" s="259">
        <v>5.1999999999999998E-2</v>
      </c>
      <c r="C123" s="258">
        <v>11.7</v>
      </c>
      <c r="D123" s="258">
        <v>11.4</v>
      </c>
      <c r="E123" s="258">
        <v>11.1</v>
      </c>
      <c r="F123" s="258">
        <v>10.7</v>
      </c>
      <c r="G123" s="258">
        <v>12</v>
      </c>
      <c r="H123" s="258">
        <v>11.7</v>
      </c>
      <c r="I123" s="225"/>
      <c r="J123" s="225"/>
    </row>
    <row r="124" spans="1:10">
      <c r="A124" s="166"/>
      <c r="B124" s="257"/>
      <c r="C124" s="225"/>
      <c r="D124" s="225"/>
      <c r="E124" s="225"/>
      <c r="F124" s="225"/>
      <c r="G124" s="225"/>
      <c r="H124" s="225"/>
      <c r="I124" s="225"/>
      <c r="J124" s="225"/>
    </row>
    <row r="125" spans="1:10">
      <c r="A125" s="166"/>
      <c r="B125" s="225"/>
      <c r="C125" s="225"/>
      <c r="D125" s="225"/>
      <c r="E125" s="225"/>
      <c r="F125" s="225"/>
      <c r="G125" s="225"/>
      <c r="H125" s="225"/>
      <c r="I125" s="225"/>
      <c r="J125" s="225"/>
    </row>
    <row r="126" spans="1:10">
      <c r="A126" s="166"/>
      <c r="B126" s="250" t="s">
        <v>418</v>
      </c>
      <c r="C126" s="256"/>
      <c r="D126" s="225"/>
      <c r="E126" s="255"/>
      <c r="F126" s="255"/>
      <c r="G126" s="225"/>
      <c r="H126" s="225"/>
      <c r="I126" s="225"/>
      <c r="J126" s="225"/>
    </row>
    <row r="127" spans="1:10">
      <c r="A127" s="166"/>
      <c r="B127" s="225"/>
      <c r="C127" s="229"/>
      <c r="D127" s="229"/>
      <c r="E127" s="249"/>
      <c r="F127" s="249"/>
      <c r="G127" s="229"/>
      <c r="H127" s="229"/>
      <c r="I127" s="225"/>
      <c r="J127" s="225"/>
    </row>
    <row r="128" spans="1:10">
      <c r="A128" s="166"/>
      <c r="B128" s="225"/>
      <c r="C128" s="231" t="s">
        <v>413</v>
      </c>
      <c r="D128" s="229"/>
      <c r="E128" s="249"/>
      <c r="F128" s="249"/>
      <c r="G128" s="229"/>
      <c r="H128" s="229"/>
      <c r="I128" s="225"/>
      <c r="J128" s="225"/>
    </row>
    <row r="129" spans="1:10">
      <c r="A129" s="166"/>
      <c r="B129" s="225"/>
      <c r="C129" s="248" t="s">
        <v>415</v>
      </c>
      <c r="D129" s="248" t="s">
        <v>416</v>
      </c>
      <c r="E129" s="248" t="s">
        <v>415</v>
      </c>
      <c r="F129" s="248" t="s">
        <v>414</v>
      </c>
      <c r="G129" s="247"/>
      <c r="H129" s="246"/>
      <c r="I129" s="236"/>
      <c r="J129" s="236"/>
    </row>
    <row r="130" spans="1:10">
      <c r="A130" s="166"/>
      <c r="B130" s="225"/>
      <c r="C130" s="242">
        <v>12</v>
      </c>
      <c r="D130" s="241">
        <v>19.8</v>
      </c>
      <c r="E130" s="242">
        <v>0</v>
      </c>
      <c r="F130" s="241">
        <v>23.8</v>
      </c>
      <c r="G130" s="245"/>
      <c r="H130" s="240"/>
      <c r="I130" s="254"/>
      <c r="J130" s="253"/>
    </row>
    <row r="131" spans="1:10">
      <c r="A131" s="166"/>
      <c r="B131" s="225"/>
      <c r="C131" s="242">
        <v>13</v>
      </c>
      <c r="D131" s="241">
        <v>18.7</v>
      </c>
      <c r="E131" s="242">
        <v>1</v>
      </c>
      <c r="F131" s="241">
        <v>22.6</v>
      </c>
      <c r="G131" s="245"/>
      <c r="H131" s="240"/>
      <c r="I131" s="254"/>
      <c r="J131" s="253"/>
    </row>
    <row r="132" spans="1:10">
      <c r="A132" s="166"/>
      <c r="B132" s="225"/>
      <c r="C132" s="242">
        <v>14</v>
      </c>
      <c r="D132" s="241">
        <v>17.7</v>
      </c>
      <c r="E132" s="242">
        <v>2</v>
      </c>
      <c r="F132" s="241">
        <v>21.4</v>
      </c>
      <c r="G132" s="245"/>
      <c r="H132" s="240"/>
      <c r="I132" s="254"/>
      <c r="J132" s="253"/>
    </row>
    <row r="133" spans="1:10">
      <c r="A133" s="166"/>
      <c r="B133" s="225"/>
      <c r="C133" s="242">
        <v>15</v>
      </c>
      <c r="D133" s="241">
        <v>16.7</v>
      </c>
      <c r="E133" s="242">
        <v>3</v>
      </c>
      <c r="F133" s="241">
        <v>20.3</v>
      </c>
      <c r="G133" s="245"/>
      <c r="H133" s="240"/>
      <c r="I133" s="254"/>
      <c r="J133" s="253"/>
    </row>
    <row r="134" spans="1:10">
      <c r="A134" s="166"/>
      <c r="B134" s="225"/>
      <c r="C134" s="242">
        <v>16</v>
      </c>
      <c r="D134" s="241">
        <v>15.8</v>
      </c>
      <c r="E134" s="242">
        <v>4</v>
      </c>
      <c r="F134" s="241">
        <v>19.2</v>
      </c>
      <c r="G134" s="245"/>
      <c r="H134" s="240"/>
      <c r="I134" s="254"/>
      <c r="J134" s="253"/>
    </row>
    <row r="135" spans="1:10">
      <c r="A135" s="166"/>
      <c r="B135" s="225"/>
      <c r="C135" s="242">
        <v>17</v>
      </c>
      <c r="D135" s="241">
        <v>14.9</v>
      </c>
      <c r="E135" s="242">
        <v>5</v>
      </c>
      <c r="F135" s="241">
        <v>18.100000000000001</v>
      </c>
      <c r="G135" s="239"/>
      <c r="H135" s="240"/>
      <c r="I135" s="254"/>
      <c r="J135" s="253"/>
    </row>
    <row r="136" spans="1:10">
      <c r="A136" s="166"/>
      <c r="B136" s="225"/>
      <c r="C136" s="242">
        <v>18</v>
      </c>
      <c r="D136" s="241">
        <v>14</v>
      </c>
      <c r="E136" s="229"/>
      <c r="F136" s="240"/>
      <c r="G136" s="239"/>
      <c r="H136" s="240"/>
      <c r="I136" s="254"/>
      <c r="J136" s="253"/>
    </row>
    <row r="137" spans="1:10">
      <c r="A137" s="166"/>
      <c r="B137" s="225"/>
      <c r="C137" s="242">
        <v>19</v>
      </c>
      <c r="D137" s="241">
        <v>13.2</v>
      </c>
      <c r="E137" s="229"/>
      <c r="F137" s="240"/>
      <c r="G137" s="239"/>
      <c r="H137" s="240"/>
      <c r="I137" s="254"/>
      <c r="J137" s="253"/>
    </row>
    <row r="138" spans="1:10">
      <c r="A138" s="166"/>
      <c r="B138" s="225"/>
      <c r="C138" s="242">
        <v>20</v>
      </c>
      <c r="D138" s="241">
        <v>12.4</v>
      </c>
      <c r="E138" s="229"/>
      <c r="F138" s="240"/>
      <c r="G138" s="239"/>
      <c r="H138" s="240"/>
      <c r="I138" s="254"/>
      <c r="J138" s="253"/>
    </row>
    <row r="139" spans="1:10">
      <c r="A139" s="166"/>
      <c r="B139" s="225"/>
      <c r="C139" s="242">
        <v>21</v>
      </c>
      <c r="D139" s="241">
        <v>11.6</v>
      </c>
      <c r="E139" s="229"/>
      <c r="F139" s="240"/>
      <c r="G139" s="239"/>
      <c r="H139" s="240"/>
      <c r="I139" s="254"/>
      <c r="J139" s="253"/>
    </row>
    <row r="140" spans="1:10">
      <c r="A140" s="166"/>
      <c r="B140" s="225"/>
      <c r="C140" s="242">
        <v>22</v>
      </c>
      <c r="D140" s="241">
        <v>10.9</v>
      </c>
      <c r="E140" s="229"/>
      <c r="F140" s="240"/>
      <c r="G140" s="239"/>
      <c r="H140" s="240"/>
      <c r="I140" s="254"/>
      <c r="J140" s="253"/>
    </row>
    <row r="141" spans="1:10">
      <c r="A141" s="166"/>
      <c r="B141" s="225"/>
      <c r="C141" s="238"/>
      <c r="D141" s="225"/>
      <c r="E141" s="225"/>
      <c r="F141" s="225"/>
      <c r="G141" s="225"/>
      <c r="H141" s="225"/>
      <c r="I141" s="225"/>
      <c r="J141" s="225"/>
    </row>
    <row r="142" spans="1:10">
      <c r="A142" s="166"/>
      <c r="B142" s="225"/>
      <c r="C142" s="231" t="s">
        <v>413</v>
      </c>
      <c r="D142" s="229"/>
      <c r="E142" s="229"/>
      <c r="F142" s="229"/>
      <c r="G142" s="237"/>
      <c r="H142" s="225"/>
      <c r="I142" s="225"/>
      <c r="J142" s="225"/>
    </row>
    <row r="143" spans="1:10">
      <c r="A143" s="166"/>
      <c r="B143" s="225"/>
      <c r="C143" s="235"/>
      <c r="D143" s="1709">
        <v>10.199999999999999</v>
      </c>
      <c r="E143" s="229"/>
      <c r="F143" s="1696"/>
      <c r="G143" s="225"/>
      <c r="H143" s="225"/>
      <c r="I143" s="225"/>
      <c r="J143" s="225"/>
    </row>
    <row r="144" spans="1:10">
      <c r="A144" s="166"/>
      <c r="B144" s="225"/>
      <c r="C144" s="233"/>
      <c r="D144" s="1710"/>
      <c r="E144" s="229"/>
      <c r="F144" s="1696"/>
      <c r="G144" s="234"/>
      <c r="H144" s="252"/>
      <c r="I144" s="225"/>
      <c r="J144" s="252"/>
    </row>
    <row r="145" spans="1:10">
      <c r="A145" s="166"/>
      <c r="B145" s="225"/>
      <c r="C145" s="235"/>
      <c r="D145" s="1712">
        <v>8.5</v>
      </c>
      <c r="E145" s="229"/>
      <c r="F145" s="1696"/>
      <c r="G145" s="225"/>
      <c r="H145" s="244"/>
      <c r="I145" s="225"/>
      <c r="J145" s="244"/>
    </row>
    <row r="146" spans="1:10">
      <c r="A146" s="166"/>
      <c r="B146" s="225"/>
      <c r="C146" s="233"/>
      <c r="D146" s="1713"/>
      <c r="E146" s="229"/>
      <c r="F146" s="1696"/>
      <c r="G146" s="225"/>
      <c r="H146" s="244"/>
      <c r="I146" s="225"/>
      <c r="J146" s="244"/>
    </row>
    <row r="147" spans="1:10">
      <c r="A147" s="166"/>
      <c r="B147" s="225"/>
      <c r="C147" s="235"/>
      <c r="D147" s="1707">
        <v>20.399999999999999</v>
      </c>
      <c r="E147" s="229"/>
      <c r="F147" s="1696"/>
      <c r="G147" s="225"/>
      <c r="I147" s="225"/>
    </row>
    <row r="148" spans="1:10">
      <c r="A148" s="166"/>
      <c r="B148" s="225"/>
      <c r="C148" s="233"/>
      <c r="D148" s="1708"/>
      <c r="E148" s="229"/>
      <c r="F148" s="1696"/>
      <c r="G148" s="236"/>
      <c r="H148" s="244"/>
      <c r="I148" s="225"/>
      <c r="J148" s="244"/>
    </row>
    <row r="149" spans="1:10">
      <c r="A149" s="166"/>
      <c r="B149" s="225"/>
      <c r="C149" s="235"/>
      <c r="D149" s="1709">
        <v>17.2</v>
      </c>
      <c r="E149" s="229"/>
      <c r="F149" s="1696"/>
      <c r="G149" s="234"/>
      <c r="I149" s="225"/>
      <c r="J149" s="251"/>
    </row>
    <row r="150" spans="1:10">
      <c r="A150" s="166"/>
      <c r="B150" s="225"/>
      <c r="C150" s="233"/>
      <c r="D150" s="1710"/>
      <c r="E150" s="229"/>
      <c r="F150" s="1696"/>
      <c r="G150" s="225"/>
      <c r="H150" s="244"/>
      <c r="I150" s="225"/>
      <c r="J150" s="243"/>
    </row>
    <row r="151" spans="1:10">
      <c r="A151" s="166"/>
      <c r="B151" s="225"/>
      <c r="C151" s="229"/>
      <c r="D151" s="230"/>
      <c r="E151" s="229"/>
      <c r="F151" s="229"/>
      <c r="G151" s="225"/>
      <c r="H151" s="244"/>
      <c r="I151" s="225"/>
      <c r="J151" s="243"/>
    </row>
    <row r="152" spans="1:10">
      <c r="A152" s="166"/>
      <c r="B152" s="225"/>
      <c r="C152" s="231" t="s">
        <v>412</v>
      </c>
      <c r="D152" s="230"/>
      <c r="E152" s="229"/>
      <c r="F152" s="229"/>
      <c r="G152" s="225"/>
      <c r="H152" s="244"/>
      <c r="I152" s="225"/>
      <c r="J152" s="243"/>
    </row>
    <row r="153" spans="1:10">
      <c r="A153" s="166"/>
      <c r="B153" s="225"/>
      <c r="C153" s="228"/>
      <c r="D153" s="1707">
        <v>18.7</v>
      </c>
      <c r="E153" s="228"/>
      <c r="F153" s="1707">
        <v>19.100000000000001</v>
      </c>
      <c r="G153" s="225"/>
      <c r="H153" s="244"/>
      <c r="I153" s="225"/>
      <c r="J153" s="243"/>
    </row>
    <row r="154" spans="1:10">
      <c r="A154" s="166"/>
      <c r="B154" s="225"/>
      <c r="C154" s="227"/>
      <c r="D154" s="1708"/>
      <c r="E154" s="226"/>
      <c r="F154" s="1708"/>
      <c r="G154" s="225"/>
      <c r="H154" s="244"/>
      <c r="I154" s="225"/>
      <c r="J154" s="243"/>
    </row>
    <row r="155" spans="1:10">
      <c r="A155" s="166"/>
      <c r="B155" s="225"/>
      <c r="C155" s="229"/>
      <c r="D155" s="230"/>
      <c r="E155" s="229"/>
      <c r="F155" s="230"/>
      <c r="G155" s="225"/>
      <c r="H155" s="244"/>
      <c r="I155" s="225"/>
      <c r="J155" s="243"/>
    </row>
    <row r="156" spans="1:10">
      <c r="A156" s="166"/>
      <c r="B156" s="250" t="s">
        <v>417</v>
      </c>
      <c r="C156" s="229"/>
      <c r="D156" s="230"/>
      <c r="E156" s="229"/>
      <c r="F156" s="229"/>
      <c r="G156" s="225"/>
      <c r="H156" s="244"/>
      <c r="I156" s="225"/>
      <c r="J156" s="243"/>
    </row>
    <row r="157" spans="1:10">
      <c r="A157" s="166"/>
      <c r="B157" s="225"/>
      <c r="C157" s="225"/>
      <c r="D157" s="244"/>
      <c r="E157" s="225"/>
      <c r="G157" s="225"/>
      <c r="H157" s="244"/>
      <c r="I157" s="225"/>
      <c r="J157" s="243"/>
    </row>
    <row r="158" spans="1:10">
      <c r="A158" s="166"/>
      <c r="B158" s="225"/>
      <c r="C158" s="231" t="s">
        <v>413</v>
      </c>
      <c r="D158" s="229"/>
      <c r="E158" s="249"/>
      <c r="F158" s="249"/>
      <c r="G158" s="229"/>
      <c r="H158" s="244"/>
      <c r="I158" s="225"/>
      <c r="J158" s="243"/>
    </row>
    <row r="159" spans="1:10">
      <c r="A159" s="166"/>
      <c r="B159" s="225"/>
      <c r="C159" s="248" t="s">
        <v>415</v>
      </c>
      <c r="D159" s="248" t="s">
        <v>416</v>
      </c>
      <c r="E159" s="248" t="s">
        <v>415</v>
      </c>
      <c r="F159" s="248" t="s">
        <v>414</v>
      </c>
      <c r="G159" s="247"/>
      <c r="H159" s="246"/>
      <c r="I159" s="225"/>
      <c r="J159" s="243"/>
    </row>
    <row r="160" spans="1:10">
      <c r="A160" s="166"/>
      <c r="B160" s="225"/>
      <c r="C160" s="242">
        <v>12</v>
      </c>
      <c r="D160" s="241">
        <v>14.3</v>
      </c>
      <c r="E160" s="242">
        <v>0</v>
      </c>
      <c r="F160" s="241">
        <v>18.8</v>
      </c>
      <c r="G160" s="245"/>
      <c r="H160" s="240"/>
      <c r="I160" s="225"/>
      <c r="J160" s="243"/>
    </row>
    <row r="161" spans="1:10">
      <c r="A161" s="166"/>
      <c r="B161" s="225"/>
      <c r="C161" s="242">
        <v>13</v>
      </c>
      <c r="D161" s="241">
        <v>13.7</v>
      </c>
      <c r="E161" s="242">
        <v>1</v>
      </c>
      <c r="F161" s="241">
        <v>17.899999999999999</v>
      </c>
      <c r="G161" s="245"/>
      <c r="H161" s="240"/>
      <c r="I161" s="225"/>
      <c r="J161" s="243"/>
    </row>
    <row r="162" spans="1:10">
      <c r="A162" s="166"/>
      <c r="B162" s="225"/>
      <c r="C162" s="242">
        <v>14</v>
      </c>
      <c r="D162" s="241">
        <v>13</v>
      </c>
      <c r="E162" s="242">
        <v>2</v>
      </c>
      <c r="F162" s="241">
        <v>17</v>
      </c>
      <c r="G162" s="245"/>
      <c r="H162" s="240"/>
      <c r="I162" s="225"/>
      <c r="J162" s="243"/>
    </row>
    <row r="163" spans="1:10">
      <c r="A163" s="166"/>
      <c r="B163" s="225"/>
      <c r="C163" s="242">
        <v>15</v>
      </c>
      <c r="D163" s="241">
        <v>12.4</v>
      </c>
      <c r="E163" s="242">
        <v>3</v>
      </c>
      <c r="F163" s="241">
        <v>16.100000000000001</v>
      </c>
      <c r="G163" s="245"/>
      <c r="H163" s="240"/>
      <c r="I163" s="225"/>
      <c r="J163" s="243"/>
    </row>
    <row r="164" spans="1:10">
      <c r="A164" s="166"/>
      <c r="B164" s="225"/>
      <c r="C164" s="242">
        <v>16</v>
      </c>
      <c r="D164" s="241">
        <v>11.7</v>
      </c>
      <c r="E164" s="242">
        <v>4</v>
      </c>
      <c r="F164" s="241">
        <v>15.3</v>
      </c>
      <c r="G164" s="245"/>
      <c r="H164" s="240"/>
      <c r="I164" s="225"/>
      <c r="J164" s="243"/>
    </row>
    <row r="165" spans="1:10">
      <c r="A165" s="166"/>
      <c r="B165" s="225"/>
      <c r="C165" s="242">
        <v>17</v>
      </c>
      <c r="D165" s="241">
        <v>11.1</v>
      </c>
      <c r="E165" s="242">
        <v>5</v>
      </c>
      <c r="F165" s="241">
        <v>14.5</v>
      </c>
      <c r="G165" s="239"/>
      <c r="H165" s="244"/>
      <c r="I165" s="225"/>
      <c r="J165" s="243"/>
    </row>
    <row r="166" spans="1:10">
      <c r="A166" s="166"/>
      <c r="B166" s="225"/>
      <c r="C166" s="242">
        <v>18</v>
      </c>
      <c r="D166" s="241">
        <v>10.6</v>
      </c>
      <c r="E166" s="229"/>
      <c r="F166" s="240"/>
      <c r="G166" s="239"/>
      <c r="H166" s="244"/>
      <c r="I166" s="225"/>
      <c r="J166" s="243"/>
    </row>
    <row r="167" spans="1:10">
      <c r="A167" s="166"/>
      <c r="B167" s="225"/>
      <c r="C167" s="242">
        <v>19</v>
      </c>
      <c r="D167" s="241">
        <v>10</v>
      </c>
      <c r="E167" s="229"/>
      <c r="F167" s="240"/>
      <c r="G167" s="239"/>
      <c r="H167" s="225"/>
      <c r="I167" s="225"/>
      <c r="J167" s="225"/>
    </row>
    <row r="168" spans="1:10">
      <c r="A168" s="166"/>
      <c r="B168" s="225"/>
      <c r="C168" s="242">
        <v>20</v>
      </c>
      <c r="D168" s="241">
        <v>9.5</v>
      </c>
      <c r="E168" s="229"/>
      <c r="F168" s="240"/>
      <c r="G168" s="239"/>
      <c r="H168" s="225"/>
      <c r="I168" s="225"/>
      <c r="J168" s="225"/>
    </row>
    <row r="169" spans="1:10">
      <c r="A169" s="166"/>
      <c r="B169" s="225"/>
      <c r="C169" s="242">
        <v>21</v>
      </c>
      <c r="D169" s="241">
        <v>9</v>
      </c>
      <c r="E169" s="229"/>
      <c r="F169" s="240"/>
      <c r="G169" s="239"/>
      <c r="H169" s="225"/>
      <c r="I169" s="225"/>
      <c r="J169" s="225"/>
    </row>
    <row r="170" spans="1:10">
      <c r="A170" s="166"/>
      <c r="B170" s="225"/>
      <c r="C170" s="242">
        <v>22</v>
      </c>
      <c r="D170" s="241">
        <v>8.5</v>
      </c>
      <c r="E170" s="229"/>
      <c r="F170" s="240"/>
      <c r="G170" s="239"/>
      <c r="H170" s="225"/>
      <c r="I170" s="225"/>
      <c r="J170" s="225"/>
    </row>
    <row r="171" spans="1:10">
      <c r="A171" s="166"/>
      <c r="B171" s="225"/>
      <c r="C171" s="238"/>
      <c r="D171" s="225"/>
      <c r="E171" s="225"/>
      <c r="F171" s="225"/>
      <c r="G171" s="225"/>
      <c r="H171" s="225"/>
      <c r="I171" s="225"/>
      <c r="J171" s="225"/>
    </row>
    <row r="172" spans="1:10">
      <c r="A172" s="166"/>
      <c r="B172" s="225"/>
      <c r="C172" s="231" t="s">
        <v>413</v>
      </c>
      <c r="D172" s="229"/>
      <c r="E172" s="229"/>
      <c r="F172" s="229"/>
      <c r="G172" s="237"/>
      <c r="H172" s="225"/>
      <c r="I172" s="225"/>
      <c r="J172" s="225"/>
    </row>
    <row r="173" spans="1:10">
      <c r="A173" s="166"/>
      <c r="B173" s="225"/>
      <c r="C173" s="235"/>
      <c r="D173" s="1694">
        <v>7.7</v>
      </c>
      <c r="E173" s="232"/>
      <c r="F173" s="1696"/>
      <c r="G173" s="225"/>
      <c r="H173" s="225"/>
      <c r="I173" s="225"/>
      <c r="J173" s="225"/>
    </row>
    <row r="174" spans="1:10">
      <c r="A174" s="166"/>
      <c r="B174" s="225"/>
      <c r="C174" s="233"/>
      <c r="D174" s="1695"/>
      <c r="E174" s="232"/>
      <c r="F174" s="1696"/>
      <c r="G174" s="234"/>
      <c r="H174" s="225"/>
      <c r="I174" s="225"/>
      <c r="J174" s="225"/>
    </row>
    <row r="175" spans="1:10">
      <c r="A175" s="166"/>
      <c r="B175" s="225"/>
      <c r="C175" s="235"/>
      <c r="D175" s="1703">
        <v>6.6</v>
      </c>
      <c r="E175" s="232"/>
      <c r="F175" s="1696"/>
      <c r="G175" s="225"/>
      <c r="H175" s="225"/>
      <c r="I175" s="225"/>
      <c r="J175" s="225"/>
    </row>
    <row r="176" spans="1:10">
      <c r="A176" s="166"/>
      <c r="B176" s="225"/>
      <c r="C176" s="233"/>
      <c r="D176" s="1704"/>
      <c r="E176" s="232"/>
      <c r="F176" s="1696"/>
      <c r="G176" s="225"/>
      <c r="H176" s="225"/>
      <c r="I176" s="225"/>
      <c r="J176" s="225"/>
    </row>
    <row r="177" spans="1:11">
      <c r="A177" s="166"/>
      <c r="B177" s="225"/>
      <c r="C177" s="235"/>
      <c r="D177" s="1705">
        <v>16.100000000000001</v>
      </c>
      <c r="E177" s="232"/>
      <c r="F177" s="1696"/>
      <c r="G177" s="225"/>
      <c r="H177" s="225"/>
      <c r="I177" s="225"/>
      <c r="J177" s="225"/>
    </row>
    <row r="178" spans="1:11">
      <c r="A178" s="166"/>
      <c r="B178" s="225"/>
      <c r="C178" s="233"/>
      <c r="D178" s="1706"/>
      <c r="E178" s="232"/>
      <c r="F178" s="1696"/>
      <c r="G178" s="236"/>
      <c r="H178" s="225"/>
      <c r="I178" s="225"/>
      <c r="J178" s="225"/>
    </row>
    <row r="179" spans="1:11">
      <c r="A179" s="166"/>
      <c r="B179" s="225"/>
      <c r="C179" s="235"/>
      <c r="D179" s="1694">
        <v>13.7</v>
      </c>
      <c r="E179" s="232"/>
      <c r="F179" s="1696"/>
      <c r="G179" s="234"/>
      <c r="H179" s="225"/>
      <c r="I179" s="225"/>
      <c r="J179" s="225"/>
    </row>
    <row r="180" spans="1:11">
      <c r="A180" s="166"/>
      <c r="B180" s="225"/>
      <c r="C180" s="233"/>
      <c r="D180" s="1695"/>
      <c r="E180" s="232"/>
      <c r="F180" s="1696"/>
      <c r="G180" s="225"/>
      <c r="H180" s="225"/>
      <c r="I180" s="225"/>
      <c r="J180" s="225"/>
    </row>
    <row r="181" spans="1:11">
      <c r="A181" s="166"/>
      <c r="B181" s="225"/>
      <c r="C181" s="229"/>
      <c r="D181" s="230"/>
      <c r="E181" s="229"/>
      <c r="F181" s="229"/>
      <c r="G181" s="225"/>
      <c r="H181" s="225"/>
      <c r="I181" s="225"/>
      <c r="J181" s="225"/>
    </row>
    <row r="182" spans="1:11">
      <c r="A182" s="166"/>
      <c r="B182" s="225"/>
      <c r="C182" s="231" t="s">
        <v>412</v>
      </c>
      <c r="D182" s="230"/>
      <c r="E182" s="229"/>
      <c r="F182" s="229"/>
      <c r="G182" s="225"/>
      <c r="H182" s="225"/>
      <c r="I182" s="225"/>
      <c r="J182" s="225"/>
    </row>
    <row r="183" spans="1:11">
      <c r="A183" s="166"/>
      <c r="B183" s="225"/>
      <c r="C183" s="228"/>
      <c r="D183" s="1694">
        <v>15</v>
      </c>
      <c r="E183" s="228"/>
      <c r="F183" s="1694">
        <v>15.4</v>
      </c>
      <c r="G183" s="225"/>
      <c r="H183" s="225"/>
      <c r="I183" s="225"/>
      <c r="J183" s="225"/>
    </row>
    <row r="184" spans="1:11">
      <c r="A184" s="166"/>
      <c r="B184" s="225"/>
      <c r="C184" s="227"/>
      <c r="D184" s="1695"/>
      <c r="E184" s="226"/>
      <c r="F184" s="1695"/>
      <c r="G184" s="225"/>
      <c r="H184" s="225"/>
      <c r="I184" s="225"/>
      <c r="J184" s="225"/>
    </row>
    <row r="185" spans="1:11">
      <c r="A185" s="166"/>
      <c r="B185" s="225"/>
      <c r="C185" s="225"/>
      <c r="F185" s="225"/>
      <c r="G185" s="225"/>
      <c r="H185" s="225"/>
      <c r="I185" s="225"/>
      <c r="J185" s="225"/>
    </row>
    <row r="186" spans="1:11">
      <c r="A186" s="166"/>
      <c r="B186" s="166"/>
      <c r="C186" s="166"/>
      <c r="D186" s="166"/>
      <c r="E186" s="166"/>
      <c r="F186" s="166"/>
      <c r="G186" s="166"/>
      <c r="H186" s="166"/>
      <c r="I186" s="166"/>
      <c r="J186" s="166"/>
      <c r="K186" s="61"/>
    </row>
    <row r="187" spans="1:11">
      <c r="A187" s="166"/>
      <c r="B187" s="166"/>
      <c r="C187" s="166"/>
      <c r="D187" s="166"/>
      <c r="E187" s="166"/>
      <c r="F187" s="166"/>
      <c r="G187" s="166"/>
      <c r="H187" s="166"/>
      <c r="I187" s="166"/>
      <c r="J187" s="166"/>
      <c r="K187" s="61"/>
    </row>
    <row r="188" spans="1:11">
      <c r="A188" s="166"/>
      <c r="B188" s="166"/>
      <c r="C188" s="166"/>
      <c r="D188" s="166"/>
      <c r="E188" s="166"/>
      <c r="F188" s="166"/>
      <c r="G188" s="166"/>
      <c r="H188" s="166"/>
      <c r="I188" s="166"/>
      <c r="J188" s="166"/>
      <c r="K188" s="61"/>
    </row>
    <row r="189" spans="1:11">
      <c r="A189" s="166"/>
      <c r="B189" s="166"/>
      <c r="C189" s="2" t="s">
        <v>411</v>
      </c>
      <c r="D189" s="5"/>
      <c r="E189" s="1"/>
      <c r="F189" s="1"/>
      <c r="G189" s="171"/>
      <c r="H189" s="166"/>
      <c r="I189" s="166"/>
      <c r="J189" s="166"/>
    </row>
    <row r="190" spans="1:11">
      <c r="A190" s="166"/>
      <c r="B190" s="166"/>
      <c r="C190" s="166"/>
      <c r="D190" s="2"/>
      <c r="E190" s="2"/>
      <c r="F190" s="2"/>
      <c r="G190" s="166"/>
      <c r="H190" s="166"/>
      <c r="I190" s="166"/>
      <c r="J190" s="166"/>
      <c r="K190" s="61"/>
    </row>
    <row r="191" spans="1:11">
      <c r="A191" s="166"/>
      <c r="B191" s="2" t="s">
        <v>26</v>
      </c>
      <c r="C191" s="2" t="s">
        <v>202</v>
      </c>
      <c r="D191" s="1" t="s">
        <v>356</v>
      </c>
      <c r="E191" s="1"/>
      <c r="F191" s="2"/>
      <c r="G191" s="2"/>
      <c r="H191" s="2"/>
      <c r="I191" s="2"/>
      <c r="J191" s="2"/>
      <c r="K191" s="61"/>
    </row>
    <row r="192" spans="1:11">
      <c r="A192" s="166"/>
      <c r="B192" s="166"/>
      <c r="C192" s="166"/>
      <c r="D192" s="2"/>
      <c r="E192" s="2"/>
      <c r="F192" s="2"/>
      <c r="G192" s="2"/>
      <c r="H192" s="2"/>
      <c r="I192" s="2"/>
      <c r="J192" s="2"/>
      <c r="K192" s="61"/>
    </row>
    <row r="193" spans="1:11">
      <c r="A193" s="166"/>
      <c r="B193" s="166"/>
      <c r="C193" s="166"/>
      <c r="D193" s="221" t="s">
        <v>399</v>
      </c>
      <c r="E193" s="224"/>
      <c r="F193" s="149"/>
      <c r="G193" s="149"/>
      <c r="H193" s="149"/>
      <c r="I193" s="148"/>
      <c r="J193" s="2"/>
      <c r="K193" s="61"/>
    </row>
    <row r="194" spans="1:11">
      <c r="A194" s="166"/>
      <c r="B194" s="166"/>
      <c r="C194" s="166"/>
      <c r="D194" s="2"/>
      <c r="E194" s="2"/>
      <c r="F194" s="2"/>
      <c r="G194" s="2"/>
      <c r="H194" s="2"/>
      <c r="I194" s="2"/>
      <c r="J194" s="2"/>
      <c r="K194" s="61"/>
    </row>
    <row r="195" spans="1:11">
      <c r="A195" s="166"/>
      <c r="B195" s="166"/>
      <c r="C195" s="166"/>
      <c r="D195" s="1" t="s">
        <v>355</v>
      </c>
      <c r="E195" s="2"/>
      <c r="F195" s="190"/>
      <c r="G195" s="223"/>
      <c r="H195" s="2"/>
      <c r="I195" s="2"/>
      <c r="J195" s="2"/>
    </row>
    <row r="196" spans="1:11">
      <c r="A196" s="166"/>
      <c r="B196" s="166"/>
      <c r="C196" s="166"/>
      <c r="D196" s="2"/>
      <c r="E196" s="2"/>
      <c r="F196" s="2"/>
      <c r="G196" s="2"/>
      <c r="H196" s="2"/>
      <c r="I196" s="2"/>
      <c r="J196" s="2"/>
    </row>
    <row r="197" spans="1:11">
      <c r="A197" s="166"/>
      <c r="B197" s="166"/>
      <c r="C197" s="166"/>
      <c r="D197" s="1" t="s">
        <v>354</v>
      </c>
      <c r="E197" s="2"/>
      <c r="F197" s="2"/>
      <c r="G197" s="2"/>
      <c r="H197" s="2"/>
      <c r="I197" s="2"/>
      <c r="J197" s="2"/>
    </row>
    <row r="198" spans="1:11">
      <c r="A198" s="166"/>
      <c r="B198" s="166"/>
      <c r="C198" s="166"/>
      <c r="D198" s="2" t="s">
        <v>353</v>
      </c>
      <c r="E198" s="2"/>
      <c r="F198" s="2"/>
      <c r="G198" s="2"/>
      <c r="H198" s="2"/>
      <c r="I198" s="2"/>
      <c r="J198" s="2"/>
    </row>
    <row r="199" spans="1:11">
      <c r="A199" s="166"/>
      <c r="B199" s="166"/>
      <c r="C199" s="166"/>
      <c r="D199" s="189" t="s">
        <v>352</v>
      </c>
      <c r="E199" s="2"/>
      <c r="F199" s="188"/>
      <c r="G199" s="2"/>
      <c r="H199" s="2"/>
      <c r="I199" s="2"/>
      <c r="J199" s="2"/>
    </row>
    <row r="200" spans="1:11">
      <c r="A200" s="166"/>
      <c r="B200" s="166"/>
      <c r="C200" s="166"/>
      <c r="D200" s="189" t="s">
        <v>351</v>
      </c>
      <c r="E200" s="2"/>
      <c r="F200" s="188"/>
      <c r="G200" s="2"/>
      <c r="H200" s="2"/>
      <c r="I200" s="2"/>
      <c r="J200" s="2"/>
    </row>
    <row r="201" spans="1:11">
      <c r="A201" s="166"/>
      <c r="B201" s="166"/>
      <c r="C201" s="166"/>
      <c r="D201" s="189" t="s">
        <v>350</v>
      </c>
      <c r="E201" s="2"/>
      <c r="F201" s="188"/>
      <c r="G201" s="2"/>
      <c r="H201" s="2"/>
      <c r="I201" s="2"/>
      <c r="J201" s="2"/>
    </row>
    <row r="202" spans="1:11">
      <c r="A202" s="166"/>
      <c r="B202" s="166"/>
      <c r="C202" s="166"/>
      <c r="D202" s="2" t="s">
        <v>349</v>
      </c>
      <c r="E202" s="2"/>
      <c r="F202" s="187"/>
      <c r="G202" s="222"/>
      <c r="H202" s="2"/>
      <c r="I202" s="2"/>
      <c r="J202" s="2"/>
    </row>
    <row r="203" spans="1:11">
      <c r="A203" s="166"/>
      <c r="B203" s="166"/>
      <c r="C203" s="166"/>
      <c r="D203" s="2" t="s">
        <v>348</v>
      </c>
      <c r="E203" s="2"/>
      <c r="F203" s="188"/>
      <c r="G203" s="2"/>
      <c r="H203" s="2"/>
      <c r="I203" s="2"/>
      <c r="J203" s="2"/>
    </row>
    <row r="204" spans="1:11">
      <c r="A204" s="166"/>
      <c r="B204" s="166"/>
      <c r="C204" s="166"/>
      <c r="D204" s="1" t="s">
        <v>347</v>
      </c>
      <c r="E204" s="2"/>
      <c r="F204" s="185">
        <f>F199+F200+F201+F203</f>
        <v>0</v>
      </c>
      <c r="G204" s="2"/>
      <c r="H204" s="2"/>
      <c r="I204" s="2"/>
      <c r="J204" s="2"/>
    </row>
    <row r="205" spans="1:11">
      <c r="A205" s="166"/>
      <c r="B205" s="166"/>
      <c r="C205" s="166"/>
      <c r="D205" s="2"/>
      <c r="E205" s="2"/>
      <c r="F205" s="2"/>
      <c r="G205" s="2"/>
      <c r="H205" s="2"/>
      <c r="I205" s="2"/>
      <c r="J205" s="2"/>
    </row>
    <row r="206" spans="1:11">
      <c r="A206" s="166"/>
      <c r="B206" s="166"/>
      <c r="C206" s="166"/>
      <c r="D206" s="1" t="s">
        <v>346</v>
      </c>
      <c r="E206" s="2"/>
      <c r="F206" s="185">
        <f>F195-F204</f>
        <v>0</v>
      </c>
      <c r="G206" s="2"/>
      <c r="H206" s="2"/>
      <c r="I206" s="2"/>
      <c r="J206" s="2"/>
    </row>
    <row r="207" spans="1:11">
      <c r="A207" s="166"/>
      <c r="B207" s="166"/>
      <c r="C207" s="166"/>
      <c r="D207" s="2"/>
      <c r="E207" s="2"/>
      <c r="F207" s="2"/>
      <c r="G207" s="2"/>
      <c r="H207" s="2"/>
      <c r="I207" s="2"/>
      <c r="J207" s="2"/>
    </row>
    <row r="208" spans="1:11">
      <c r="A208" s="166"/>
      <c r="B208" s="2" t="s">
        <v>34</v>
      </c>
      <c r="C208" s="2" t="s">
        <v>402</v>
      </c>
      <c r="D208" s="1" t="s">
        <v>410</v>
      </c>
      <c r="E208" s="2"/>
      <c r="F208" s="2"/>
      <c r="G208" s="2"/>
      <c r="H208" s="2"/>
      <c r="I208" s="2"/>
      <c r="J208" s="2"/>
    </row>
    <row r="209" spans="1:10">
      <c r="A209" s="166"/>
      <c r="B209" s="166"/>
      <c r="C209" s="166"/>
      <c r="D209" s="1"/>
      <c r="E209" s="2"/>
      <c r="F209" s="2"/>
      <c r="G209" s="2"/>
      <c r="H209" s="2"/>
      <c r="I209" s="2"/>
      <c r="J209" s="2"/>
    </row>
    <row r="210" spans="1:10">
      <c r="A210" s="166"/>
      <c r="B210" s="166"/>
      <c r="C210" s="166"/>
      <c r="D210" s="221" t="s">
        <v>399</v>
      </c>
      <c r="E210" s="149"/>
      <c r="F210" s="149"/>
      <c r="G210" s="149"/>
      <c r="H210" s="149"/>
      <c r="I210" s="148"/>
      <c r="J210" s="2"/>
    </row>
    <row r="211" spans="1:10">
      <c r="A211" s="166"/>
      <c r="B211" s="166"/>
      <c r="C211" s="166"/>
      <c r="D211" s="2"/>
      <c r="E211" s="2"/>
      <c r="F211" s="2"/>
      <c r="G211" s="2"/>
      <c r="H211" s="2"/>
      <c r="I211" s="2"/>
      <c r="J211" s="2"/>
    </row>
    <row r="212" spans="1:10">
      <c r="A212" s="166"/>
      <c r="B212" s="166"/>
      <c r="C212" s="166"/>
      <c r="D212" s="1" t="s">
        <v>409</v>
      </c>
      <c r="E212" s="2"/>
      <c r="F212" s="190"/>
      <c r="G212" s="2"/>
      <c r="H212" s="2"/>
      <c r="I212" s="2"/>
      <c r="J212" s="2"/>
    </row>
    <row r="213" spans="1:10">
      <c r="A213" s="166"/>
      <c r="B213" s="166"/>
      <c r="C213" s="166"/>
      <c r="D213" s="2"/>
      <c r="E213" s="2"/>
      <c r="F213" s="2"/>
      <c r="G213" s="2"/>
      <c r="H213" s="2"/>
      <c r="I213" s="2"/>
      <c r="J213" s="2"/>
    </row>
    <row r="214" spans="1:10">
      <c r="A214" s="166"/>
      <c r="B214" s="166"/>
      <c r="C214" s="166"/>
      <c r="D214" s="2" t="s">
        <v>405</v>
      </c>
      <c r="E214" s="2"/>
      <c r="F214" s="2"/>
      <c r="G214" s="2"/>
      <c r="H214" s="2"/>
      <c r="I214" s="2"/>
      <c r="J214" s="2"/>
    </row>
    <row r="215" spans="1:10">
      <c r="A215" s="166"/>
      <c r="B215" s="166"/>
      <c r="C215" s="166"/>
      <c r="D215" s="189" t="s">
        <v>352</v>
      </c>
      <c r="E215" s="2"/>
      <c r="F215" s="188"/>
      <c r="G215" s="2"/>
      <c r="H215" s="2"/>
      <c r="I215" s="2"/>
      <c r="J215" s="2"/>
    </row>
    <row r="216" spans="1:10">
      <c r="A216" s="166"/>
      <c r="B216" s="166"/>
      <c r="C216" s="166"/>
      <c r="D216" s="189" t="s">
        <v>351</v>
      </c>
      <c r="E216" s="2"/>
      <c r="F216" s="188"/>
      <c r="G216" s="2"/>
      <c r="H216" s="2"/>
      <c r="I216" s="2"/>
      <c r="J216" s="2"/>
    </row>
    <row r="217" spans="1:10">
      <c r="A217" s="166"/>
      <c r="B217" s="166"/>
      <c r="C217" s="166"/>
      <c r="D217" s="189" t="s">
        <v>350</v>
      </c>
      <c r="E217" s="2"/>
      <c r="F217" s="188"/>
      <c r="G217" s="2"/>
      <c r="H217" s="2"/>
      <c r="I217" s="2"/>
      <c r="J217" s="2"/>
    </row>
    <row r="218" spans="1:10">
      <c r="A218" s="166"/>
      <c r="B218" s="166"/>
      <c r="C218" s="166"/>
      <c r="D218" s="1" t="s">
        <v>408</v>
      </c>
      <c r="E218" s="1"/>
      <c r="F218" s="185">
        <f>SUM(F215:F217)</f>
        <v>0</v>
      </c>
      <c r="G218" s="2"/>
      <c r="H218" s="2"/>
      <c r="I218" s="2"/>
      <c r="J218" s="2"/>
    </row>
    <row r="219" spans="1:10">
      <c r="A219" s="166"/>
      <c r="B219" s="166"/>
      <c r="C219" s="166"/>
      <c r="D219" s="2"/>
      <c r="E219" s="2"/>
      <c r="F219" s="2"/>
      <c r="G219" s="2"/>
      <c r="H219" s="2"/>
      <c r="I219" s="2"/>
      <c r="J219" s="2"/>
    </row>
    <row r="220" spans="1:10">
      <c r="A220" s="166"/>
      <c r="B220" s="166"/>
      <c r="C220" s="166"/>
      <c r="D220" s="1" t="s">
        <v>407</v>
      </c>
      <c r="E220" s="2"/>
      <c r="F220" s="185">
        <f>F212-F218</f>
        <v>0</v>
      </c>
      <c r="G220" s="2"/>
      <c r="H220" s="2"/>
      <c r="I220" s="2"/>
      <c r="J220" s="2"/>
    </row>
    <row r="221" spans="1:10">
      <c r="A221" s="166"/>
      <c r="B221" s="166"/>
      <c r="C221" s="166"/>
      <c r="D221" s="166"/>
      <c r="E221" s="166"/>
      <c r="F221" s="166"/>
      <c r="G221" s="166"/>
      <c r="H221" s="2"/>
      <c r="I221" s="166"/>
      <c r="J221" s="68"/>
    </row>
    <row r="222" spans="1:10">
      <c r="A222" s="166"/>
      <c r="B222" s="166"/>
      <c r="C222" s="166"/>
      <c r="D222" s="1" t="s">
        <v>406</v>
      </c>
      <c r="E222" s="2"/>
      <c r="F222" s="190"/>
      <c r="G222" s="166"/>
      <c r="H222" s="2"/>
      <c r="I222" s="166"/>
      <c r="J222" s="68"/>
    </row>
    <row r="223" spans="1:10">
      <c r="A223" s="166"/>
      <c r="B223" s="166"/>
      <c r="C223" s="166"/>
      <c r="D223" s="2"/>
      <c r="E223" s="2"/>
      <c r="F223" s="2"/>
      <c r="G223" s="166"/>
      <c r="H223" s="2"/>
      <c r="I223" s="166"/>
      <c r="J223" s="68"/>
    </row>
    <row r="224" spans="1:10">
      <c r="A224" s="166"/>
      <c r="B224" s="166"/>
      <c r="C224" s="166"/>
      <c r="D224" s="2" t="s">
        <v>405</v>
      </c>
      <c r="E224" s="2"/>
      <c r="F224" s="2"/>
      <c r="G224" s="166"/>
      <c r="H224" s="2"/>
      <c r="I224" s="166"/>
      <c r="J224" s="68"/>
    </row>
    <row r="225" spans="1:10">
      <c r="A225" s="166"/>
      <c r="B225" s="166"/>
      <c r="C225" s="166"/>
      <c r="D225" s="189" t="s">
        <v>352</v>
      </c>
      <c r="E225" s="2"/>
      <c r="F225" s="188"/>
      <c r="G225" s="166"/>
      <c r="H225" s="2"/>
      <c r="I225" s="166"/>
      <c r="J225" s="68"/>
    </row>
    <row r="226" spans="1:10">
      <c r="A226" s="166"/>
      <c r="B226" s="166"/>
      <c r="C226" s="166"/>
      <c r="D226" s="189" t="s">
        <v>351</v>
      </c>
      <c r="E226" s="2"/>
      <c r="F226" s="188"/>
      <c r="G226" s="166"/>
      <c r="H226" s="2"/>
      <c r="I226" s="166"/>
      <c r="J226" s="68"/>
    </row>
    <row r="227" spans="1:10">
      <c r="A227" s="166"/>
      <c r="B227" s="166"/>
      <c r="C227" s="166"/>
      <c r="D227" s="189" t="s">
        <v>350</v>
      </c>
      <c r="E227" s="2"/>
      <c r="F227" s="188"/>
      <c r="G227" s="166"/>
      <c r="H227" s="2"/>
      <c r="I227" s="166"/>
      <c r="J227" s="68"/>
    </row>
    <row r="228" spans="1:10">
      <c r="A228" s="166"/>
      <c r="B228" s="166"/>
      <c r="C228" s="166"/>
      <c r="D228" s="1" t="s">
        <v>404</v>
      </c>
      <c r="E228" s="1"/>
      <c r="F228" s="185">
        <f>SUM(F225:F227)</f>
        <v>0</v>
      </c>
      <c r="G228" s="166"/>
      <c r="H228" s="2"/>
      <c r="I228" s="166"/>
      <c r="J228" s="68"/>
    </row>
    <row r="229" spans="1:10">
      <c r="A229" s="166"/>
      <c r="B229" s="166"/>
      <c r="C229" s="166"/>
      <c r="D229" s="2"/>
      <c r="E229" s="2"/>
      <c r="F229" s="2"/>
      <c r="G229" s="166"/>
      <c r="H229" s="2"/>
      <c r="I229" s="166"/>
      <c r="J229" s="68"/>
    </row>
    <row r="230" spans="1:10">
      <c r="A230" s="166"/>
      <c r="B230" s="166"/>
      <c r="C230" s="166"/>
      <c r="D230" s="1" t="s">
        <v>403</v>
      </c>
      <c r="E230" s="2"/>
      <c r="F230" s="185">
        <f>F222-F228</f>
        <v>0</v>
      </c>
      <c r="G230" s="166"/>
      <c r="H230" s="2"/>
      <c r="I230" s="166"/>
      <c r="J230" s="68"/>
    </row>
    <row r="231" spans="1:10">
      <c r="A231" s="166"/>
      <c r="B231" s="166"/>
      <c r="C231" s="166"/>
      <c r="D231" s="166"/>
      <c r="E231" s="166"/>
      <c r="F231" s="166"/>
      <c r="G231" s="166"/>
      <c r="H231" s="2"/>
      <c r="I231" s="166"/>
      <c r="J231" s="68"/>
    </row>
    <row r="232" spans="1:10">
      <c r="A232" s="166"/>
      <c r="B232" s="166"/>
      <c r="C232" s="166"/>
      <c r="D232" s="166"/>
      <c r="E232" s="166"/>
      <c r="F232" s="166"/>
      <c r="G232" s="166"/>
      <c r="H232" s="2"/>
      <c r="I232" s="166"/>
      <c r="J232" s="68"/>
    </row>
    <row r="233" spans="1:10">
      <c r="A233" s="166"/>
      <c r="B233" s="166"/>
      <c r="C233" s="166"/>
      <c r="D233" s="166"/>
      <c r="E233" s="166"/>
      <c r="F233" s="166"/>
      <c r="G233" s="166"/>
      <c r="H233" s="2"/>
      <c r="I233" s="166"/>
      <c r="J233" s="68"/>
    </row>
    <row r="234" spans="1:10">
      <c r="A234" s="166"/>
      <c r="B234" s="166"/>
      <c r="C234" s="166"/>
      <c r="D234" s="166"/>
      <c r="E234" s="166"/>
      <c r="F234" s="166"/>
      <c r="G234" s="166"/>
      <c r="H234" s="2"/>
      <c r="I234" s="166"/>
      <c r="J234" s="68"/>
    </row>
    <row r="235" spans="1:10">
      <c r="A235" s="166"/>
      <c r="B235" s="166"/>
      <c r="C235" s="166"/>
      <c r="D235" s="166"/>
      <c r="E235" s="166"/>
      <c r="F235" s="166"/>
      <c r="G235" s="166"/>
      <c r="H235" s="2"/>
      <c r="I235" s="166"/>
      <c r="J235" s="68"/>
    </row>
    <row r="236" spans="1:10">
      <c r="A236" s="166"/>
      <c r="B236" s="2" t="s">
        <v>38</v>
      </c>
      <c r="C236" s="2" t="s">
        <v>402</v>
      </c>
      <c r="D236" s="1" t="s">
        <v>401</v>
      </c>
      <c r="E236" s="171"/>
      <c r="F236" s="171"/>
      <c r="G236" s="171"/>
      <c r="H236" s="171"/>
      <c r="I236" s="166"/>
      <c r="J236" s="68"/>
    </row>
    <row r="237" spans="1:10">
      <c r="A237" s="166"/>
      <c r="B237" s="166"/>
      <c r="C237" s="166"/>
      <c r="D237" s="1" t="s">
        <v>400</v>
      </c>
      <c r="E237" s="166"/>
      <c r="F237" s="166"/>
      <c r="G237" s="166"/>
      <c r="H237" s="166"/>
      <c r="I237" s="166"/>
      <c r="J237" s="68"/>
    </row>
    <row r="238" spans="1:10">
      <c r="A238" s="166"/>
      <c r="B238" s="166"/>
      <c r="C238" s="166"/>
      <c r="D238" s="171"/>
      <c r="E238" s="166"/>
      <c r="F238" s="166"/>
      <c r="G238" s="166"/>
      <c r="H238" s="166"/>
      <c r="I238" s="166"/>
      <c r="J238" s="68"/>
    </row>
    <row r="239" spans="1:10">
      <c r="A239" s="166"/>
      <c r="B239" s="166"/>
      <c r="C239" s="166"/>
      <c r="D239" s="221" t="s">
        <v>399</v>
      </c>
      <c r="E239" s="149"/>
      <c r="F239" s="149"/>
      <c r="G239" s="149"/>
      <c r="H239" s="220"/>
      <c r="I239" s="219"/>
      <c r="J239" s="68"/>
    </row>
    <row r="240" spans="1:10">
      <c r="A240" s="166"/>
      <c r="B240" s="166"/>
      <c r="C240" s="166"/>
      <c r="D240" s="2"/>
      <c r="E240" s="2"/>
      <c r="F240" s="2"/>
      <c r="G240" s="2"/>
      <c r="H240" s="166"/>
      <c r="I240" s="166"/>
      <c r="J240" s="68"/>
    </row>
    <row r="241" spans="1:10">
      <c r="A241" s="166"/>
      <c r="B241" s="166"/>
      <c r="C241" s="166"/>
      <c r="D241" s="1" t="s">
        <v>398</v>
      </c>
      <c r="E241" s="1"/>
      <c r="F241" s="2"/>
      <c r="G241" s="2"/>
      <c r="H241" s="166"/>
      <c r="I241" s="166"/>
      <c r="J241" s="68"/>
    </row>
    <row r="242" spans="1:10">
      <c r="A242" s="166"/>
      <c r="B242" s="166"/>
      <c r="C242" s="166"/>
      <c r="D242" s="2" t="s">
        <v>394</v>
      </c>
      <c r="E242" s="2"/>
      <c r="F242" s="2"/>
      <c r="G242" s="2"/>
      <c r="H242" s="188"/>
      <c r="I242" s="166"/>
      <c r="J242" s="68"/>
    </row>
    <row r="243" spans="1:10">
      <c r="A243" s="166"/>
      <c r="B243" s="166"/>
      <c r="C243" s="166"/>
      <c r="D243" s="2" t="s">
        <v>393</v>
      </c>
      <c r="E243" s="2"/>
      <c r="F243" s="2"/>
      <c r="G243" s="2"/>
      <c r="H243" s="188"/>
      <c r="I243" s="166"/>
      <c r="J243" s="68"/>
    </row>
    <row r="244" spans="1:10">
      <c r="A244" s="166"/>
      <c r="B244" s="166"/>
      <c r="C244" s="166"/>
      <c r="D244" s="1" t="s">
        <v>397</v>
      </c>
      <c r="E244" s="1"/>
      <c r="F244" s="2"/>
      <c r="G244" s="2"/>
      <c r="H244" s="185">
        <f>H242+H243</f>
        <v>0</v>
      </c>
      <c r="I244" s="166"/>
      <c r="J244" s="68"/>
    </row>
    <row r="245" spans="1:10">
      <c r="A245" s="166"/>
      <c r="B245" s="166"/>
      <c r="C245" s="166"/>
      <c r="D245" s="2"/>
      <c r="E245" s="2"/>
      <c r="F245" s="2"/>
      <c r="G245" s="2"/>
      <c r="H245" s="166"/>
      <c r="I245" s="166"/>
      <c r="J245" s="68"/>
    </row>
    <row r="246" spans="1:10">
      <c r="A246" s="166"/>
      <c r="B246" s="166"/>
      <c r="C246" s="166"/>
      <c r="D246" s="1" t="s">
        <v>396</v>
      </c>
      <c r="E246" s="2"/>
      <c r="F246" s="2"/>
      <c r="G246" s="2"/>
      <c r="H246" s="188"/>
      <c r="I246" s="166"/>
      <c r="J246" s="68"/>
    </row>
    <row r="247" spans="1:10">
      <c r="A247" s="166"/>
      <c r="B247" s="166"/>
      <c r="C247" s="166"/>
      <c r="D247" s="1"/>
      <c r="E247" s="1"/>
      <c r="F247" s="2"/>
      <c r="G247" s="2"/>
      <c r="H247" s="218"/>
      <c r="I247" s="166"/>
      <c r="J247" s="68"/>
    </row>
    <row r="248" spans="1:10">
      <c r="A248" s="166"/>
      <c r="B248" s="166"/>
      <c r="C248" s="166"/>
      <c r="D248" s="1" t="s">
        <v>395</v>
      </c>
      <c r="E248" s="1"/>
      <c r="F248" s="2"/>
      <c r="G248" s="2"/>
      <c r="H248" s="166"/>
      <c r="I248" s="166"/>
      <c r="J248" s="68"/>
    </row>
    <row r="249" spans="1:10">
      <c r="A249" s="166"/>
      <c r="B249" s="166"/>
      <c r="C249" s="166"/>
      <c r="D249" s="2" t="s">
        <v>394</v>
      </c>
      <c r="E249" s="2"/>
      <c r="F249" s="2"/>
      <c r="G249" s="2"/>
      <c r="H249" s="188"/>
      <c r="I249" s="166"/>
      <c r="J249" s="68"/>
    </row>
    <row r="250" spans="1:10">
      <c r="A250" s="166"/>
      <c r="B250" s="166"/>
      <c r="C250" s="166"/>
      <c r="D250" s="2" t="s">
        <v>393</v>
      </c>
      <c r="E250" s="2"/>
      <c r="F250" s="2"/>
      <c r="G250" s="2"/>
      <c r="H250" s="188"/>
      <c r="I250" s="166"/>
      <c r="J250" s="68"/>
    </row>
    <row r="251" spans="1:10">
      <c r="A251" s="166"/>
      <c r="B251" s="166"/>
      <c r="C251" s="166"/>
      <c r="D251" s="1" t="s">
        <v>392</v>
      </c>
      <c r="E251" s="1"/>
      <c r="F251" s="2"/>
      <c r="G251" s="2"/>
      <c r="H251" s="185">
        <f>H249+H250</f>
        <v>0</v>
      </c>
      <c r="I251" s="166"/>
      <c r="J251" s="68"/>
    </row>
    <row r="252" spans="1:10">
      <c r="A252" s="166"/>
      <c r="B252" s="166"/>
      <c r="C252" s="166"/>
      <c r="D252" s="166"/>
      <c r="E252" s="1"/>
      <c r="F252" s="1"/>
      <c r="G252" s="2"/>
      <c r="H252" s="2"/>
      <c r="I252" s="218"/>
      <c r="J252" s="166"/>
    </row>
    <row r="253" spans="1:10">
      <c r="A253" s="166"/>
      <c r="B253" s="166"/>
      <c r="C253" s="166"/>
      <c r="D253" s="166"/>
      <c r="E253" s="171"/>
      <c r="F253" s="171"/>
      <c r="G253" s="166"/>
      <c r="H253" s="166"/>
      <c r="I253" s="218"/>
      <c r="J253" s="166"/>
    </row>
    <row r="254" spans="1:10">
      <c r="A254" s="166"/>
      <c r="B254" s="166"/>
      <c r="C254" s="166"/>
      <c r="D254" s="166"/>
      <c r="E254" s="171"/>
      <c r="F254" s="171"/>
      <c r="G254" s="166"/>
      <c r="H254" s="166"/>
      <c r="I254" s="218"/>
      <c r="J254" s="166"/>
    </row>
    <row r="255" spans="1:10">
      <c r="A255" s="166"/>
      <c r="B255" s="166"/>
      <c r="C255" s="2" t="s">
        <v>391</v>
      </c>
      <c r="D255" s="1"/>
      <c r="E255" s="1"/>
      <c r="F255" s="1"/>
      <c r="G255" s="1"/>
      <c r="H255" s="68"/>
      <c r="I255" s="68"/>
      <c r="J255" s="68"/>
    </row>
    <row r="256" spans="1:10">
      <c r="A256" s="166"/>
      <c r="B256" s="197"/>
      <c r="C256" s="68"/>
      <c r="D256" s="68"/>
      <c r="E256" s="68"/>
      <c r="F256" s="68"/>
      <c r="G256" s="68"/>
      <c r="H256" s="68"/>
      <c r="I256" s="68"/>
      <c r="J256" s="68"/>
    </row>
    <row r="257" spans="1:10">
      <c r="A257" s="166"/>
      <c r="B257" s="197"/>
      <c r="C257" s="217" t="s">
        <v>390</v>
      </c>
      <c r="D257" s="216" t="s">
        <v>389</v>
      </c>
      <c r="E257" s="215"/>
      <c r="F257" s="215"/>
      <c r="G257" s="214"/>
      <c r="H257" s="68"/>
      <c r="I257" s="68"/>
      <c r="J257" s="68"/>
    </row>
    <row r="258" spans="1:10">
      <c r="A258" s="166"/>
      <c r="B258" s="197"/>
      <c r="C258" s="213" t="s">
        <v>388</v>
      </c>
      <c r="D258" s="1691" t="s">
        <v>387</v>
      </c>
      <c r="E258" s="1692"/>
      <c r="F258" s="1692"/>
      <c r="G258" s="1693"/>
      <c r="H258" s="68"/>
      <c r="I258" s="68"/>
      <c r="J258" s="68"/>
    </row>
    <row r="259" spans="1:10">
      <c r="A259" s="166"/>
      <c r="B259" s="197"/>
      <c r="C259" s="213" t="s">
        <v>377</v>
      </c>
      <c r="D259" s="1691" t="s">
        <v>386</v>
      </c>
      <c r="E259" s="1692"/>
      <c r="F259" s="1692"/>
      <c r="G259" s="1693"/>
      <c r="H259" s="68"/>
      <c r="I259" s="68"/>
      <c r="J259" s="68"/>
    </row>
    <row r="260" spans="1:10">
      <c r="A260" s="166"/>
      <c r="B260" s="197"/>
      <c r="C260" s="213" t="s">
        <v>385</v>
      </c>
      <c r="D260" s="1691" t="s">
        <v>383</v>
      </c>
      <c r="E260" s="1692"/>
      <c r="F260" s="1692"/>
      <c r="G260" s="1693"/>
      <c r="H260" s="68"/>
      <c r="I260" s="68"/>
      <c r="J260" s="68"/>
    </row>
    <row r="261" spans="1:10">
      <c r="A261" s="166"/>
      <c r="B261" s="197"/>
      <c r="C261" s="213" t="s">
        <v>384</v>
      </c>
      <c r="D261" s="1691" t="s">
        <v>383</v>
      </c>
      <c r="E261" s="1692"/>
      <c r="F261" s="1692"/>
      <c r="G261" s="1693"/>
      <c r="H261" s="68"/>
      <c r="I261" s="68"/>
      <c r="J261" s="68"/>
    </row>
    <row r="262" spans="1:10">
      <c r="A262" s="166"/>
      <c r="B262" s="197"/>
      <c r="C262" s="213" t="s">
        <v>382</v>
      </c>
      <c r="D262" s="1691" t="s">
        <v>381</v>
      </c>
      <c r="E262" s="1692"/>
      <c r="F262" s="1692"/>
      <c r="G262" s="1693"/>
      <c r="H262" s="68"/>
      <c r="I262" s="68"/>
      <c r="J262" s="68"/>
    </row>
    <row r="263" spans="1:10">
      <c r="A263" s="166"/>
      <c r="B263" s="197"/>
      <c r="C263" s="213" t="s">
        <v>380</v>
      </c>
      <c r="D263" s="1691" t="s">
        <v>379</v>
      </c>
      <c r="E263" s="1692"/>
      <c r="F263" s="1692"/>
      <c r="G263" s="1693"/>
      <c r="H263" s="68"/>
      <c r="I263" s="68"/>
      <c r="J263" s="68"/>
    </row>
    <row r="264" spans="1:10">
      <c r="A264" s="166"/>
      <c r="B264" s="197"/>
      <c r="C264" s="68"/>
      <c r="D264" s="68"/>
      <c r="E264" s="68"/>
      <c r="F264" s="68"/>
      <c r="G264" s="68"/>
      <c r="H264" s="68"/>
      <c r="I264" s="68"/>
      <c r="J264" s="68"/>
    </row>
    <row r="265" spans="1:10">
      <c r="A265" s="166"/>
      <c r="B265" s="197"/>
      <c r="C265" s="202" t="s">
        <v>378</v>
      </c>
      <c r="D265" s="192"/>
      <c r="E265" s="2"/>
      <c r="F265" s="68"/>
      <c r="G265" s="68"/>
      <c r="H265" s="68"/>
      <c r="I265" s="68"/>
      <c r="J265" s="68"/>
    </row>
    <row r="266" spans="1:10">
      <c r="A266" s="166"/>
      <c r="B266" s="197"/>
      <c r="C266" s="208"/>
      <c r="D266" s="133" t="s">
        <v>377</v>
      </c>
      <c r="E266" s="2"/>
      <c r="F266" s="68"/>
      <c r="G266" s="68"/>
      <c r="H266" s="68"/>
      <c r="I266" s="68"/>
      <c r="J266" s="68"/>
    </row>
    <row r="267" spans="1:10">
      <c r="A267" s="166"/>
      <c r="B267" s="197"/>
      <c r="C267" s="208" t="s">
        <v>376</v>
      </c>
      <c r="D267" s="209">
        <v>87150</v>
      </c>
      <c r="E267" s="2"/>
      <c r="F267" s="68"/>
      <c r="G267" s="68"/>
      <c r="H267" s="68"/>
      <c r="I267" s="68"/>
      <c r="J267" s="68"/>
    </row>
    <row r="268" spans="1:10">
      <c r="A268" s="166"/>
      <c r="B268" s="197"/>
      <c r="C268" s="208" t="s">
        <v>375</v>
      </c>
      <c r="D268" s="207">
        <v>6.0999999999999999E-2</v>
      </c>
      <c r="E268" s="2"/>
      <c r="F268" s="68"/>
      <c r="G268" s="68"/>
      <c r="H268" s="68"/>
      <c r="I268" s="68"/>
      <c r="J268" s="68"/>
    </row>
    <row r="269" spans="1:10">
      <c r="A269" s="166"/>
      <c r="B269" s="197"/>
      <c r="C269" s="192"/>
      <c r="D269" s="206"/>
      <c r="E269" s="2"/>
      <c r="F269" s="68"/>
      <c r="G269" s="68"/>
      <c r="H269" s="68"/>
      <c r="I269" s="68"/>
      <c r="J269" s="68"/>
    </row>
    <row r="270" spans="1:10">
      <c r="A270" s="166"/>
      <c r="B270" s="197"/>
      <c r="C270" s="202" t="s">
        <v>374</v>
      </c>
      <c r="D270" s="205"/>
      <c r="E270" s="204"/>
      <c r="F270" s="68"/>
      <c r="G270" s="68"/>
      <c r="H270" s="68"/>
      <c r="I270" s="68"/>
      <c r="J270" s="68"/>
    </row>
    <row r="271" spans="1:10">
      <c r="A271" s="166"/>
      <c r="B271" s="197"/>
      <c r="C271" s="151" t="s">
        <v>373</v>
      </c>
      <c r="D271" s="203">
        <v>5.1999999999999998E-2</v>
      </c>
      <c r="E271" s="148" t="s">
        <v>370</v>
      </c>
      <c r="F271" s="68"/>
      <c r="G271" s="68"/>
      <c r="H271" s="68"/>
      <c r="I271" s="68"/>
      <c r="J271" s="68"/>
    </row>
    <row r="272" spans="1:10">
      <c r="A272" s="166"/>
      <c r="B272" s="197"/>
      <c r="C272" s="151" t="s">
        <v>372</v>
      </c>
      <c r="D272" s="203">
        <v>3.7499999999999999E-2</v>
      </c>
      <c r="E272" s="148" t="s">
        <v>370</v>
      </c>
      <c r="F272" s="68"/>
      <c r="G272" s="68"/>
      <c r="H272" s="68"/>
      <c r="I272" s="68"/>
      <c r="J272" s="68"/>
    </row>
    <row r="273" spans="1:10">
      <c r="A273" s="166"/>
      <c r="B273" s="166"/>
      <c r="C273" s="1697" t="s">
        <v>371</v>
      </c>
      <c r="D273" s="1699">
        <v>0.06</v>
      </c>
      <c r="E273" s="1701" t="s">
        <v>370</v>
      </c>
      <c r="F273" s="68"/>
      <c r="G273" s="68"/>
      <c r="H273" s="68"/>
      <c r="I273" s="68"/>
      <c r="J273" s="68"/>
    </row>
    <row r="274" spans="1:10">
      <c r="A274" s="166"/>
      <c r="B274" s="166"/>
      <c r="C274" s="1698"/>
      <c r="D274" s="1700"/>
      <c r="E274" s="1702"/>
      <c r="F274" s="68"/>
      <c r="G274" s="68"/>
      <c r="H274" s="68"/>
      <c r="I274" s="68"/>
      <c r="J274" s="68"/>
    </row>
    <row r="275" spans="1:10">
      <c r="A275" s="166"/>
      <c r="B275" s="197"/>
      <c r="C275" s="68"/>
      <c r="D275" s="68"/>
      <c r="E275" s="201"/>
      <c r="F275" s="68"/>
      <c r="G275" s="68"/>
      <c r="H275" s="68"/>
      <c r="I275" s="68"/>
      <c r="J275" s="68"/>
    </row>
    <row r="276" spans="1:10">
      <c r="A276" s="166"/>
      <c r="B276" s="197"/>
      <c r="C276" s="202" t="s">
        <v>369</v>
      </c>
      <c r="D276" s="68"/>
      <c r="E276" s="201"/>
      <c r="F276" s="68"/>
      <c r="G276" s="68"/>
      <c r="H276" s="68"/>
      <c r="I276" s="68"/>
      <c r="J276" s="68"/>
    </row>
    <row r="277" spans="1:10">
      <c r="A277" s="166"/>
      <c r="B277" s="197"/>
      <c r="C277" s="196" t="s">
        <v>368</v>
      </c>
      <c r="D277" s="196"/>
      <c r="E277" s="196"/>
      <c r="F277" s="195">
        <v>1287780</v>
      </c>
      <c r="G277" s="68"/>
      <c r="H277" s="68"/>
      <c r="I277" s="68"/>
      <c r="J277" s="68"/>
    </row>
    <row r="278" spans="1:10">
      <c r="A278" s="166"/>
      <c r="B278" s="197"/>
      <c r="C278" s="192" t="s">
        <v>367</v>
      </c>
      <c r="D278" s="192"/>
      <c r="E278" s="192"/>
      <c r="F278" s="199">
        <v>100000</v>
      </c>
      <c r="G278" s="68"/>
      <c r="H278" s="68"/>
      <c r="I278" s="68"/>
      <c r="J278" s="68"/>
    </row>
    <row r="279" spans="1:10">
      <c r="A279" s="166"/>
      <c r="B279" s="197"/>
      <c r="C279" s="200" t="s">
        <v>366</v>
      </c>
      <c r="D279" s="200"/>
      <c r="E279" s="200"/>
      <c r="F279" s="199">
        <v>50000</v>
      </c>
      <c r="G279" s="68"/>
      <c r="H279" s="68"/>
      <c r="I279" s="68"/>
      <c r="J279" s="68"/>
    </row>
    <row r="280" spans="1:10">
      <c r="A280" s="166"/>
      <c r="B280" s="197"/>
      <c r="C280" s="200" t="s">
        <v>365</v>
      </c>
      <c r="D280" s="200"/>
      <c r="E280" s="200"/>
      <c r="F280" s="199">
        <v>6200</v>
      </c>
      <c r="G280" s="68"/>
      <c r="H280" s="68"/>
      <c r="I280" s="68"/>
      <c r="J280" s="68"/>
    </row>
    <row r="281" spans="1:10">
      <c r="A281" s="166"/>
      <c r="B281" s="197"/>
      <c r="C281" s="192" t="s">
        <v>364</v>
      </c>
      <c r="D281" s="192"/>
      <c r="E281" s="192"/>
      <c r="F281" s="199">
        <v>-53000</v>
      </c>
      <c r="G281" s="68"/>
      <c r="H281" s="68"/>
      <c r="I281" s="68"/>
      <c r="J281" s="68"/>
    </row>
    <row r="282" spans="1:10">
      <c r="A282" s="166"/>
      <c r="B282" s="197"/>
      <c r="C282" s="192" t="s">
        <v>363</v>
      </c>
      <c r="D282" s="192"/>
      <c r="E282" s="192"/>
      <c r="F282" s="199">
        <v>-215000</v>
      </c>
      <c r="G282" s="68"/>
      <c r="H282" s="68"/>
      <c r="I282" s="68"/>
      <c r="J282" s="68"/>
    </row>
    <row r="283" spans="1:10">
      <c r="A283" s="166"/>
      <c r="B283" s="197"/>
      <c r="C283" s="192" t="s">
        <v>362</v>
      </c>
      <c r="D283" s="192"/>
      <c r="E283" s="192"/>
      <c r="F283" s="199">
        <v>-24000</v>
      </c>
      <c r="G283" s="68"/>
      <c r="H283" s="68"/>
      <c r="I283" s="68"/>
      <c r="J283" s="68"/>
    </row>
    <row r="284" spans="1:10">
      <c r="A284" s="166"/>
      <c r="B284" s="197"/>
      <c r="C284" s="192" t="s">
        <v>361</v>
      </c>
      <c r="D284" s="192"/>
      <c r="E284" s="192"/>
      <c r="F284" s="199">
        <v>-12000</v>
      </c>
      <c r="G284" s="68"/>
      <c r="H284" s="68"/>
      <c r="I284" s="68"/>
      <c r="J284" s="68"/>
    </row>
    <row r="285" spans="1:10">
      <c r="A285" s="166"/>
      <c r="B285" s="197"/>
      <c r="C285" s="192" t="s">
        <v>360</v>
      </c>
      <c r="D285" s="192"/>
      <c r="E285" s="192"/>
      <c r="F285" s="199">
        <v>75000</v>
      </c>
      <c r="G285" s="68"/>
      <c r="H285" s="68"/>
      <c r="I285" s="68"/>
      <c r="J285" s="68"/>
    </row>
    <row r="286" spans="1:10">
      <c r="A286" s="166"/>
      <c r="B286" s="197"/>
      <c r="C286" s="192" t="s">
        <v>359</v>
      </c>
      <c r="D286" s="192"/>
      <c r="E286" s="192"/>
      <c r="F286" s="198">
        <v>-300000</v>
      </c>
      <c r="G286" s="68"/>
      <c r="H286" s="68"/>
      <c r="I286" s="68"/>
      <c r="J286" s="68"/>
    </row>
    <row r="287" spans="1:10">
      <c r="A287" s="166"/>
      <c r="B287" s="197"/>
      <c r="C287" s="196" t="s">
        <v>358</v>
      </c>
      <c r="D287" s="196"/>
      <c r="E287" s="196"/>
      <c r="F287" s="195">
        <v>914980</v>
      </c>
      <c r="G287" s="68"/>
      <c r="H287" s="68"/>
      <c r="I287" s="68"/>
      <c r="J287" s="68"/>
    </row>
    <row r="288" spans="1:10">
      <c r="A288" s="166"/>
      <c r="B288" s="193"/>
      <c r="C288" s="194"/>
      <c r="D288" s="192"/>
      <c r="E288" s="2"/>
      <c r="F288" s="191"/>
      <c r="G288" s="2"/>
      <c r="H288" s="2"/>
      <c r="I288" s="2"/>
      <c r="J288" s="2"/>
    </row>
    <row r="289" spans="1:10">
      <c r="A289" s="166"/>
      <c r="B289" s="193"/>
      <c r="C289" s="193" t="s">
        <v>357</v>
      </c>
      <c r="D289" s="192"/>
      <c r="E289" s="2"/>
      <c r="F289" s="191"/>
      <c r="G289" s="2"/>
      <c r="H289" s="2"/>
      <c r="I289" s="2"/>
      <c r="J289" s="2"/>
    </row>
    <row r="290" spans="1:10">
      <c r="A290" s="166"/>
      <c r="B290" s="193"/>
      <c r="C290" s="193"/>
      <c r="D290" s="192"/>
      <c r="E290" s="2"/>
      <c r="F290" s="191"/>
      <c r="G290" s="2"/>
      <c r="H290" s="2"/>
      <c r="I290" s="2"/>
      <c r="J290" s="2"/>
    </row>
    <row r="291" spans="1:10">
      <c r="A291" s="166"/>
      <c r="B291" s="182" t="s">
        <v>211</v>
      </c>
      <c r="C291" s="2" t="s">
        <v>71</v>
      </c>
      <c r="D291" s="1" t="s">
        <v>356</v>
      </c>
      <c r="E291" s="2"/>
      <c r="F291" s="2"/>
      <c r="G291" s="2"/>
      <c r="H291" s="2"/>
      <c r="I291" s="2"/>
      <c r="J291" s="2"/>
    </row>
    <row r="292" spans="1:10">
      <c r="A292" s="166"/>
      <c r="B292" s="182"/>
      <c r="C292" s="2"/>
      <c r="D292" s="1"/>
      <c r="E292" s="2"/>
      <c r="F292" s="2"/>
      <c r="G292" s="2"/>
      <c r="H292" s="2"/>
      <c r="I292" s="2"/>
      <c r="J292" s="2"/>
    </row>
    <row r="293" spans="1:10">
      <c r="A293" s="166"/>
      <c r="B293" s="182"/>
      <c r="C293" s="2"/>
      <c r="D293" s="180" t="s">
        <v>343</v>
      </c>
      <c r="E293" s="179"/>
      <c r="F293" s="179"/>
      <c r="G293" s="179"/>
      <c r="H293" s="179"/>
      <c r="I293" s="178"/>
      <c r="J293" s="2"/>
    </row>
    <row r="294" spans="1:10">
      <c r="A294" s="166"/>
      <c r="B294" s="182"/>
      <c r="C294" s="2"/>
      <c r="D294" s="2"/>
      <c r="E294" s="2"/>
      <c r="F294" s="2"/>
      <c r="G294" s="2"/>
      <c r="H294" s="2"/>
      <c r="I294" s="2"/>
      <c r="J294" s="2"/>
    </row>
    <row r="295" spans="1:10">
      <c r="A295" s="166"/>
      <c r="B295" s="182"/>
      <c r="C295" s="2"/>
      <c r="D295" s="1" t="s">
        <v>355</v>
      </c>
      <c r="E295" s="2"/>
      <c r="F295" s="190"/>
      <c r="G295" s="2"/>
      <c r="H295" s="2"/>
      <c r="I295" s="2"/>
      <c r="J295" s="2"/>
    </row>
    <row r="296" spans="1:10">
      <c r="A296" s="166"/>
      <c r="B296" s="182"/>
      <c r="C296" s="2"/>
      <c r="D296" s="2"/>
      <c r="E296" s="2"/>
      <c r="F296" s="2"/>
      <c r="G296" s="2"/>
      <c r="H296" s="2"/>
      <c r="I296" s="2"/>
      <c r="J296" s="2"/>
    </row>
    <row r="297" spans="1:10">
      <c r="A297" s="166"/>
      <c r="B297" s="182"/>
      <c r="C297" s="2"/>
      <c r="D297" s="1" t="s">
        <v>354</v>
      </c>
      <c r="E297" s="2"/>
      <c r="F297" s="2"/>
      <c r="G297" s="2"/>
      <c r="H297" s="2"/>
      <c r="I297" s="2"/>
      <c r="J297" s="2"/>
    </row>
    <row r="298" spans="1:10">
      <c r="A298" s="166"/>
      <c r="B298" s="182"/>
      <c r="C298" s="2"/>
      <c r="D298" s="2" t="s">
        <v>353</v>
      </c>
      <c r="E298" s="2"/>
      <c r="F298" s="2"/>
      <c r="G298" s="2"/>
      <c r="H298" s="2"/>
      <c r="I298" s="2"/>
      <c r="J298" s="2"/>
    </row>
    <row r="299" spans="1:10">
      <c r="A299" s="166"/>
      <c r="B299" s="182"/>
      <c r="C299" s="2"/>
      <c r="D299" s="189" t="s">
        <v>352</v>
      </c>
      <c r="E299" s="2"/>
      <c r="F299" s="188"/>
      <c r="G299" s="2"/>
      <c r="H299" s="2"/>
      <c r="I299" s="2"/>
      <c r="J299" s="2"/>
    </row>
    <row r="300" spans="1:10">
      <c r="A300" s="166"/>
      <c r="B300" s="182"/>
      <c r="C300" s="2"/>
      <c r="D300" s="189" t="s">
        <v>351</v>
      </c>
      <c r="E300" s="2"/>
      <c r="F300" s="188"/>
      <c r="G300" s="2"/>
      <c r="H300" s="2"/>
      <c r="I300" s="2"/>
      <c r="J300" s="2"/>
    </row>
    <row r="301" spans="1:10">
      <c r="A301" s="166"/>
      <c r="B301" s="182"/>
      <c r="C301" s="2"/>
      <c r="D301" s="189" t="s">
        <v>350</v>
      </c>
      <c r="E301" s="2"/>
      <c r="F301" s="188"/>
      <c r="G301" s="2"/>
      <c r="H301" s="2"/>
      <c r="I301" s="2"/>
      <c r="J301" s="2"/>
    </row>
    <row r="302" spans="1:10">
      <c r="A302" s="166"/>
      <c r="B302" s="182"/>
      <c r="C302" s="2"/>
      <c r="D302" s="2" t="s">
        <v>349</v>
      </c>
      <c r="E302" s="2"/>
      <c r="F302" s="187">
        <f>SUM(F299:F301)</f>
        <v>0</v>
      </c>
      <c r="G302" s="2"/>
      <c r="H302" s="2"/>
      <c r="I302" s="2"/>
      <c r="J302" s="2"/>
    </row>
    <row r="303" spans="1:10">
      <c r="A303" s="166"/>
      <c r="B303" s="182"/>
      <c r="C303" s="2"/>
      <c r="D303" s="2" t="s">
        <v>348</v>
      </c>
      <c r="E303" s="2"/>
      <c r="F303" s="186"/>
      <c r="G303" s="2"/>
      <c r="H303" s="2"/>
      <c r="I303" s="2"/>
      <c r="J303" s="2"/>
    </row>
    <row r="304" spans="1:10">
      <c r="A304" s="166"/>
      <c r="B304" s="182"/>
      <c r="C304" s="2"/>
      <c r="D304" s="1" t="s">
        <v>347</v>
      </c>
      <c r="E304" s="2"/>
      <c r="F304" s="185">
        <f>SUM(F302:F303)</f>
        <v>0</v>
      </c>
      <c r="G304" s="2"/>
      <c r="H304" s="2"/>
      <c r="I304" s="2"/>
      <c r="J304" s="2"/>
    </row>
    <row r="305" spans="1:10">
      <c r="A305" s="166"/>
      <c r="B305" s="182"/>
      <c r="C305" s="2"/>
      <c r="D305" s="2"/>
      <c r="E305" s="2"/>
      <c r="F305" s="2"/>
      <c r="G305" s="2"/>
      <c r="H305" s="2"/>
      <c r="I305" s="2"/>
      <c r="J305" s="2"/>
    </row>
    <row r="306" spans="1:10">
      <c r="A306" s="166"/>
      <c r="B306" s="182"/>
      <c r="C306" s="2"/>
      <c r="D306" s="1" t="s">
        <v>346</v>
      </c>
      <c r="E306" s="2"/>
      <c r="F306" s="185">
        <f>F295-F304</f>
        <v>0</v>
      </c>
      <c r="G306" s="2"/>
      <c r="H306" s="2"/>
      <c r="I306" s="2"/>
      <c r="J306" s="2"/>
    </row>
    <row r="307" spans="1:10">
      <c r="A307" s="166"/>
      <c r="B307" s="182"/>
      <c r="C307" s="2"/>
      <c r="D307" s="1"/>
      <c r="E307" s="1"/>
      <c r="F307" s="2"/>
      <c r="G307" s="2"/>
      <c r="H307" s="2"/>
      <c r="I307" s="2"/>
      <c r="J307" s="2"/>
    </row>
    <row r="308" spans="1:10">
      <c r="A308" s="166"/>
      <c r="B308" s="184"/>
      <c r="C308" s="166"/>
      <c r="D308" s="183"/>
      <c r="E308" s="171"/>
      <c r="F308" s="172"/>
      <c r="G308" s="172"/>
      <c r="H308" s="172"/>
      <c r="I308" s="172"/>
      <c r="J308" s="2"/>
    </row>
    <row r="309" spans="1:10">
      <c r="A309" s="166"/>
      <c r="B309" s="182" t="s">
        <v>345</v>
      </c>
      <c r="C309" s="2" t="s">
        <v>271</v>
      </c>
      <c r="D309" s="181" t="s">
        <v>344</v>
      </c>
      <c r="E309" s="166"/>
      <c r="F309" s="166"/>
      <c r="G309" s="166"/>
      <c r="H309" s="166"/>
      <c r="I309" s="166"/>
      <c r="J309" s="2"/>
    </row>
    <row r="310" spans="1:10">
      <c r="A310" s="166"/>
      <c r="B310" s="166"/>
      <c r="C310" s="166"/>
      <c r="D310" s="166"/>
      <c r="E310" s="166"/>
      <c r="F310" s="166"/>
      <c r="G310" s="166"/>
      <c r="H310" s="166"/>
      <c r="I310" s="166"/>
      <c r="J310" s="2"/>
    </row>
    <row r="311" spans="1:10">
      <c r="A311" s="166"/>
      <c r="B311" s="166"/>
      <c r="C311" s="166"/>
      <c r="D311" s="180" t="s">
        <v>343</v>
      </c>
      <c r="E311" s="179"/>
      <c r="F311" s="179"/>
      <c r="G311" s="179"/>
      <c r="H311" s="179"/>
      <c r="I311" s="178"/>
      <c r="J311" s="2"/>
    </row>
    <row r="312" spans="1:10">
      <c r="A312" s="166"/>
      <c r="B312" s="166"/>
      <c r="C312" s="166"/>
      <c r="D312" s="176"/>
      <c r="E312" s="177"/>
      <c r="F312" s="176"/>
      <c r="G312" s="177"/>
      <c r="H312" s="176"/>
      <c r="I312" s="166"/>
      <c r="J312" s="2"/>
    </row>
    <row r="313" spans="1:10">
      <c r="A313" s="166"/>
      <c r="B313" s="166"/>
      <c r="C313" s="166"/>
      <c r="D313" s="1" t="s">
        <v>342</v>
      </c>
      <c r="E313" s="171"/>
      <c r="F313" s="171"/>
      <c r="G313" s="167"/>
      <c r="H313" s="166"/>
      <c r="I313" s="166"/>
      <c r="J313" s="2"/>
    </row>
    <row r="314" spans="1:10">
      <c r="A314" s="166"/>
      <c r="B314" s="166"/>
      <c r="C314" s="166"/>
      <c r="D314" s="2" t="s">
        <v>341</v>
      </c>
      <c r="E314" s="172"/>
      <c r="F314" s="171"/>
      <c r="G314" s="168"/>
      <c r="H314" s="166"/>
      <c r="I314" s="166"/>
      <c r="J314" s="2"/>
    </row>
    <row r="315" spans="1:10">
      <c r="A315" s="166"/>
      <c r="B315" s="166"/>
      <c r="C315" s="166"/>
      <c r="D315" s="1" t="s">
        <v>340</v>
      </c>
      <c r="E315" s="172"/>
      <c r="F315" s="171"/>
      <c r="G315" s="167"/>
      <c r="H315" s="166"/>
      <c r="I315" s="166"/>
      <c r="J315" s="2"/>
    </row>
    <row r="316" spans="1:10">
      <c r="A316" s="166"/>
      <c r="B316" s="166"/>
      <c r="C316" s="166"/>
      <c r="D316" s="2" t="s">
        <v>339</v>
      </c>
      <c r="E316" s="172"/>
      <c r="F316" s="171"/>
      <c r="G316" s="168"/>
      <c r="H316" s="166"/>
      <c r="I316" s="166"/>
      <c r="J316" s="2"/>
    </row>
    <row r="317" spans="1:10">
      <c r="A317" s="166"/>
      <c r="B317" s="166"/>
      <c r="C317" s="166"/>
      <c r="D317" s="2" t="s">
        <v>338</v>
      </c>
      <c r="E317" s="172"/>
      <c r="F317" s="171"/>
      <c r="G317" s="168"/>
      <c r="H317" s="166"/>
      <c r="I317" s="166"/>
      <c r="J317" s="2"/>
    </row>
    <row r="318" spans="1:10">
      <c r="A318" s="166"/>
      <c r="B318" s="166"/>
      <c r="C318" s="166"/>
      <c r="D318" s="2" t="s">
        <v>337</v>
      </c>
      <c r="E318" s="172"/>
      <c r="F318" s="171"/>
      <c r="G318" s="168"/>
      <c r="H318" s="166"/>
      <c r="I318" s="166"/>
      <c r="J318" s="2"/>
    </row>
    <row r="319" spans="1:10">
      <c r="A319" s="166"/>
      <c r="B319" s="166"/>
      <c r="C319" s="166"/>
      <c r="D319" s="1" t="s">
        <v>336</v>
      </c>
      <c r="E319" s="172"/>
      <c r="F319" s="171"/>
      <c r="G319" s="171"/>
      <c r="H319" s="166"/>
      <c r="I319" s="166"/>
      <c r="J319" s="2"/>
    </row>
    <row r="320" spans="1:10">
      <c r="A320" s="166"/>
      <c r="B320" s="166"/>
      <c r="C320" s="166"/>
      <c r="D320" s="173"/>
      <c r="E320" s="172"/>
      <c r="F320" s="171"/>
      <c r="G320" s="168"/>
      <c r="H320" s="166"/>
      <c r="I320" s="166"/>
      <c r="J320" s="2"/>
    </row>
    <row r="321" spans="1:10">
      <c r="A321" s="166"/>
      <c r="B321" s="166"/>
      <c r="C321" s="166"/>
      <c r="D321" s="173"/>
      <c r="E321" s="172"/>
      <c r="F321" s="171"/>
      <c r="G321" s="168"/>
      <c r="H321" s="166"/>
      <c r="I321" s="166"/>
      <c r="J321" s="2"/>
    </row>
    <row r="322" spans="1:10">
      <c r="A322" s="166"/>
      <c r="B322" s="166"/>
      <c r="C322" s="166"/>
      <c r="D322" s="173"/>
      <c r="E322" s="172"/>
      <c r="F322" s="171"/>
      <c r="G322" s="168"/>
      <c r="H322" s="166"/>
      <c r="I322" s="166"/>
      <c r="J322" s="2"/>
    </row>
    <row r="323" spans="1:10">
      <c r="A323" s="166"/>
      <c r="B323" s="166"/>
      <c r="C323" s="166"/>
      <c r="D323" s="173"/>
      <c r="E323" s="172"/>
      <c r="F323" s="171"/>
      <c r="G323" s="168"/>
      <c r="H323" s="166"/>
      <c r="I323" s="166"/>
      <c r="J323" s="2"/>
    </row>
    <row r="324" spans="1:10">
      <c r="A324" s="166"/>
      <c r="B324" s="166"/>
      <c r="C324" s="166"/>
      <c r="D324" s="173"/>
      <c r="E324" s="172"/>
      <c r="F324" s="171"/>
      <c r="G324" s="168"/>
      <c r="H324" s="166"/>
      <c r="I324" s="166"/>
      <c r="J324" s="2"/>
    </row>
    <row r="325" spans="1:10">
      <c r="A325" s="166"/>
      <c r="B325" s="166"/>
      <c r="C325" s="166"/>
      <c r="D325" s="173"/>
      <c r="E325" s="172"/>
      <c r="F325" s="171"/>
      <c r="G325" s="168"/>
      <c r="H325" s="166"/>
      <c r="I325" s="166"/>
      <c r="J325" s="2"/>
    </row>
    <row r="326" spans="1:10">
      <c r="A326" s="166"/>
      <c r="B326" s="166"/>
      <c r="C326" s="166"/>
      <c r="D326" s="173"/>
      <c r="E326" s="172"/>
      <c r="F326" s="171"/>
      <c r="G326" s="168"/>
      <c r="H326" s="166"/>
      <c r="I326" s="166"/>
      <c r="J326" s="2"/>
    </row>
    <row r="327" spans="1:10">
      <c r="A327" s="166"/>
      <c r="B327" s="166"/>
      <c r="C327" s="166"/>
      <c r="D327" s="175"/>
      <c r="E327" s="172"/>
      <c r="F327" s="171"/>
      <c r="G327" s="174"/>
      <c r="H327" s="166"/>
      <c r="I327" s="166"/>
      <c r="J327" s="2"/>
    </row>
    <row r="328" spans="1:10">
      <c r="A328" s="166"/>
      <c r="B328" s="166"/>
      <c r="C328" s="166"/>
      <c r="D328" s="175"/>
      <c r="E328" s="172"/>
      <c r="F328" s="171"/>
      <c r="G328" s="174"/>
      <c r="H328" s="166"/>
      <c r="I328" s="166"/>
      <c r="J328" s="2"/>
    </row>
    <row r="329" spans="1:10">
      <c r="A329" s="166"/>
      <c r="B329" s="166"/>
      <c r="C329" s="166"/>
      <c r="D329" s="170" t="s">
        <v>335</v>
      </c>
      <c r="E329" s="172"/>
      <c r="F329" s="171"/>
      <c r="G329" s="169">
        <f>SUM(G320:G328)</f>
        <v>0</v>
      </c>
      <c r="H329" s="166"/>
      <c r="I329" s="166"/>
      <c r="J329" s="2"/>
    </row>
    <row r="330" spans="1:10">
      <c r="A330" s="166"/>
      <c r="B330" s="166"/>
      <c r="C330" s="166"/>
      <c r="D330" s="1" t="s">
        <v>334</v>
      </c>
      <c r="E330" s="172"/>
      <c r="F330" s="171"/>
      <c r="G330" s="170"/>
      <c r="H330" s="166"/>
      <c r="I330" s="166"/>
      <c r="J330" s="2"/>
    </row>
    <row r="331" spans="1:10">
      <c r="A331" s="166"/>
      <c r="B331" s="166"/>
      <c r="C331" s="166"/>
      <c r="D331" s="173"/>
      <c r="E331" s="172"/>
      <c r="F331" s="171"/>
      <c r="G331" s="168"/>
      <c r="H331" s="166"/>
      <c r="I331" s="166"/>
      <c r="J331" s="2"/>
    </row>
    <row r="332" spans="1:10">
      <c r="A332" s="166"/>
      <c r="B332" s="166"/>
      <c r="C332" s="166"/>
      <c r="D332" s="173"/>
      <c r="E332" s="172"/>
      <c r="F332" s="171"/>
      <c r="G332" s="168"/>
      <c r="H332" s="166"/>
      <c r="I332" s="166"/>
      <c r="J332" s="2"/>
    </row>
    <row r="333" spans="1:10">
      <c r="A333" s="166"/>
      <c r="B333" s="166"/>
      <c r="C333" s="166"/>
      <c r="D333" s="173"/>
      <c r="E333" s="172"/>
      <c r="F333" s="171"/>
      <c r="G333" s="168"/>
      <c r="H333" s="166"/>
      <c r="I333" s="166"/>
      <c r="J333" s="2"/>
    </row>
    <row r="334" spans="1:10">
      <c r="A334" s="166"/>
      <c r="B334" s="166"/>
      <c r="C334" s="166"/>
      <c r="D334" s="170" t="s">
        <v>333</v>
      </c>
      <c r="E334" s="2"/>
      <c r="F334" s="1"/>
      <c r="G334" s="169">
        <f>SUM(G331:G333)</f>
        <v>0</v>
      </c>
      <c r="H334" s="166"/>
      <c r="I334" s="166"/>
      <c r="J334" s="2"/>
    </row>
    <row r="335" spans="1:10">
      <c r="A335" s="166"/>
      <c r="B335" s="166"/>
      <c r="C335" s="166"/>
      <c r="D335" s="1" t="s">
        <v>332</v>
      </c>
      <c r="E335" s="2"/>
      <c r="F335" s="1"/>
      <c r="G335" s="167"/>
      <c r="H335" s="166"/>
      <c r="I335" s="166"/>
      <c r="J335" s="2"/>
    </row>
    <row r="336" spans="1:10">
      <c r="A336" s="166"/>
      <c r="B336" s="166"/>
      <c r="C336" s="166"/>
      <c r="D336" s="2" t="s">
        <v>331</v>
      </c>
      <c r="E336" s="2"/>
      <c r="F336" s="1"/>
      <c r="G336" s="168"/>
      <c r="H336" s="166"/>
      <c r="I336" s="166"/>
      <c r="J336" s="2"/>
    </row>
    <row r="337" spans="1:10">
      <c r="A337" s="166"/>
      <c r="B337" s="166"/>
      <c r="C337" s="166"/>
      <c r="D337" s="1" t="s">
        <v>330</v>
      </c>
      <c r="E337" s="2"/>
      <c r="F337" s="1"/>
      <c r="G337" s="167"/>
      <c r="H337" s="166"/>
      <c r="I337" s="166"/>
      <c r="J337" s="2"/>
    </row>
    <row r="338" spans="1:10">
      <c r="A338" s="166"/>
      <c r="B338" s="166"/>
      <c r="C338" s="166"/>
      <c r="D338" s="166"/>
      <c r="E338" s="166"/>
      <c r="F338" s="166"/>
      <c r="G338" s="166"/>
      <c r="H338" s="166"/>
      <c r="I338" s="166"/>
      <c r="J338" s="2"/>
    </row>
    <row r="339" spans="1:10">
      <c r="A339" s="166"/>
      <c r="B339" s="166"/>
      <c r="C339" s="166"/>
      <c r="D339" s="166"/>
      <c r="E339" s="166"/>
      <c r="F339" s="166"/>
      <c r="G339" s="166"/>
      <c r="H339" s="166"/>
      <c r="I339" s="166"/>
      <c r="J339" s="166"/>
    </row>
    <row r="340" spans="1:10">
      <c r="A340" s="166"/>
      <c r="B340" s="166"/>
      <c r="C340" s="166"/>
      <c r="D340" s="166"/>
      <c r="E340" s="166"/>
      <c r="F340" s="166"/>
      <c r="G340" s="166"/>
      <c r="H340" s="166"/>
      <c r="I340" s="166"/>
      <c r="J340" s="166"/>
    </row>
    <row r="341" spans="1:10">
      <c r="A341" s="166"/>
      <c r="B341" s="166"/>
      <c r="C341" s="166"/>
      <c r="D341" s="166"/>
      <c r="E341" s="166"/>
      <c r="F341" s="166"/>
      <c r="G341" s="166"/>
      <c r="H341" s="166"/>
      <c r="I341" s="166"/>
      <c r="J341" s="166"/>
    </row>
    <row r="342" spans="1:10">
      <c r="A342" s="166"/>
      <c r="B342" s="166"/>
      <c r="C342" s="166"/>
      <c r="D342" s="166"/>
      <c r="E342" s="166"/>
      <c r="F342" s="166"/>
      <c r="G342" s="166"/>
      <c r="H342" s="166"/>
      <c r="I342" s="166"/>
      <c r="J342" s="166"/>
    </row>
    <row r="343" spans="1:10">
      <c r="A343" s="166"/>
      <c r="B343" s="166"/>
      <c r="C343" s="166"/>
      <c r="D343" s="166"/>
      <c r="E343" s="166"/>
      <c r="F343" s="166"/>
      <c r="G343" s="166"/>
      <c r="H343" s="166"/>
      <c r="I343" s="166"/>
      <c r="J343" s="166"/>
    </row>
    <row r="344" spans="1:10">
      <c r="A344" s="166"/>
      <c r="B344" s="166"/>
      <c r="C344" s="166"/>
      <c r="D344" s="166"/>
      <c r="E344" s="166"/>
      <c r="F344" s="166"/>
      <c r="G344" s="166"/>
      <c r="H344" s="166"/>
      <c r="I344" s="166"/>
      <c r="J344" s="166"/>
    </row>
    <row r="345" spans="1:10">
      <c r="A345" s="166"/>
      <c r="B345" s="166"/>
      <c r="C345" s="166"/>
      <c r="D345" s="166"/>
      <c r="E345" s="166"/>
      <c r="F345" s="166"/>
      <c r="G345" s="166"/>
      <c r="H345" s="166"/>
      <c r="I345" s="166"/>
      <c r="J345" s="166"/>
    </row>
    <row r="346" spans="1:10">
      <c r="A346" s="166"/>
      <c r="B346" s="166"/>
      <c r="C346" s="166"/>
      <c r="D346" s="166"/>
      <c r="E346" s="166"/>
      <c r="F346" s="166"/>
      <c r="G346" s="166"/>
      <c r="H346" s="166"/>
      <c r="I346" s="166"/>
      <c r="J346" s="166"/>
    </row>
  </sheetData>
  <mergeCells count="84">
    <mergeCell ref="C5:G5"/>
    <mergeCell ref="C8:D8"/>
    <mergeCell ref="C9:D10"/>
    <mergeCell ref="E9:G10"/>
    <mergeCell ref="C11:D11"/>
    <mergeCell ref="E11:G11"/>
    <mergeCell ref="C12:D12"/>
    <mergeCell ref="E12:G12"/>
    <mergeCell ref="C13:D13"/>
    <mergeCell ref="E13:G13"/>
    <mergeCell ref="C14:D15"/>
    <mergeCell ref="E14:G14"/>
    <mergeCell ref="E15:G15"/>
    <mergeCell ref="C47:D48"/>
    <mergeCell ref="E47:E48"/>
    <mergeCell ref="E42:F42"/>
    <mergeCell ref="C16:D17"/>
    <mergeCell ref="E16:G16"/>
    <mergeCell ref="E17:G17"/>
    <mergeCell ref="C19:D19"/>
    <mergeCell ref="E19:G19"/>
    <mergeCell ref="C20:D20"/>
    <mergeCell ref="E20:G20"/>
    <mergeCell ref="C33:D35"/>
    <mergeCell ref="C36:D36"/>
    <mergeCell ref="C37:D39"/>
    <mergeCell ref="C40:D41"/>
    <mergeCell ref="E40:F41"/>
    <mergeCell ref="C43:D43"/>
    <mergeCell ref="E43:F43"/>
    <mergeCell ref="C52:D52"/>
    <mergeCell ref="E52:F52"/>
    <mergeCell ref="C60:D60"/>
    <mergeCell ref="E60:F60"/>
    <mergeCell ref="C53:F53"/>
    <mergeCell ref="C54:D54"/>
    <mergeCell ref="E54:F54"/>
    <mergeCell ref="C55:D55"/>
    <mergeCell ref="E55:F55"/>
    <mergeCell ref="C56:F56"/>
    <mergeCell ref="C109:H109"/>
    <mergeCell ref="C57:D57"/>
    <mergeCell ref="E57:F57"/>
    <mergeCell ref="C58:D58"/>
    <mergeCell ref="E58:F58"/>
    <mergeCell ref="C59:F59"/>
    <mergeCell ref="C61:D61"/>
    <mergeCell ref="E61:F61"/>
    <mergeCell ref="C62:D62"/>
    <mergeCell ref="E62:F62"/>
    <mergeCell ref="C63:D63"/>
    <mergeCell ref="E63:F63"/>
    <mergeCell ref="C104:H104"/>
    <mergeCell ref="C115:H115"/>
    <mergeCell ref="C120:H120"/>
    <mergeCell ref="D143:D144"/>
    <mergeCell ref="F143:F144"/>
    <mergeCell ref="D145:D146"/>
    <mergeCell ref="F145:F146"/>
    <mergeCell ref="D147:D148"/>
    <mergeCell ref="F147:F148"/>
    <mergeCell ref="D149:D150"/>
    <mergeCell ref="F149:F150"/>
    <mergeCell ref="D153:D154"/>
    <mergeCell ref="F153:F154"/>
    <mergeCell ref="D173:D174"/>
    <mergeCell ref="F173:F174"/>
    <mergeCell ref="D175:D176"/>
    <mergeCell ref="F175:F176"/>
    <mergeCell ref="D177:D178"/>
    <mergeCell ref="F177:F178"/>
    <mergeCell ref="C273:C274"/>
    <mergeCell ref="D273:D274"/>
    <mergeCell ref="E273:E274"/>
    <mergeCell ref="D258:G258"/>
    <mergeCell ref="D259:G259"/>
    <mergeCell ref="D260:G260"/>
    <mergeCell ref="D261:G261"/>
    <mergeCell ref="D262:G262"/>
    <mergeCell ref="D263:G263"/>
    <mergeCell ref="D179:D180"/>
    <mergeCell ref="F179:F180"/>
    <mergeCell ref="D183:D184"/>
    <mergeCell ref="F183:F18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8B27-D2A1-4E70-A8D8-8C2C2A55CAEC}">
  <dimension ref="A1:AN1048564"/>
  <sheetViews>
    <sheetView workbookViewId="0">
      <selection activeCell="O14" sqref="O14"/>
    </sheetView>
  </sheetViews>
  <sheetFormatPr defaultColWidth="8.88671875" defaultRowHeight="15.6"/>
  <cols>
    <col min="1" max="1" width="3.5546875" style="2" customWidth="1"/>
    <col min="2" max="2" width="11.109375" style="2" customWidth="1"/>
    <col min="3" max="3" width="11.44140625" style="2" customWidth="1"/>
    <col min="4" max="5" width="18.5546875" style="2" customWidth="1"/>
    <col min="6" max="6" width="19.44140625" style="2" customWidth="1"/>
    <col min="7" max="8" width="12.88671875" style="2" customWidth="1"/>
    <col min="9" max="9" width="8.88671875" style="2"/>
    <col min="10" max="10" width="2.5546875" style="2" customWidth="1"/>
    <col min="11" max="11" width="18.5546875" style="61" customWidth="1"/>
    <col min="12" max="12" width="18.109375" style="61" customWidth="1"/>
    <col min="13" max="14" width="17.88671875" style="61" customWidth="1"/>
    <col min="15" max="15" width="14.44140625" style="61" bestFit="1" customWidth="1"/>
    <col min="16" max="16384" width="8.88671875" style="61"/>
  </cols>
  <sheetData>
    <row r="1" spans="1:40" s="3" customFormat="1">
      <c r="A1" s="1" t="s">
        <v>152</v>
      </c>
      <c r="B1" s="1"/>
      <c r="C1" s="2"/>
      <c r="D1" s="2"/>
      <c r="E1" s="2"/>
      <c r="F1" s="2"/>
      <c r="G1" s="2"/>
      <c r="H1" s="2"/>
      <c r="I1" s="2"/>
      <c r="J1" s="2"/>
      <c r="K1" s="3" t="s">
        <v>152</v>
      </c>
    </row>
    <row r="2" spans="1:40" s="3" customFormat="1">
      <c r="A2" s="1" t="s">
        <v>525</v>
      </c>
      <c r="B2" s="1"/>
      <c r="C2" s="2"/>
      <c r="D2" s="2"/>
      <c r="E2" s="2"/>
      <c r="F2" s="2"/>
      <c r="G2" s="2"/>
      <c r="H2" s="2"/>
      <c r="I2" s="2"/>
      <c r="J2" s="2"/>
      <c r="K2" s="3" t="s">
        <v>525</v>
      </c>
    </row>
    <row r="3" spans="1:40" s="3" customFormat="1" ht="18.600000000000001" customHeight="1">
      <c r="A3" s="1"/>
      <c r="B3" s="2"/>
      <c r="C3" s="2"/>
      <c r="D3" s="2"/>
      <c r="E3" s="2"/>
      <c r="F3" s="2"/>
      <c r="G3" s="2"/>
      <c r="H3" s="2"/>
      <c r="I3" s="2"/>
      <c r="J3" s="2"/>
    </row>
    <row r="4" spans="1:40" s="3" customFormat="1" ht="18.600000000000001" customHeight="1">
      <c r="A4" s="1"/>
      <c r="B4" s="2"/>
      <c r="C4" s="2"/>
      <c r="D4" s="2"/>
      <c r="E4" s="2"/>
      <c r="F4" s="2"/>
      <c r="G4" s="2"/>
      <c r="H4" s="2"/>
      <c r="I4" s="2"/>
      <c r="J4" s="2"/>
      <c r="K4" s="3" t="s">
        <v>2</v>
      </c>
    </row>
    <row r="5" spans="1:40">
      <c r="A5" s="1"/>
      <c r="B5" s="5" t="s">
        <v>3</v>
      </c>
      <c r="C5" s="2" t="s">
        <v>150</v>
      </c>
    </row>
    <row r="6" spans="1:40">
      <c r="A6" s="1"/>
      <c r="B6" s="5"/>
      <c r="C6" s="2" t="s">
        <v>148</v>
      </c>
    </row>
    <row r="8" spans="1:40">
      <c r="C8" s="32" t="s">
        <v>146</v>
      </c>
    </row>
    <row r="9" spans="1:40">
      <c r="C9" s="1759"/>
      <c r="D9" s="1760"/>
      <c r="E9" s="89" t="s">
        <v>96</v>
      </c>
      <c r="F9" s="89" t="s">
        <v>66</v>
      </c>
    </row>
    <row r="10" spans="1:40" ht="15.6" customHeight="1">
      <c r="C10" s="1745" t="s">
        <v>144</v>
      </c>
      <c r="D10" s="1746"/>
      <c r="E10" s="88">
        <v>25628</v>
      </c>
      <c r="F10" s="88">
        <v>27454</v>
      </c>
      <c r="G10" s="84"/>
      <c r="L10" s="312"/>
      <c r="M10" s="312"/>
      <c r="N10" s="312"/>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row>
    <row r="11" spans="1:40">
      <c r="C11" s="1745" t="s">
        <v>143</v>
      </c>
      <c r="D11" s="1746"/>
      <c r="E11" s="87">
        <v>44621</v>
      </c>
      <c r="F11" s="87">
        <v>44621</v>
      </c>
      <c r="G11" s="86"/>
      <c r="L11" s="312"/>
      <c r="M11" s="312"/>
      <c r="N11" s="312"/>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row>
    <row r="12" spans="1:40">
      <c r="C12" s="1745" t="s">
        <v>142</v>
      </c>
      <c r="D12" s="1746"/>
      <c r="E12" s="76">
        <v>12</v>
      </c>
      <c r="F12" s="76">
        <v>5</v>
      </c>
      <c r="G12" s="86"/>
      <c r="L12" s="312"/>
      <c r="M12" s="312"/>
      <c r="N12" s="312"/>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row>
    <row r="13" spans="1:40" ht="15.75" customHeight="1">
      <c r="C13" s="1757" t="s">
        <v>141</v>
      </c>
      <c r="D13" s="1758"/>
      <c r="E13" s="75">
        <v>13</v>
      </c>
      <c r="F13" s="75">
        <v>5</v>
      </c>
      <c r="G13" s="84"/>
      <c r="K13" s="311"/>
      <c r="L13" s="62"/>
      <c r="M13" s="62"/>
      <c r="N13" s="62"/>
    </row>
    <row r="14" spans="1:40">
      <c r="C14" s="1757" t="s">
        <v>140</v>
      </c>
      <c r="D14" s="1758"/>
      <c r="E14" s="85">
        <v>25000</v>
      </c>
      <c r="F14" s="85">
        <v>15000</v>
      </c>
      <c r="G14" s="84"/>
    </row>
    <row r="15" spans="1:40">
      <c r="L15" s="312"/>
      <c r="M15" s="312"/>
      <c r="N15" s="312"/>
    </row>
    <row r="16" spans="1:40">
      <c r="C16" s="32" t="s">
        <v>139</v>
      </c>
      <c r="L16" s="312"/>
      <c r="M16" s="312"/>
      <c r="N16" s="312"/>
    </row>
    <row r="17" spans="3:14">
      <c r="C17" s="1745" t="s">
        <v>138</v>
      </c>
      <c r="D17" s="1746"/>
      <c r="E17" s="1745" t="s">
        <v>137</v>
      </c>
      <c r="F17" s="1746"/>
      <c r="L17" s="312"/>
      <c r="M17" s="312"/>
      <c r="N17" s="312"/>
    </row>
    <row r="18" spans="3:14">
      <c r="C18" s="1745" t="s">
        <v>136</v>
      </c>
      <c r="D18" s="1746"/>
      <c r="E18" s="1745" t="s">
        <v>135</v>
      </c>
      <c r="F18" s="1746"/>
      <c r="K18" s="311"/>
      <c r="L18" s="62"/>
      <c r="M18" s="62"/>
      <c r="N18" s="62"/>
    </row>
    <row r="19" spans="3:14">
      <c r="C19" s="1735" t="s">
        <v>134</v>
      </c>
      <c r="D19" s="1736"/>
      <c r="E19" s="1735" t="s">
        <v>133</v>
      </c>
      <c r="F19" s="1736"/>
    </row>
    <row r="20" spans="3:14">
      <c r="C20" s="1737"/>
      <c r="D20" s="1738"/>
      <c r="E20" s="1737"/>
      <c r="F20" s="1738"/>
      <c r="L20" s="312"/>
      <c r="M20" s="312"/>
      <c r="N20" s="312"/>
    </row>
    <row r="21" spans="3:14">
      <c r="C21" s="1745" t="s">
        <v>132</v>
      </c>
      <c r="D21" s="1746"/>
      <c r="E21" s="1745" t="s">
        <v>131</v>
      </c>
      <c r="F21" s="1746"/>
      <c r="L21" s="312"/>
      <c r="M21" s="312"/>
      <c r="N21" s="312"/>
    </row>
    <row r="22" spans="3:14">
      <c r="C22" s="1745" t="s">
        <v>130</v>
      </c>
      <c r="D22" s="1746"/>
      <c r="E22" s="1745" t="s">
        <v>129</v>
      </c>
      <c r="F22" s="1746"/>
      <c r="L22" s="312"/>
      <c r="M22" s="312"/>
      <c r="N22" s="312"/>
    </row>
    <row r="23" spans="3:14">
      <c r="C23" s="1745" t="s">
        <v>128</v>
      </c>
      <c r="D23" s="1746"/>
      <c r="E23" s="1745" t="s">
        <v>127</v>
      </c>
      <c r="F23" s="1746"/>
      <c r="K23" s="311"/>
      <c r="L23" s="62"/>
      <c r="M23" s="62"/>
      <c r="N23" s="62"/>
    </row>
    <row r="25" spans="3:14">
      <c r="C25" s="2" t="s">
        <v>126</v>
      </c>
      <c r="K25" s="79"/>
    </row>
    <row r="26" spans="3:14">
      <c r="K26" s="63"/>
      <c r="L26" s="62"/>
    </row>
    <row r="27" spans="3:14">
      <c r="C27" s="1755" t="s">
        <v>103</v>
      </c>
      <c r="D27" s="1754" t="s">
        <v>123</v>
      </c>
      <c r="E27" s="1754" t="s">
        <v>122</v>
      </c>
      <c r="F27" s="1754" t="s">
        <v>121</v>
      </c>
      <c r="K27" s="63"/>
      <c r="L27" s="62"/>
    </row>
    <row r="28" spans="3:14">
      <c r="C28" s="1755"/>
      <c r="D28" s="1754"/>
      <c r="E28" s="1754"/>
      <c r="F28" s="1754"/>
      <c r="K28" s="63"/>
      <c r="L28" s="62"/>
    </row>
    <row r="29" spans="3:14">
      <c r="C29" s="1755"/>
      <c r="D29" s="1754"/>
      <c r="E29" s="1754"/>
      <c r="F29" s="1754"/>
      <c r="K29" s="63"/>
      <c r="L29" s="62"/>
    </row>
    <row r="30" spans="3:14">
      <c r="C30" s="74">
        <v>44614</v>
      </c>
      <c r="D30" s="73">
        <v>1.8100000000000002E-2</v>
      </c>
      <c r="E30" s="73">
        <v>2.23E-2</v>
      </c>
      <c r="F30" s="73">
        <v>5.5999999999999999E-3</v>
      </c>
      <c r="K30" s="63"/>
    </row>
    <row r="31" spans="3:14">
      <c r="C31" s="74">
        <v>44642</v>
      </c>
      <c r="D31" s="73">
        <v>2.41E-2</v>
      </c>
      <c r="E31" s="73">
        <v>2.41E-2</v>
      </c>
      <c r="F31" s="73">
        <v>5.7999999999999996E-3</v>
      </c>
      <c r="K31" s="63"/>
      <c r="L31" s="309"/>
    </row>
    <row r="32" spans="3:14">
      <c r="C32" s="74">
        <v>44673</v>
      </c>
      <c r="D32" s="73">
        <v>2.64E-2</v>
      </c>
      <c r="E32" s="73">
        <v>2.7900000000000001E-2</v>
      </c>
      <c r="F32" s="73">
        <v>9.1000000000000004E-3</v>
      </c>
      <c r="K32" s="63"/>
      <c r="L32" s="309"/>
    </row>
    <row r="33" spans="3:19">
      <c r="C33" s="310"/>
      <c r="D33" s="19"/>
      <c r="E33" s="19"/>
      <c r="F33" s="19"/>
      <c r="G33" s="19"/>
      <c r="H33" s="19"/>
      <c r="K33" s="63"/>
    </row>
    <row r="34" spans="3:19">
      <c r="C34" s="1756" t="s">
        <v>103</v>
      </c>
      <c r="D34" s="1754" t="s">
        <v>115</v>
      </c>
      <c r="E34" s="1754" t="s">
        <v>114</v>
      </c>
      <c r="F34" s="1754" t="s">
        <v>113</v>
      </c>
      <c r="G34" s="19"/>
      <c r="H34" s="19"/>
      <c r="K34" s="63"/>
      <c r="L34" s="309"/>
    </row>
    <row r="35" spans="3:19">
      <c r="C35" s="1756"/>
      <c r="D35" s="1754"/>
      <c r="E35" s="1754"/>
      <c r="F35" s="1754"/>
      <c r="G35" s="19"/>
      <c r="H35" s="19"/>
    </row>
    <row r="36" spans="3:19">
      <c r="C36" s="1756"/>
      <c r="D36" s="1754"/>
      <c r="E36" s="1754"/>
      <c r="F36" s="1754"/>
      <c r="G36" s="19"/>
      <c r="H36" s="19"/>
    </row>
    <row r="37" spans="3:19">
      <c r="C37" s="74">
        <v>44614</v>
      </c>
      <c r="D37" s="73">
        <v>2.5350000000000001E-2</v>
      </c>
      <c r="E37" s="73">
        <v>3.4110000000000001E-2</v>
      </c>
      <c r="F37" s="73">
        <v>1.9189999999999999E-2</v>
      </c>
      <c r="G37" s="19"/>
      <c r="H37" s="19"/>
      <c r="K37" s="63"/>
      <c r="L37" s="63"/>
      <c r="M37" s="63"/>
      <c r="N37" s="63"/>
      <c r="O37" s="63"/>
    </row>
    <row r="38" spans="3:19">
      <c r="C38" s="74">
        <v>44642</v>
      </c>
      <c r="D38" s="73">
        <v>3.024E-2</v>
      </c>
      <c r="E38" s="73">
        <v>4.0490000000000005E-2</v>
      </c>
      <c r="F38" s="73">
        <v>2.4209999999999999E-2</v>
      </c>
      <c r="G38" s="19"/>
      <c r="H38" s="19"/>
      <c r="K38" s="63"/>
      <c r="L38" s="63"/>
      <c r="M38" s="63"/>
      <c r="N38" s="63"/>
      <c r="P38" s="63"/>
    </row>
    <row r="39" spans="3:19">
      <c r="C39" s="74">
        <v>44673</v>
      </c>
      <c r="D39" s="73">
        <v>3.3479999999999996E-2</v>
      </c>
      <c r="E39" s="73">
        <v>4.4760000000000001E-2</v>
      </c>
      <c r="F39" s="73">
        <v>2.7549999999999998E-2</v>
      </c>
      <c r="G39" s="19"/>
      <c r="H39" s="19"/>
      <c r="K39" s="63"/>
      <c r="L39" s="77"/>
      <c r="M39" s="77"/>
      <c r="N39" s="309"/>
      <c r="O39" s="77"/>
      <c r="P39" s="77"/>
    </row>
    <row r="40" spans="3:19">
      <c r="C40" s="310"/>
      <c r="D40" s="19"/>
      <c r="E40" s="19"/>
      <c r="F40" s="19"/>
      <c r="G40" s="19"/>
      <c r="H40" s="19"/>
      <c r="K40" s="63"/>
      <c r="L40" s="77"/>
      <c r="M40" s="309"/>
      <c r="N40" s="309"/>
      <c r="O40" s="77"/>
      <c r="P40" s="77"/>
    </row>
    <row r="41" spans="3:19">
      <c r="C41" s="1756" t="s">
        <v>103</v>
      </c>
      <c r="D41" s="1754" t="s">
        <v>102</v>
      </c>
      <c r="E41" s="1754" t="s">
        <v>101</v>
      </c>
      <c r="F41" s="1754" t="s">
        <v>100</v>
      </c>
      <c r="G41" s="19"/>
      <c r="H41" s="19"/>
    </row>
    <row r="42" spans="3:19">
      <c r="C42" s="1756"/>
      <c r="D42" s="1754"/>
      <c r="E42" s="1754"/>
      <c r="F42" s="1754"/>
      <c r="G42" s="19"/>
      <c r="H42" s="19"/>
    </row>
    <row r="43" spans="3:19">
      <c r="C43" s="1756"/>
      <c r="D43" s="1754"/>
      <c r="E43" s="1754"/>
      <c r="F43" s="1754"/>
      <c r="G43" s="19"/>
      <c r="H43" s="19"/>
    </row>
    <row r="44" spans="3:19">
      <c r="C44" s="74">
        <v>44614</v>
      </c>
      <c r="D44" s="73">
        <v>3.1989999999999998E-2</v>
      </c>
      <c r="E44" s="73">
        <v>4.0309999999999999E-2</v>
      </c>
      <c r="F44" s="73">
        <v>2.2360000000000001E-2</v>
      </c>
      <c r="G44" s="19"/>
      <c r="H44" s="19"/>
    </row>
    <row r="45" spans="3:19">
      <c r="C45" s="74">
        <v>44642</v>
      </c>
      <c r="D45" s="73">
        <v>3.3530000000000004E-2</v>
      </c>
      <c r="E45" s="73">
        <v>4.2889999999999998E-2</v>
      </c>
      <c r="F45" s="73">
        <v>2.445E-2</v>
      </c>
      <c r="G45" s="19"/>
      <c r="H45" s="19"/>
    </row>
    <row r="46" spans="3:19">
      <c r="C46" s="74">
        <v>44673</v>
      </c>
      <c r="D46" s="73">
        <v>3.7819999999999999E-2</v>
      </c>
      <c r="E46" s="73">
        <v>4.8320000000000002E-2</v>
      </c>
      <c r="F46" s="73">
        <v>2.8199999999999999E-2</v>
      </c>
      <c r="G46" s="19"/>
      <c r="H46" s="19"/>
    </row>
    <row r="47" spans="3:19">
      <c r="K47" s="63"/>
      <c r="L47" s="64"/>
      <c r="M47" s="63"/>
      <c r="N47" s="63"/>
      <c r="O47" s="63"/>
      <c r="P47" s="63"/>
      <c r="Q47" s="63"/>
      <c r="R47" s="63"/>
      <c r="S47" s="63"/>
    </row>
    <row r="48" spans="3:19">
      <c r="C48" s="2" t="s">
        <v>97</v>
      </c>
      <c r="K48" s="66"/>
      <c r="L48" s="63"/>
      <c r="M48" s="63"/>
      <c r="N48" s="63"/>
      <c r="O48" s="63"/>
      <c r="P48" s="63"/>
      <c r="Q48" s="63"/>
      <c r="R48" s="63"/>
      <c r="S48" s="63"/>
    </row>
    <row r="49" spans="2:19">
      <c r="K49" s="63"/>
      <c r="L49" s="65"/>
      <c r="M49" s="63"/>
      <c r="N49" s="63"/>
      <c r="O49" s="65"/>
      <c r="P49" s="63"/>
      <c r="Q49" s="63"/>
      <c r="R49" s="65"/>
      <c r="S49" s="63"/>
    </row>
    <row r="50" spans="2:19" ht="18.75" customHeight="1">
      <c r="C50" s="70" t="s">
        <v>93</v>
      </c>
      <c r="D50" s="69">
        <v>18.399999999999999</v>
      </c>
      <c r="E50" s="72" t="s">
        <v>92</v>
      </c>
      <c r="F50" s="69">
        <v>20.9</v>
      </c>
      <c r="K50" s="63"/>
      <c r="L50" s="65"/>
      <c r="M50" s="63"/>
      <c r="N50" s="63"/>
      <c r="O50" s="65"/>
      <c r="P50" s="63"/>
      <c r="Q50" s="63"/>
      <c r="R50" s="65"/>
      <c r="S50" s="63"/>
    </row>
    <row r="51" spans="2:19" ht="18.75" customHeight="1">
      <c r="C51" s="70" t="s">
        <v>91</v>
      </c>
      <c r="D51" s="69">
        <v>17.600000000000001</v>
      </c>
      <c r="E51" s="70" t="s">
        <v>90</v>
      </c>
      <c r="F51" s="71">
        <v>20</v>
      </c>
      <c r="K51" s="63"/>
      <c r="L51" s="65"/>
      <c r="M51" s="63"/>
      <c r="N51" s="63"/>
      <c r="O51" s="65"/>
      <c r="P51" s="63"/>
      <c r="Q51" s="63"/>
      <c r="R51" s="65"/>
      <c r="S51" s="63"/>
    </row>
    <row r="52" spans="2:19" ht="18.75" customHeight="1">
      <c r="C52" s="70" t="s">
        <v>89</v>
      </c>
      <c r="D52" s="69">
        <v>16.8</v>
      </c>
      <c r="E52" s="70" t="s">
        <v>88</v>
      </c>
      <c r="F52" s="69">
        <v>19.2</v>
      </c>
      <c r="K52" s="63"/>
      <c r="L52" s="65"/>
      <c r="M52" s="63"/>
      <c r="N52" s="63"/>
      <c r="O52" s="65"/>
      <c r="P52" s="63"/>
      <c r="Q52" s="63"/>
      <c r="R52" s="65"/>
      <c r="S52" s="63"/>
    </row>
    <row r="53" spans="2:19" ht="18.75" customHeight="1">
      <c r="C53" s="70" t="s">
        <v>87</v>
      </c>
      <c r="D53" s="71">
        <v>16</v>
      </c>
      <c r="E53" s="70" t="s">
        <v>86</v>
      </c>
      <c r="F53" s="69">
        <v>18.3</v>
      </c>
      <c r="K53" s="63"/>
      <c r="L53" s="65"/>
      <c r="M53" s="63"/>
      <c r="N53" s="63"/>
      <c r="O53" s="65"/>
      <c r="P53" s="63"/>
      <c r="Q53" s="63"/>
      <c r="R53" s="65"/>
      <c r="S53" s="63"/>
    </row>
    <row r="54" spans="2:19" ht="18.75" customHeight="1">
      <c r="C54" s="70" t="s">
        <v>85</v>
      </c>
      <c r="D54" s="69">
        <v>15.3</v>
      </c>
      <c r="E54" s="70" t="s">
        <v>84</v>
      </c>
      <c r="F54" s="69">
        <v>17.5</v>
      </c>
      <c r="K54" s="63"/>
      <c r="L54" s="65"/>
      <c r="M54" s="63"/>
      <c r="N54" s="63"/>
      <c r="O54" s="65"/>
      <c r="P54" s="63"/>
      <c r="Q54" s="63"/>
      <c r="R54" s="65"/>
      <c r="S54" s="63"/>
    </row>
    <row r="55" spans="2:19" ht="18.75" customHeight="1">
      <c r="C55" s="70" t="s">
        <v>83</v>
      </c>
      <c r="D55" s="69">
        <v>14.6</v>
      </c>
      <c r="E55" s="70" t="s">
        <v>82</v>
      </c>
      <c r="F55" s="69">
        <v>16.7</v>
      </c>
      <c r="K55" s="63"/>
      <c r="L55" s="65"/>
      <c r="M55" s="63"/>
      <c r="N55" s="63"/>
      <c r="O55" s="65"/>
      <c r="P55" s="63"/>
      <c r="Q55" s="63"/>
      <c r="R55" s="65"/>
      <c r="S55" s="63"/>
    </row>
    <row r="56" spans="2:19" ht="18.75" customHeight="1">
      <c r="C56" s="70" t="s">
        <v>81</v>
      </c>
      <c r="D56" s="69">
        <v>13.9</v>
      </c>
      <c r="E56" s="70" t="s">
        <v>80</v>
      </c>
      <c r="F56" s="69">
        <v>15.9</v>
      </c>
      <c r="K56" s="63"/>
      <c r="L56" s="65"/>
      <c r="M56" s="63"/>
      <c r="N56" s="63"/>
      <c r="O56" s="65"/>
      <c r="P56" s="63"/>
      <c r="Q56" s="63"/>
      <c r="R56" s="65"/>
      <c r="S56" s="63"/>
    </row>
    <row r="57" spans="2:19" ht="18.75" customHeight="1">
      <c r="C57" s="70" t="s">
        <v>79</v>
      </c>
      <c r="D57" s="69">
        <v>13.2</v>
      </c>
      <c r="E57" s="70" t="s">
        <v>78</v>
      </c>
      <c r="F57" s="69">
        <v>15.1</v>
      </c>
      <c r="K57" s="63"/>
      <c r="L57" s="65"/>
      <c r="M57" s="63"/>
      <c r="N57" s="63"/>
      <c r="O57" s="65"/>
      <c r="P57" s="63"/>
      <c r="Q57" s="63"/>
      <c r="R57" s="65"/>
      <c r="S57" s="63"/>
    </row>
    <row r="58" spans="2:19" ht="18.75" customHeight="1">
      <c r="C58" s="70" t="s">
        <v>77</v>
      </c>
      <c r="D58" s="69">
        <v>12.5</v>
      </c>
      <c r="E58" s="70" t="s">
        <v>76</v>
      </c>
      <c r="F58" s="69">
        <v>14.4</v>
      </c>
      <c r="K58" s="63"/>
      <c r="L58" s="65"/>
      <c r="M58" s="63"/>
      <c r="N58" s="63"/>
      <c r="O58" s="65"/>
      <c r="P58" s="63"/>
      <c r="Q58" s="63"/>
      <c r="R58" s="65"/>
      <c r="S58" s="63"/>
    </row>
    <row r="59" spans="2:19" ht="18.75" customHeight="1">
      <c r="C59" s="70" t="s">
        <v>75</v>
      </c>
      <c r="D59" s="69">
        <v>11.9</v>
      </c>
      <c r="E59" s="70" t="s">
        <v>74</v>
      </c>
      <c r="F59" s="69">
        <v>13.6</v>
      </c>
      <c r="K59" s="63"/>
      <c r="L59" s="65"/>
      <c r="M59" s="63"/>
      <c r="N59" s="63"/>
      <c r="O59" s="65"/>
      <c r="P59" s="63"/>
      <c r="Q59" s="63"/>
      <c r="R59" s="65"/>
      <c r="S59" s="63"/>
    </row>
    <row r="60" spans="2:19" ht="18.75" customHeight="1">
      <c r="C60" s="70" t="s">
        <v>73</v>
      </c>
      <c r="D60" s="69">
        <v>11.3</v>
      </c>
      <c r="E60" s="70" t="s">
        <v>72</v>
      </c>
      <c r="F60" s="69">
        <v>12.9</v>
      </c>
      <c r="K60" s="63"/>
      <c r="L60" s="63"/>
      <c r="M60" s="63"/>
      <c r="N60" s="63"/>
      <c r="O60" s="63"/>
      <c r="P60" s="63"/>
      <c r="Q60" s="63"/>
      <c r="R60" s="63"/>
      <c r="S60" s="63"/>
    </row>
    <row r="61" spans="2:19">
      <c r="K61" s="63"/>
      <c r="L61" s="63"/>
      <c r="M61" s="63"/>
      <c r="N61" s="63"/>
      <c r="O61" s="63"/>
      <c r="P61" s="63"/>
      <c r="Q61" s="63"/>
      <c r="R61" s="63"/>
      <c r="S61" s="63"/>
    </row>
    <row r="62" spans="2:19">
      <c r="K62" s="63"/>
      <c r="L62" s="63"/>
      <c r="M62" s="63"/>
      <c r="N62" s="63"/>
      <c r="O62" s="63"/>
      <c r="P62" s="63"/>
      <c r="Q62" s="63"/>
      <c r="R62" s="63"/>
      <c r="S62" s="63"/>
    </row>
    <row r="63" spans="2:19">
      <c r="B63" s="2" t="s">
        <v>26</v>
      </c>
      <c r="C63" s="5" t="s">
        <v>71</v>
      </c>
      <c r="D63" s="2" t="s">
        <v>70</v>
      </c>
      <c r="K63" s="63"/>
      <c r="L63" s="63"/>
      <c r="M63" s="63"/>
      <c r="N63" s="63"/>
      <c r="O63" s="63"/>
      <c r="P63" s="63"/>
      <c r="Q63" s="63"/>
      <c r="R63" s="63"/>
      <c r="S63" s="63"/>
    </row>
    <row r="64" spans="2:19">
      <c r="C64" s="5"/>
      <c r="D64" s="42" t="s">
        <v>69</v>
      </c>
      <c r="K64" s="63"/>
      <c r="L64" s="64"/>
      <c r="M64" s="64"/>
      <c r="N64" s="63"/>
      <c r="O64" s="63"/>
      <c r="P64" s="63"/>
      <c r="Q64" s="63"/>
      <c r="R64" s="63"/>
      <c r="S64" s="63"/>
    </row>
    <row r="65" spans="2:19">
      <c r="K65" s="63"/>
      <c r="L65" s="67"/>
      <c r="M65" s="63"/>
      <c r="N65" s="63"/>
      <c r="O65" s="63"/>
      <c r="P65" s="63"/>
      <c r="Q65" s="63"/>
      <c r="R65" s="63"/>
      <c r="S65" s="63"/>
    </row>
    <row r="66" spans="2:19">
      <c r="D66" s="1629" t="s">
        <v>29</v>
      </c>
      <c r="E66" s="1630"/>
      <c r="F66" s="1630"/>
      <c r="G66" s="1630"/>
      <c r="H66" s="1630"/>
      <c r="I66" s="1630"/>
      <c r="J66" s="1630"/>
      <c r="K66" s="63"/>
      <c r="L66" s="67"/>
      <c r="M66" s="63"/>
      <c r="N66" s="63"/>
      <c r="O66" s="63"/>
      <c r="P66" s="63"/>
      <c r="Q66" s="63"/>
      <c r="R66" s="63"/>
      <c r="S66" s="63"/>
    </row>
    <row r="67" spans="2:19">
      <c r="D67" s="1632"/>
      <c r="E67" s="1633"/>
      <c r="F67" s="1633"/>
      <c r="G67" s="1633"/>
      <c r="H67" s="1633"/>
      <c r="I67" s="1633"/>
      <c r="J67" s="1633"/>
      <c r="K67" s="66"/>
      <c r="L67" s="63"/>
      <c r="M67" s="63"/>
      <c r="N67" s="63"/>
      <c r="O67" s="63"/>
      <c r="P67" s="63"/>
      <c r="Q67" s="63"/>
      <c r="R67" s="63"/>
      <c r="S67" s="63"/>
    </row>
    <row r="68" spans="2:19">
      <c r="K68" s="63"/>
      <c r="L68" s="65"/>
      <c r="M68" s="63"/>
      <c r="N68" s="63"/>
      <c r="O68" s="65"/>
      <c r="P68" s="63"/>
      <c r="Q68" s="63"/>
      <c r="R68" s="65"/>
      <c r="S68" s="63"/>
    </row>
    <row r="69" spans="2:19">
      <c r="K69" s="63"/>
      <c r="L69" s="65"/>
      <c r="M69" s="63"/>
      <c r="N69" s="63"/>
      <c r="O69" s="65"/>
      <c r="P69" s="63"/>
      <c r="Q69" s="63"/>
      <c r="R69" s="65"/>
      <c r="S69" s="63"/>
    </row>
    <row r="70" spans="2:19">
      <c r="B70" s="2" t="s">
        <v>34</v>
      </c>
      <c r="C70" s="5" t="s">
        <v>59</v>
      </c>
      <c r="D70" s="2" t="s">
        <v>58</v>
      </c>
      <c r="K70" s="63"/>
      <c r="L70" s="65"/>
      <c r="M70" s="63"/>
      <c r="N70" s="63"/>
      <c r="O70" s="65"/>
      <c r="P70" s="63"/>
      <c r="Q70" s="63"/>
      <c r="R70" s="65"/>
      <c r="S70" s="63"/>
    </row>
    <row r="71" spans="2:19">
      <c r="D71" s="2" t="s">
        <v>56</v>
      </c>
      <c r="K71" s="63"/>
      <c r="L71" s="65"/>
      <c r="M71" s="63"/>
      <c r="N71" s="63"/>
      <c r="O71" s="65"/>
      <c r="P71" s="63"/>
      <c r="Q71" s="63"/>
      <c r="R71" s="65"/>
      <c r="S71" s="63"/>
    </row>
    <row r="72" spans="2:19">
      <c r="D72" s="2" t="s">
        <v>54</v>
      </c>
      <c r="K72" s="63"/>
      <c r="L72" s="65"/>
      <c r="M72" s="63"/>
      <c r="N72" s="63"/>
      <c r="O72" s="65"/>
      <c r="P72" s="63"/>
      <c r="Q72" s="63"/>
      <c r="R72" s="65"/>
      <c r="S72" s="63"/>
    </row>
    <row r="73" spans="2:19">
      <c r="D73" s="2" t="s">
        <v>52</v>
      </c>
      <c r="K73" s="63"/>
      <c r="L73" s="65"/>
      <c r="M73" s="63"/>
      <c r="N73" s="63"/>
      <c r="O73" s="65"/>
      <c r="P73" s="63"/>
      <c r="Q73" s="63"/>
      <c r="R73" s="65"/>
      <c r="S73" s="63"/>
    </row>
    <row r="74" spans="2:19">
      <c r="K74" s="63"/>
      <c r="L74" s="65"/>
      <c r="M74" s="63"/>
      <c r="N74" s="63"/>
      <c r="O74" s="65"/>
      <c r="P74" s="63"/>
      <c r="Q74" s="63"/>
      <c r="R74" s="65"/>
      <c r="S74" s="63"/>
    </row>
    <row r="75" spans="2:19">
      <c r="D75" s="1629" t="s">
        <v>29</v>
      </c>
      <c r="E75" s="1630"/>
      <c r="F75" s="1630"/>
      <c r="G75" s="1630"/>
      <c r="H75" s="1630"/>
      <c r="I75" s="1630"/>
      <c r="J75" s="1630"/>
      <c r="K75" s="63"/>
      <c r="L75" s="65"/>
      <c r="M75" s="63"/>
      <c r="N75" s="63"/>
      <c r="O75" s="65"/>
      <c r="P75" s="63"/>
      <c r="Q75" s="63"/>
      <c r="R75" s="65"/>
      <c r="S75" s="63"/>
    </row>
    <row r="76" spans="2:19">
      <c r="D76" s="1632"/>
      <c r="E76" s="1633"/>
      <c r="F76" s="1633"/>
      <c r="G76" s="1633"/>
      <c r="H76" s="1633"/>
      <c r="I76" s="1633"/>
      <c r="J76" s="1633"/>
      <c r="K76" s="63"/>
      <c r="L76" s="65"/>
      <c r="M76" s="63"/>
      <c r="N76" s="63"/>
      <c r="O76" s="65"/>
      <c r="P76" s="63"/>
      <c r="Q76" s="63"/>
      <c r="R76" s="65"/>
      <c r="S76" s="63"/>
    </row>
    <row r="77" spans="2:19">
      <c r="K77" s="63"/>
      <c r="L77" s="63"/>
      <c r="M77" s="63"/>
      <c r="N77" s="63"/>
      <c r="O77" s="63"/>
      <c r="P77" s="63"/>
      <c r="Q77" s="63"/>
      <c r="R77" s="63"/>
      <c r="S77" s="63"/>
    </row>
    <row r="78" spans="2:19">
      <c r="K78" s="63"/>
      <c r="L78" s="63"/>
      <c r="M78" s="63"/>
      <c r="N78" s="63"/>
      <c r="O78" s="63"/>
      <c r="P78" s="63"/>
      <c r="Q78" s="63"/>
      <c r="R78" s="63"/>
      <c r="S78" s="63"/>
    </row>
    <row r="79" spans="2:19">
      <c r="K79" s="63"/>
      <c r="L79" s="63"/>
      <c r="M79" s="63"/>
      <c r="N79" s="63"/>
      <c r="O79" s="63"/>
      <c r="P79" s="63"/>
      <c r="Q79" s="63"/>
      <c r="R79" s="63"/>
      <c r="S79" s="63"/>
    </row>
    <row r="80" spans="2:19">
      <c r="K80" s="63"/>
      <c r="L80" s="63"/>
      <c r="M80" s="63"/>
      <c r="N80" s="63"/>
      <c r="O80" s="63"/>
      <c r="P80" s="63"/>
      <c r="Q80" s="63"/>
      <c r="R80" s="63"/>
      <c r="S80" s="63"/>
    </row>
    <row r="81" spans="11:19">
      <c r="K81" s="63"/>
      <c r="L81" s="64"/>
      <c r="M81" s="64"/>
      <c r="N81" s="63"/>
      <c r="O81" s="63"/>
      <c r="P81" s="63"/>
      <c r="Q81" s="63"/>
      <c r="R81" s="63"/>
      <c r="S81" s="63"/>
    </row>
    <row r="1048564" spans="15:15">
      <c r="O1048564" s="62"/>
    </row>
  </sheetData>
  <mergeCells count="32">
    <mergeCell ref="C14:D14"/>
    <mergeCell ref="C9:D9"/>
    <mergeCell ref="C10:D10"/>
    <mergeCell ref="C11:D11"/>
    <mergeCell ref="C12:D12"/>
    <mergeCell ref="C13:D13"/>
    <mergeCell ref="C17:D17"/>
    <mergeCell ref="E17:F17"/>
    <mergeCell ref="C18:D18"/>
    <mergeCell ref="E18:F18"/>
    <mergeCell ref="C19:D20"/>
    <mergeCell ref="E19:F20"/>
    <mergeCell ref="C41:C43"/>
    <mergeCell ref="C21:D21"/>
    <mergeCell ref="E21:F21"/>
    <mergeCell ref="C22:D22"/>
    <mergeCell ref="E22:F22"/>
    <mergeCell ref="C23:D23"/>
    <mergeCell ref="E23:F23"/>
    <mergeCell ref="C27:C29"/>
    <mergeCell ref="D27:D29"/>
    <mergeCell ref="E27:E29"/>
    <mergeCell ref="F27:F29"/>
    <mergeCell ref="C34:C36"/>
    <mergeCell ref="D34:D36"/>
    <mergeCell ref="E34:E36"/>
    <mergeCell ref="F34:F36"/>
    <mergeCell ref="D41:D43"/>
    <mergeCell ref="E41:E43"/>
    <mergeCell ref="F41:F43"/>
    <mergeCell ref="D66:J67"/>
    <mergeCell ref="D75:J7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D4AED6-CBE3-4E96-B032-77CDAF92153E}"/>
</file>

<file path=customXml/itemProps2.xml><?xml version="1.0" encoding="utf-8"?>
<ds:datastoreItem xmlns:ds="http://schemas.openxmlformats.org/officeDocument/2006/customXml" ds:itemID="{38188FBD-EFA5-4079-BDE7-418D2F08897C}"/>
</file>

<file path=customXml/itemProps3.xml><?xml version="1.0" encoding="utf-8"?>
<ds:datastoreItem xmlns:ds="http://schemas.openxmlformats.org/officeDocument/2006/customXml" ds:itemID="{8850421B-30A8-4896-B5FF-876CDE9056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1</vt:i4>
      </vt:variant>
    </vt:vector>
  </HeadingPairs>
  <TitlesOfParts>
    <vt:vector size="47" baseType="lpstr">
      <vt:lpstr>Cover </vt:lpstr>
      <vt:lpstr>RET 301 LO 1</vt:lpstr>
      <vt:lpstr>FRC-Spring24-Q3</vt:lpstr>
      <vt:lpstr>RET 301 LO 2</vt:lpstr>
      <vt:lpstr>FRC-Spring21-Q8</vt:lpstr>
      <vt:lpstr>FRC-Fall21-Q2</vt:lpstr>
      <vt:lpstr>FRC-Spring22-Q8</vt:lpstr>
      <vt:lpstr>FRC-Fall22-Q3</vt:lpstr>
      <vt:lpstr>FRC-Fall22-Q7</vt:lpstr>
      <vt:lpstr>FRC-Fall22-Q7Ans</vt:lpstr>
      <vt:lpstr>FRC-Fall23-Q6</vt:lpstr>
      <vt:lpstr>FRC-Spring24-Q2</vt:lpstr>
      <vt:lpstr>FRC-Spring24-Q2Ans</vt:lpstr>
      <vt:lpstr>Liability Calculation</vt:lpstr>
      <vt:lpstr>FRC-Spring24-Q4</vt:lpstr>
      <vt:lpstr>FRC-Spring24-Q4Ans</vt:lpstr>
      <vt:lpstr>FRC-Fall24-Q3</vt:lpstr>
      <vt:lpstr>FRC-Fall24-Q3Ans</vt:lpstr>
      <vt:lpstr>FRC-Fall24-Q5</vt:lpstr>
      <vt:lpstr>FRC-Fall24-Q5Ans</vt:lpstr>
      <vt:lpstr>FRC-Fall24-Q5-Rubric</vt:lpstr>
      <vt:lpstr>RET 301 LO 3</vt:lpstr>
      <vt:lpstr>FRC-Fall20-Q6</vt:lpstr>
      <vt:lpstr>FRC-Fall20-Q10</vt:lpstr>
      <vt:lpstr>FRC-Fall20-Q11</vt:lpstr>
      <vt:lpstr>FRC-Spring21-Q6</vt:lpstr>
      <vt:lpstr>DAC-Spring21-Q7</vt:lpstr>
      <vt:lpstr>DAC-Spring21-Q7Ans</vt:lpstr>
      <vt:lpstr>FRC-Fall21-Q9</vt:lpstr>
      <vt:lpstr>FRC-Fall22-Q4</vt:lpstr>
      <vt:lpstr>FRC-Fall22-Q8</vt:lpstr>
      <vt:lpstr>FRC-Spring23-Q1</vt:lpstr>
      <vt:lpstr>FRC-Fall24-Q2</vt:lpstr>
      <vt:lpstr>RET 301 LO 4</vt:lpstr>
      <vt:lpstr>DAC-Fall20-Q10</vt:lpstr>
      <vt:lpstr>DAC-Fall20-Q10Ans</vt:lpstr>
      <vt:lpstr>FRC-Spring21-Q3</vt:lpstr>
      <vt:lpstr>FRC-Spring21-Q9</vt:lpstr>
      <vt:lpstr>DAC-Fall21-Q6</vt:lpstr>
      <vt:lpstr>DAC-Fall21-Q6Ans</vt:lpstr>
      <vt:lpstr>FRC-Fall21-Q3</vt:lpstr>
      <vt:lpstr>FRC-Spring22-Q4</vt:lpstr>
      <vt:lpstr>FRC-Spring22-Q4-Extra Space</vt:lpstr>
      <vt:lpstr>DAC-Fall22-Q6</vt:lpstr>
      <vt:lpstr>DAC-Fall22-Q6Ans</vt:lpstr>
      <vt:lpstr>DAC-Fall23-Q2</vt:lpstr>
      <vt:lpstr>'DAC-Fall23-Q2'!Print_Area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Vanderweide (Fiscal Research)</dc:creator>
  <cp:lastModifiedBy>Douglas Norris</cp:lastModifiedBy>
  <dcterms:created xsi:type="dcterms:W3CDTF">2025-06-09T15:06:32Z</dcterms:created>
  <dcterms:modified xsi:type="dcterms:W3CDTF">2025-06-27T21:38:31Z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